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drawings/drawing2.xml" ContentType="application/vnd.openxmlformats-officedocument.drawing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drawings/drawing3.xml" ContentType="application/vnd.openxmlformats-officedocument.drawing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drawings/drawing4.xml" ContentType="application/vnd.openxmlformats-officedocument.drawing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trlProps/ctrlProp21.xml" ContentType="application/vnd.ms-excel.controlproperties+xml"/>
  <Override PartName="/xl/drawings/drawing7.xml" ContentType="application/vnd.openxmlformats-officedocument.drawing+xml"/>
  <Override PartName="/xl/ctrlProps/ctrlProp22.xml" ContentType="application/vnd.ms-excel.controlproperties+xml"/>
  <Override PartName="/xl/ctrlProps/ctrlProp23.xml" ContentType="application/vnd.ms-excel.controlproperties+xml"/>
  <Override PartName="/xl/drawings/drawing8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drawings/drawing9.xml" ContentType="application/vnd.openxmlformats-officedocument.drawing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codeName="ThisWorkbook"/>
  <mc:AlternateContent xmlns:mc="http://schemas.openxmlformats.org/markup-compatibility/2006">
    <mc:Choice Requires="x15">
      <x15ac:absPath xmlns:x15ac="http://schemas.microsoft.com/office/spreadsheetml/2010/11/ac" url="C:\Users\Safakt\Documents\Archive\Deflection\"/>
    </mc:Choice>
  </mc:AlternateContent>
  <bookViews>
    <workbookView xWindow="-105" yWindow="-105" windowWidth="23250" windowHeight="12570" tabRatio="907" activeTab="1"/>
  </bookViews>
  <sheets>
    <sheet name="YAPMA I VE KUTU" sheetId="32" r:id="rId1"/>
    <sheet name="BÜKME-U-C-L ve UCGEN KESIT" sheetId="33" r:id="rId2"/>
    <sheet name="simple support beam" sheetId="28" r:id="rId3"/>
    <sheet name="KONSOL" sheetId="35" r:id="rId4"/>
    <sheet name="ANKASTRE" sheetId="30" r:id="rId5"/>
    <sheet name="multi span" sheetId="29" r:id="rId6"/>
    <sheet name="basit+ankastre" sheetId="31" r:id="rId7"/>
    <sheet name="Pipe" sheetId="36" r:id="rId8"/>
    <sheet name="omega" sheetId="21" r:id="rId9"/>
    <sheet name="LGS profil tablosu" sheetId="45" r:id="rId10"/>
    <sheet name="Asik" sheetId="24" r:id="rId11"/>
    <sheet name="Basinc" sheetId="20" r:id="rId12"/>
    <sheet name="basit kiris eksantrik yuk" sheetId="44" r:id="rId13"/>
    <sheet name="wind forces" sheetId="34" r:id="rId14"/>
    <sheet name="PI KIRIS" sheetId="37" r:id="rId15"/>
    <sheet name="BORU+TE" sheetId="38" r:id="rId16"/>
    <sheet name="TRİGO" sheetId="39" r:id="rId17"/>
    <sheet name="makas" sheetId="40" r:id="rId18"/>
    <sheet name="bolt weights" sheetId="43" r:id="rId19"/>
    <sheet name="Bolt Calculation" sheetId="41" r:id="rId20"/>
    <sheet name="Bolts Resistances" sheetId="42" r:id="rId21"/>
    <sheet name="Deprem" sheetId="25" r:id="rId22"/>
    <sheet name="IPE" sheetId="1" r:id="rId23"/>
    <sheet name="HE" sheetId="2" r:id="rId24"/>
    <sheet name="HD" sheetId="3" r:id="rId25"/>
    <sheet name="HP" sheetId="4" r:id="rId26"/>
    <sheet name="IPN" sheetId="5" r:id="rId27"/>
    <sheet name="W" sheetId="6" r:id="rId28"/>
    <sheet name="HP(US)" sheetId="7" r:id="rId29"/>
    <sheet name="UB" sheetId="8" r:id="rId30"/>
    <sheet name="UBP(=HP UK)" sheetId="9" r:id="rId31"/>
    <sheet name="UC" sheetId="10" r:id="rId32"/>
    <sheet name="UAP" sheetId="11" r:id="rId33"/>
    <sheet name="UPN" sheetId="12" r:id="rId34"/>
    <sheet name="L" sheetId="13" r:id="rId35"/>
    <sheet name="Li" sheetId="14" r:id="rId36"/>
    <sheet name="C" sheetId="15" r:id="rId37"/>
    <sheet name="HJ" sheetId="16" r:id="rId38"/>
    <sheet name="IFB" sheetId="17" r:id="rId39"/>
    <sheet name="SFB" sheetId="18" r:id="rId40"/>
    <sheet name="Chinese H beams" sheetId="46" r:id="rId41"/>
    <sheet name="GOST2 profiller" sheetId="47" r:id="rId42"/>
    <sheet name="GOST I BEAMS" sheetId="48" r:id="rId43"/>
    <sheet name="tables(silmeyin)" sheetId="23" r:id="rId44"/>
    <sheet name="Mass" sheetId="19" r:id="rId45"/>
  </sheets>
  <externalReferences>
    <externalReference r:id="rId46"/>
    <externalReference r:id="rId47"/>
    <externalReference r:id="rId48"/>
  </externalReferences>
  <definedNames>
    <definedName name="_iy1">[1]Sheet3!$U$27:$U$93</definedName>
    <definedName name="_iz1">[1]Sheet3!$Z$27:$Z$93</definedName>
    <definedName name="_xlnm._FilterDatabase" localSheetId="20" hidden="1">'Bolts Resistances'!$C$16:$P$16</definedName>
    <definedName name="_xlnm._FilterDatabase" localSheetId="40" hidden="1">'Chinese H beams'!$A$3:$O$3</definedName>
    <definedName name="A" localSheetId="23">HE!$H$13:$H$177</definedName>
    <definedName name="A">IPE!$H$15:$H$81</definedName>
    <definedName name="Aa">[1]Sheet3!$H$27:$H$93</definedName>
    <definedName name="AG" localSheetId="23">HE!$O$13:$O$177</definedName>
    <definedName name="AG">IPE!$O$15:$O$81</definedName>
    <definedName name="Aghe">HE!$O$16:$O$177</definedName>
    <definedName name="Agl">L!$M$16:$M$82</definedName>
    <definedName name="Agn">IPN!$O$18:$O$39</definedName>
    <definedName name="Ahe">HE!$H$16:$H$177</definedName>
    <definedName name="AL" localSheetId="23">HE!$N$13:$N$177</definedName>
    <definedName name="AL" localSheetId="34">L!$G$16:$G$82</definedName>
    <definedName name="AL">IPE!$N$15:$N$81</definedName>
    <definedName name="Alhe">HE!$N$16:$N$177</definedName>
    <definedName name="All">L!$L$16:$L$82</definedName>
    <definedName name="Aln">IPN!$N$18:$N$39</definedName>
    <definedName name="An">IPN!$I$18:$I$39</definedName>
    <definedName name="Avz">IPE!$T$15:$T$81</definedName>
    <definedName name="Avzhe">HE!$T$16:$T$177</definedName>
    <definedName name="Avzn">IPN!$T$18:$T$39</definedName>
    <definedName name="Avzu">UPN!$V$17:$V$34</definedName>
    <definedName name="_xlnm.Extract" localSheetId="20">'Bolts Resistances'!$E$48</definedName>
    <definedName name="b" localSheetId="23">HE!$D$13:$D$177</definedName>
    <definedName name="b">IPE!$D$15:$D$81</definedName>
    <definedName name="bhe">HE!$D$16:$D$177</definedName>
    <definedName name="bn">IPN!$D$18:$D$39</definedName>
    <definedName name="BOLTS">#REF!</definedName>
    <definedName name="CIVATA">'Bolts Resistances'!$A$19:$P$44</definedName>
    <definedName name="Countries">'Bolts Resistances'!$R$17:$S$32</definedName>
    <definedName name="d" localSheetId="23">HE!$J$13:$J$177</definedName>
    <definedName name="d">IPE!$J$15:$J$81</definedName>
    <definedName name="dhe">HE!$J$16:$J$177</definedName>
    <definedName name="dn">IPN!$J$18:$J$39</definedName>
    <definedName name="G" localSheetId="23">HE!$B$13:$B$177</definedName>
    <definedName name="G">IPE!$B$15:$B$81</definedName>
    <definedName name="Gg">[1]Sheet3!$B$27:$B$93</definedName>
    <definedName name="Ghe">HE!$B$16:$B$177</definedName>
    <definedName name="GL">L!$B$16:$B$82</definedName>
    <definedName name="Gn">IPN!$B$18:$B$39</definedName>
    <definedName name="Grades">#REF!</definedName>
    <definedName name="Gu">UPN!$Q$17:$Q$34</definedName>
    <definedName name="h" localSheetId="23">HE!$C$13:$C$177</definedName>
    <definedName name="h">IPE!$C$15:$C$81</definedName>
    <definedName name="h___b">L!$C$16:$C$82</definedName>
    <definedName name="Hastane__itfaiye_istasyon_Terminal_PTT_Enerji_binaları">'tables(silmeyin)'!$C$11</definedName>
    <definedName name="HE">HE!$A$16:$A$177</definedName>
    <definedName name="HE_100_A">HE!$B$17:$AA$17</definedName>
    <definedName name="HE_100_AA">HE!$B$16:$AA$16</definedName>
    <definedName name="HE_100_B">HE!$B$18:$AA$18</definedName>
    <definedName name="HE_100_M">HE!$B$19:$AA$19</definedName>
    <definedName name="HE_1000_A">HE!$B$142:$AA$142</definedName>
    <definedName name="HE_1000_AA">HE!$B$141:$AA$141</definedName>
    <definedName name="HE_1000_B">HE!$B$143:$AA$143</definedName>
    <definedName name="HE_1000_M">HE!$B$144:$AA$144</definedName>
    <definedName name="HE_1000_x_393">HE!$B$145:$AA$145</definedName>
    <definedName name="HE_1000_x_409">HE!$B$146:$AA$146</definedName>
    <definedName name="HE_1000_x_488">HE!$B$147:$AA$147</definedName>
    <definedName name="HE_1000_x_579">HE!$B$148:$AA$148</definedName>
    <definedName name="HE_120_A">HE!$B$22:$AA$22</definedName>
    <definedName name="HE_120_AA">HE!$B$21:$AA$21</definedName>
    <definedName name="HE_120_B">HE!$B$23:$AA$23</definedName>
    <definedName name="HE_120_M">HE!$B$24:$AA$24</definedName>
    <definedName name="HE_140_A">HE!$B$27:$AA$27</definedName>
    <definedName name="HE_140_AA">HE!$B$26:$AA$26</definedName>
    <definedName name="HE_140_B">HE!$B$28:$AA$28</definedName>
    <definedName name="HE_140_M">HE!$B$29:$AA$29</definedName>
    <definedName name="HE_160_A">HE!$B$32:$AA$32</definedName>
    <definedName name="HE_160_AA">HE!$B$31:$AA$31</definedName>
    <definedName name="HE_160_B">HE!$B$33:$AA$33</definedName>
    <definedName name="HE_160_M">HE!$B$34:$AA$34</definedName>
    <definedName name="HE_180_A">HE!$B$37:$AA$37</definedName>
    <definedName name="HE_180_AA">HE!$B$36:$AA$36</definedName>
    <definedName name="HE_180_B">HE!$B$38:$AA$38</definedName>
    <definedName name="HE_180_M">HE!$B$39:$AA$39</definedName>
    <definedName name="HE_200_A">HE!$B$42:$AA$42</definedName>
    <definedName name="HE_200_AA">HE!$B$41:$AA$41</definedName>
    <definedName name="HE_200_B">HE!$B$43:$AA$43</definedName>
    <definedName name="HE_200_M">HE!$B$44:$AA$44</definedName>
    <definedName name="HE_220_A">HE!$B$47:$AA$47</definedName>
    <definedName name="HE_220_AA">HE!$B$46:$AA$46</definedName>
    <definedName name="HE_220_B">HE!$B$48:$AA$48</definedName>
    <definedName name="HE_220_M">HE!$B$49:$AA$49</definedName>
    <definedName name="HE_240_A">HE!$B$52:$AA$52</definedName>
    <definedName name="HE_240_AA">HE!$B$51:$AA$51</definedName>
    <definedName name="HE_240_B">HE!$B$53:$AA$53</definedName>
    <definedName name="HE_240_M">HE!$B$54:$AA$54</definedName>
    <definedName name="HE_260_A">HE!$B$57:$AA$57</definedName>
    <definedName name="HE_260_AA">HE!$B$56:$AA$56</definedName>
    <definedName name="HE_260_B">HE!$B$58:$AA$58</definedName>
    <definedName name="HE_260_M">HE!$B$59:$AA$59</definedName>
    <definedName name="HE_280_A">HE!$B$62:$AA$62</definedName>
    <definedName name="HE_280_AA">HE!$B$61:$AA$61</definedName>
    <definedName name="HE_280_B">HE!$B$63:$AA$63</definedName>
    <definedName name="HE_280_M">HE!$B$64:$AA$64</definedName>
    <definedName name="HE_300_A">HE!$B$67:$AA$67</definedName>
    <definedName name="HE_300_AA">HE!$B$66:$AA$66</definedName>
    <definedName name="HE_300_B">HE!$B$68:$AA$68</definedName>
    <definedName name="HE_300_M">HE!$B$69:$AA$69</definedName>
    <definedName name="HE_320_A">HE!$B$72:$AA$72</definedName>
    <definedName name="HE_320_AA">HE!$B$71:$AA$71</definedName>
    <definedName name="HE_320_B">HE!$B$73:$AA$73</definedName>
    <definedName name="HE_320_M">HE!$B$74:$AA$74</definedName>
    <definedName name="HE_340_A">HE!$B$77:$AA$77</definedName>
    <definedName name="HE_340_AA">HE!$B$76:$AA$76</definedName>
    <definedName name="HE_340_B">HE!$B$78:$AA$78</definedName>
    <definedName name="HE_340_M">HE!$B$79:$AA$79</definedName>
    <definedName name="HE_360_A">HE!$B$82:$AA$82</definedName>
    <definedName name="HE_360_AA">HE!$B$81:$AA$81</definedName>
    <definedName name="HE_360_B">HE!$B$83:$AA$83</definedName>
    <definedName name="HE_360_M">HE!$B$84:$AA$84</definedName>
    <definedName name="HE_400_A">HE!$B$87:$AA$87</definedName>
    <definedName name="HE_400_AA">HE!$B$86:$AA$86</definedName>
    <definedName name="HE_400_B">HE!$B$88:$AA$88</definedName>
    <definedName name="HE_400_M">HE!$B$89:$AA$89</definedName>
    <definedName name="HE_450_A">HE!$B$92:$AA$92</definedName>
    <definedName name="HE_450_AA">HE!$B$91:$AA$91</definedName>
    <definedName name="HE_450_B">HE!$B$93:$AA$93</definedName>
    <definedName name="HE_450_M">HE!$B$94:$AA$94</definedName>
    <definedName name="HE_500_A">HE!$B$97:$AA$97</definedName>
    <definedName name="HE_500_AA">HE!$B$96:$AA$96</definedName>
    <definedName name="HE_500_B">HE!$B$98:$AA$98</definedName>
    <definedName name="HE_500_M">HE!$B$99:$AA$99</definedName>
    <definedName name="HE_550_A">HE!$B$102:$AA$102</definedName>
    <definedName name="HE_550_AA">HE!$B$101:$AA$101</definedName>
    <definedName name="HE_550_B">HE!$B$103:$AA$103</definedName>
    <definedName name="HE_550_M">HE!$B$104:$AA$104</definedName>
    <definedName name="HE_600_A">HE!$B$107:$AA$107</definedName>
    <definedName name="HE_600_AA">HE!$B$106:$AA$106</definedName>
    <definedName name="HE_600_B">HE!$B$108:$AA$108</definedName>
    <definedName name="HE_600_M">HE!$B$109:$AA$109</definedName>
    <definedName name="HE_600_x_337">HE!$B$110:$AA$110</definedName>
    <definedName name="HE_600_x_399">HE!$B$111:$AA$111</definedName>
    <definedName name="HE_650_A">HE!$B$114:$AA$114</definedName>
    <definedName name="HE_650_AA">HE!$B$113:$AA$113</definedName>
    <definedName name="HE_650_B">HE!$B$115:$AA$115</definedName>
    <definedName name="HE_650_M">HE!$B$116:$AA$116</definedName>
    <definedName name="HE_650_x_343">HE!$B$117:$AA$117</definedName>
    <definedName name="HE_650_x_407">HE!$B$118:$AA$118</definedName>
    <definedName name="HE_700_A">HE!$B$121:$AA$121</definedName>
    <definedName name="HE_700_AA">HE!$B$120:$AA$120</definedName>
    <definedName name="HE_700_B">HE!$B$122:$AA$122</definedName>
    <definedName name="HE_700_M">HE!$B$123:$AA$123</definedName>
    <definedName name="HE_700_x_352">HE!$B$124:$AA$124</definedName>
    <definedName name="HE_700_x_418">HE!$B$125:$AA$125</definedName>
    <definedName name="HE_800_A">HE!$B$128:$AA$128</definedName>
    <definedName name="HE_800_AA">HE!$B$127:$AA$127</definedName>
    <definedName name="HE_800_B">HE!$B$129:$AA$129</definedName>
    <definedName name="HE_800_M">HE!$B$130:$AA$130</definedName>
    <definedName name="HE_800_x_373">HE!$B$131:$AA$131</definedName>
    <definedName name="HE_800_x_444">HE!$B$132:$AA$132</definedName>
    <definedName name="HE_900_A">HE!$B$135:$AA$135</definedName>
    <definedName name="HE_900_AA">HE!$B$134:$AA$134</definedName>
    <definedName name="HE_900_B">HE!$B$136:$AA$136</definedName>
    <definedName name="HE_900_M">HE!$B$137:$AA$137</definedName>
    <definedName name="HE_900_x_391">HE!$B$138:$AA$138</definedName>
    <definedName name="HE_900_x_466">HE!$B$139:$AA$139</definedName>
    <definedName name="hhe">HE!$C$16:$C$177</definedName>
    <definedName name="hi" localSheetId="23">HE!$I$13:$I$177</definedName>
    <definedName name="hi">IPE!$I$15:$I$81</definedName>
    <definedName name="hihe">HE!$I$16:$I$177</definedName>
    <definedName name="HL_1000_A">HE!$B$165:$AA$165</definedName>
    <definedName name="HL_1000_B">HE!$B$166:$AA$166</definedName>
    <definedName name="HL_1000_M">HE!$B$167:$AA$167</definedName>
    <definedName name="HL_1000_x_296">HE!$B$164:$AA$164</definedName>
    <definedName name="HL_1000_x_477">HE!$B$168:$AA$168</definedName>
    <definedName name="HL_1000_x_554">HE!$B$169:$AA$169</definedName>
    <definedName name="HL_1000_x_642">HE!$B$170:$AA$170</definedName>
    <definedName name="HL_1000_x_748">HE!$B$171:$AA$171</definedName>
    <definedName name="HL_1000_x_883">HE!$B$172:$AA$172</definedName>
    <definedName name="HL_1100_A">HE!$B$174:$AA$174</definedName>
    <definedName name="HL_1100_B">HE!$B$175:$AA$175</definedName>
    <definedName name="HL_1100_M">HE!$B$176:$AA$176</definedName>
    <definedName name="HL_1100_R">HE!$B$177:$AA$177</definedName>
    <definedName name="HL_920_x_342">HE!$B$152:$AA$152</definedName>
    <definedName name="HL_920_x_365">HE!$B$153:$AA$153</definedName>
    <definedName name="HL_920_x_387">HE!$B$154:$AA$154</definedName>
    <definedName name="HL_920_x_417">HE!$B$155:$AA$155</definedName>
    <definedName name="HL_920_x_446">HE!$B$156:$AA$156</definedName>
    <definedName name="HL_920_x_488">HE!$B$157:$AA$157</definedName>
    <definedName name="HL_920_x_534">HE!$B$158:$AA$158</definedName>
    <definedName name="HL_920_x_585">HE!$B$159:$AA$159</definedName>
    <definedName name="HL_920_x_653">HE!$B$160:$AA$160</definedName>
    <definedName name="HL_920_x_784">HE!$B$161:$AA$161</definedName>
    <definedName name="HL_920_x_967">HE!$B$162:$AA$162</definedName>
    <definedName name="hn">IPN!$C$18:$C$39</definedName>
    <definedName name="I">'tables(silmeyin)'!$C$11:$C$14</definedName>
    <definedName name="IIyhe">HE!$P$16:$P$177</definedName>
    <definedName name="IIyn">IPN!$P$18:$P$39</definedName>
    <definedName name="IIyzL">L!$N$16:$N$82</definedName>
    <definedName name="IIzhe">HE!$U$16:$U$177</definedName>
    <definedName name="IIzn">IPN!$U$18:$U$39</definedName>
    <definedName name="IPE">IPE!$A$15:$A$81</definedName>
    <definedName name="IPE_100">IPE!$B$16:$AA$16</definedName>
    <definedName name="IPE_120">IPE!$B$19:$AA$19</definedName>
    <definedName name="IPE_140">IPE!$B$22:$AA$22</definedName>
    <definedName name="IPE_160">IPE!$B$25:$AA$25</definedName>
    <definedName name="IPE_180">IPE!$B$28:$AA$28</definedName>
    <definedName name="IPE_200">IPE!$B$32:$AA$32</definedName>
    <definedName name="IPE_220">IPE!$B$36:$AA$36</definedName>
    <definedName name="IPE_240">IPE!$B$40:$AA$40</definedName>
    <definedName name="IPE_270">IPE!$B$44:$AA$44</definedName>
    <definedName name="IPE_300">IPE!$B$48:$AA$48</definedName>
    <definedName name="IPE_330">IPE!$B$52:$AA$52</definedName>
    <definedName name="IPE_360">IPE!$B$56:$AA$56</definedName>
    <definedName name="IPE_400">IPE!$B$60:$AA$60</definedName>
    <definedName name="IPE_450">IPE!$B$64:$AA$64</definedName>
    <definedName name="IPE_500">IPE!$B$68:$AA$68</definedName>
    <definedName name="IPE_550">IPE!$B$72:$AA$72</definedName>
    <definedName name="IPE_600">IPE!$B$76:$AA$76</definedName>
    <definedName name="IPE_750_x_147">IPE!$B$79:$AA$79</definedName>
    <definedName name="IPE_750_x_173">IPE!$B$80:$AA$80</definedName>
    <definedName name="IPE_750_x_196">IPE!$B$81:$AA$81</definedName>
    <definedName name="IPE_A_100">IPE!$B$15:$AA$15</definedName>
    <definedName name="IPE_A_120">IPE!$B$18:$AA$18</definedName>
    <definedName name="IPE_A_140">IPE!$B$21:$AA$21</definedName>
    <definedName name="IPE_A_160">IPE!$B$24:$AA$24</definedName>
    <definedName name="IPE_A_180">IPE!$B$27:$AA$27</definedName>
    <definedName name="IPE_A_200">IPE!$B$31:$AA$31</definedName>
    <definedName name="IPE_A_220">IPE!$B$35:$AA$35</definedName>
    <definedName name="IPE_A_240">IPE!$B$39:$AA$39</definedName>
    <definedName name="IPE_A_270">IPE!$B$43:$AA$43</definedName>
    <definedName name="IPE_A_300">IPE!$B$47:$AA$47</definedName>
    <definedName name="IPE_A_330">IPE!$B$51:$AA$51</definedName>
    <definedName name="IPE_A_360">IPE!$B$55:$AA$55</definedName>
    <definedName name="IPE_A_400">IPE!$B$59:$AA$59</definedName>
    <definedName name="IPE_A_450">IPE!$B$63:$AA$63</definedName>
    <definedName name="IPE_A_500">IPE!$B$67:$AA$67</definedName>
    <definedName name="IPE_A_550">IPE!$B$71:$AA$71</definedName>
    <definedName name="IPE_A_600">IPE!$B$75:$AA$75</definedName>
    <definedName name="IPE_O_180">IPE!$B$29:$AA$29</definedName>
    <definedName name="IPE_O_200">IPE!$B$33:$AA$33</definedName>
    <definedName name="IPE_O_220">IPE!$B$37:$AA$37</definedName>
    <definedName name="IPE_O_240">IPE!$B$41:$AA$41</definedName>
    <definedName name="IPE_O_270">IPE!$B$45:$AA$45</definedName>
    <definedName name="IPE_O_300">IPE!$B$49:$AA$49</definedName>
    <definedName name="IPE_O_330">IPE!$B$53:$AA$53</definedName>
    <definedName name="IPE_O_360">IPE!$B$57:$AA$57</definedName>
    <definedName name="IPE_O_400">IPE!$B$61:$AA$61</definedName>
    <definedName name="IPE_O_450">IPE!$B$65:$AA$65</definedName>
    <definedName name="IPE_O_500">IPE!$B$69:$AA$69</definedName>
    <definedName name="IPE_O_550">IPE!$B$73:$AA$73</definedName>
    <definedName name="IPE_O_600">IPE!$B$77:$AA$77</definedName>
    <definedName name="IPN" localSheetId="15">[2]Sheet3!$A$6:$A$23</definedName>
    <definedName name="IPN" localSheetId="14">[2]Sheet3!$A$6:$A$23</definedName>
    <definedName name="IPN" localSheetId="7">[2]Sheet3!$A$6:$A$23</definedName>
    <definedName name="IPN">IPN!$A$18:$A$39</definedName>
    <definedName name="IPN_120">IPN!$B$18:$AA$18</definedName>
    <definedName name="IPN_140">IPN!$B$19:$AA$19</definedName>
    <definedName name="IPN_160">IPN!$B$20:$AA$20</definedName>
    <definedName name="IPN_180">IPN!$B$21:$AA$21</definedName>
    <definedName name="IPN_200">IPN!$B$23:$AA$23</definedName>
    <definedName name="IPN_220">IPN!$B$24:$AA$24</definedName>
    <definedName name="IPN_240">IPN!$B$25:$AA$25</definedName>
    <definedName name="IPN_260">IPN!$B$26:$AA$26</definedName>
    <definedName name="IPN_280">IPN!$B$27:$AA$27</definedName>
    <definedName name="IPN_300">IPN!$B$29:$AA$29</definedName>
    <definedName name="IPN_320">IPN!$B$30:$AA$30</definedName>
    <definedName name="IPN_340">IPN!$B$31:$AA$31</definedName>
    <definedName name="IPN_360">IPN!$B$32:$AA$32</definedName>
    <definedName name="IPN_380">IPN!$B$33:$AA$33</definedName>
    <definedName name="IPN_400">IPN!$B$35:$AA$35</definedName>
    <definedName name="IPN_450">IPN!$B$36:$AA$36</definedName>
    <definedName name="IPN_500">IPN!$B$38:$AA$38</definedName>
    <definedName name="IPN_550">IPN!$B$39:$AA$39</definedName>
    <definedName name="IPNO">[2]Sheet3!$A$6:$A$23</definedName>
    <definedName name="It">IPE!$Z$15:$Z$81</definedName>
    <definedName name="Ithe">HE!$Z$13:$Z$177</definedName>
    <definedName name="Itn">IPN!$Z$18:$Z$39</definedName>
    <definedName name="Itu">UPN!$AB$17:$AB$34</definedName>
    <definedName name="IuL">L!$Q$16:$Q$82</definedName>
    <definedName name="IvL">L!$S$16:$S$82</definedName>
    <definedName name="Iwx10_3">IPE!$AA$15:$AA$81</definedName>
    <definedName name="Iwx10_3he">HE!$AA$13:$AA$177</definedName>
    <definedName name="Iwx10_3n">IPN!$AA$18:$AA$39</definedName>
    <definedName name="Iwx10_u3">UPN!$AC$17:$AC$34</definedName>
    <definedName name="Iy" localSheetId="23">HE!$P$13:$P$177</definedName>
    <definedName name="Iy">IPE!$P$15:$P$81</definedName>
    <definedName name="Iyu">UPN!$R$17:$R$34</definedName>
    <definedName name="Iyzl">L!$U$16:$U$82</definedName>
    <definedName name="Iz">IPE!$U$15:$U$81</definedName>
    <definedName name="Izu">UPN!$W$17:$W$34</definedName>
    <definedName name="iuL">L!$R$16:$R$82</definedName>
    <definedName name="ivl">L!$T$16:$T$82</definedName>
    <definedName name="iy">IPE!$S$15:$S$81</definedName>
    <definedName name="iyhe">HE!$S$16:$S$177</definedName>
    <definedName name="iyn">IPN!$S$18:$S$39</definedName>
    <definedName name="iyu">UPN!$U$17:$U$34</definedName>
    <definedName name="iyzL">L!$P$16:$P$82</definedName>
    <definedName name="iz">IPE!$X$15:$X$81</definedName>
    <definedName name="izhe">HE!$X$16:$X$177</definedName>
    <definedName name="izn">IPN!$X$18:$X$39</definedName>
    <definedName name="izu">UPN!$Z$17:$Z$34</definedName>
    <definedName name="KALITE">'Bolts Resistances'!$C$16:$P$16</definedName>
    <definedName name="Konut_işteri_otel_lokanta">'tables(silmeyin)'!$C$14</definedName>
    <definedName name="L">L!$A$16:$A$82</definedName>
    <definedName name="Metric">#REF!</definedName>
    <definedName name="Metrik">'Bolts Resistances'!$A$19:$A$44</definedName>
    <definedName name="Ø" localSheetId="23">HE!$K$13:$K$177</definedName>
    <definedName name="Ø">IPE!$K$15:$K$81</definedName>
    <definedName name="Øhe">HE!$K$16:$K$177</definedName>
    <definedName name="Okul_Yurt__cezaevi_müze_askeri">'tables(silmeyin)'!$C$12</definedName>
    <definedName name="Øn">IPN!$K$18:$K$39</definedName>
    <definedName name="pmax" localSheetId="23">HE!$M$13:$M$177</definedName>
    <definedName name="pmax">IPE!$M$15:$M$81</definedName>
    <definedName name="pmaxhe">HE!$M$16:$M$177</definedName>
    <definedName name="pmaxn">IPN!$M$18:$M$39</definedName>
    <definedName name="pmin" localSheetId="23">HE!$L$13:$L$177</definedName>
    <definedName name="pmin">IPE!$L$15:$L$81</definedName>
    <definedName name="pminhe">HE!$L$16:$L$177</definedName>
    <definedName name="pminn">IPN!$L$18:$L$39</definedName>
    <definedName name="r_" localSheetId="23">HE!$G$13:$G$177</definedName>
    <definedName name="r_">IPE!$G$15:$G$81</definedName>
    <definedName name="rhe">HE!$G$16:$G$177</definedName>
    <definedName name="Spor__sinema_ibadet">'tables(silmeyin)'!$C$13</definedName>
    <definedName name="ss">IPE!$Y$15:$Y$81</definedName>
    <definedName name="sshe">HE!$Y$16:$Y$177</definedName>
    <definedName name="ssn">IPN!$Y$18:$Y$39</definedName>
    <definedName name="ssu">UPN!$AA$17:$AA$34</definedName>
    <definedName name="Ta">'tables(silmeyin)'!$C$4:$C$7</definedName>
    <definedName name="Tb">'tables(silmeyin)'!$D$4:$D$7</definedName>
    <definedName name="tf" localSheetId="23">HE!$F$13:$F$177</definedName>
    <definedName name="tf">IPE!$F$15:$F$81</definedName>
    <definedName name="tfhe">HE!$F$16:$F$177</definedName>
    <definedName name="tfn">IPN!$F$18:$F$39</definedName>
    <definedName name="Tl">L!$D$16:$D$82</definedName>
    <definedName name="tw" localSheetId="23">HE!$E$13:$E$177</definedName>
    <definedName name="tw">IPE!$E$15:$E$81</definedName>
    <definedName name="twhe">HE!$E$16:$E$177</definedName>
    <definedName name="twn">IPN!$E$18:$E$39</definedName>
    <definedName name="u1l">L!$J$16:$J$82</definedName>
    <definedName name="u2l">L!$K$16:$K$82</definedName>
    <definedName name="UPN">UPN!$A$17:$AE$34</definedName>
    <definedName name="UPN_100">UPN!$Q$17:$AE$17</definedName>
    <definedName name="UPN_120">UPN!$Q$18:$AE$18</definedName>
    <definedName name="UPN_140">UPN!$Q$19:$AE$19</definedName>
    <definedName name="UPN_160">UPN!$Q$20:$AE$20</definedName>
    <definedName name="UPN_180">UPN!$Q$21:$AE$21</definedName>
    <definedName name="UPN_200">UPN!$Q$23:$AE$23</definedName>
    <definedName name="UPN_220">UPN!$Q$24:$AE$24</definedName>
    <definedName name="UPN_240">UPN!$Q$25:$AE$25</definedName>
    <definedName name="UPN_260">UPN!$Q$26:$AE$26</definedName>
    <definedName name="UPN_280">UPN!$Q$27:$AE$27</definedName>
    <definedName name="UPN_300">UPN!$Q$29:$AE$29</definedName>
    <definedName name="UPN_320">UPN!$Q$30:$AE$30</definedName>
    <definedName name="UPN_350">UPN!$Q$31:$AE$31</definedName>
    <definedName name="UPN_380">UPN!$Q$32:$AE$32</definedName>
    <definedName name="UPN_400">UPN!$Q$34:$AE$34</definedName>
    <definedName name="vl">L!$I$16:$I$82</definedName>
    <definedName name="Wel.y" localSheetId="23">HE!$Q$13:$Q$177</definedName>
    <definedName name="Wel.y">IPE!$Q$15:$Q$81</definedName>
    <definedName name="Wel.yhe">HE!$Q$16:$Q$177</definedName>
    <definedName name="Wel.yn">IPN!$Q$18:$Q$39</definedName>
    <definedName name="Wel.z">IPE!$V$15:$V$81</definedName>
    <definedName name="Wel.zhe">HE!$V$16:$V$177</definedName>
    <definedName name="Wel.zn">IPN!$V$18:$V$39</definedName>
    <definedName name="Wpl.y" localSheetId="23">HE!$R$13:$R$177</definedName>
    <definedName name="Wpl.y">IPE!$R$15:$R$81</definedName>
    <definedName name="Wpl.yhe">HE!$R$16:$R$177</definedName>
    <definedName name="Wpl.yn">IPN!$R$18:$R$39</definedName>
    <definedName name="Wpl.z">IPE!$W$15:$W$81</definedName>
    <definedName name="Wpl.zhe">HE!$W$16:$W$177</definedName>
    <definedName name="Wpl.zn">IPN!$W$18:$W$39</definedName>
    <definedName name="Wu">UPN!$S$17:$S$34</definedName>
    <definedName name="Wuu">UPN!$T$17:$T$34</definedName>
    <definedName name="WyzL">L!$O$16:$O$82</definedName>
    <definedName name="Wzu">UPN!$X$17:$X$34</definedName>
    <definedName name="Wzuu">UPN!$Y$17:$Y$34</definedName>
    <definedName name="Yapı_onem">'tables(silmeyin)'!$C$11:$C$14</definedName>
    <definedName name="_xlnm.Print_Area" localSheetId="6">'basit+ankastre'!#REF!</definedName>
    <definedName name="_xlnm.Print_Area" localSheetId="1">'BÜKME-U-C-L ve UCGEN KESIT'!$A$1:$N$9</definedName>
    <definedName name="_xlnm.Print_Area" localSheetId="44">Mass!$A$4:$CG$189</definedName>
    <definedName name="_xlnm.Print_Area" localSheetId="27">W!$A$1:$AK$239</definedName>
    <definedName name="ymu">UPN!$AE$17:$AE$34</definedName>
    <definedName name="ysu">UPN!$AD$17:$AD$34</definedName>
    <definedName name="Z1_">'tables(silmeyin)'!$C$4:$D$4</definedName>
    <definedName name="Z2_">'tables(silmeyin)'!$C$5:$D$5</definedName>
    <definedName name="Z3_">'tables(silmeyin)'!$C$6:$D$6</definedName>
    <definedName name="Z4_">'tables(silmeyin)'!$C$7:$D$7</definedName>
    <definedName name="Zemin_sınıfı">'tables(silmeyin)'!$C$4:$D$7</definedName>
    <definedName name="zL_Yl">L!$H$16:$H$82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7" i="28" l="1"/>
  <c r="E25" i="29" l="1"/>
  <c r="C21" i="35"/>
  <c r="E52" i="29" l="1"/>
  <c r="U21" i="35" l="1"/>
  <c r="S21" i="35"/>
  <c r="Q21" i="35"/>
  <c r="W21" i="35" s="1"/>
  <c r="J21" i="35"/>
  <c r="K21" i="35" s="1"/>
  <c r="D21" i="35"/>
  <c r="F21" i="35" s="1"/>
  <c r="R21" i="35" s="1"/>
  <c r="T21" i="35" s="1"/>
  <c r="Y21" i="35" l="1"/>
  <c r="L21" i="35"/>
  <c r="H21" i="35"/>
  <c r="M21" i="35" s="1"/>
  <c r="F4" i="34" l="1"/>
  <c r="O7" i="28" l="1"/>
  <c r="Q50" i="43" l="1"/>
  <c r="Q49" i="43"/>
  <c r="Q48" i="43"/>
  <c r="Q47" i="43"/>
  <c r="D9" i="28" l="1"/>
  <c r="E9" i="28" s="1"/>
  <c r="O9" i="28" l="1"/>
  <c r="O8" i="28"/>
  <c r="G15" i="34" l="1"/>
  <c r="D22" i="32" l="1"/>
  <c r="E11" i="32" l="1"/>
  <c r="E12" i="32"/>
  <c r="E13" i="32"/>
  <c r="E14" i="32"/>
  <c r="E15" i="32"/>
  <c r="E16" i="32"/>
  <c r="E10" i="32"/>
  <c r="L40" i="28" l="1"/>
  <c r="W13" i="28" l="1"/>
  <c r="P48" i="32" l="1"/>
  <c r="P47" i="32"/>
  <c r="B17" i="28" l="1"/>
  <c r="B42" i="28" l="1"/>
  <c r="B43" i="28"/>
  <c r="T3" i="32" l="1"/>
  <c r="T4" i="32"/>
  <c r="T5" i="32"/>
  <c r="T6" i="32"/>
  <c r="T7" i="32"/>
  <c r="T8" i="32"/>
  <c r="T9" i="32"/>
  <c r="T2" i="32"/>
  <c r="V2" i="32" s="1"/>
  <c r="C157" i="36" l="1"/>
  <c r="F157" i="36" s="1"/>
  <c r="G157" i="36" l="1"/>
  <c r="D157" i="36"/>
  <c r="E157" i="36" s="1"/>
  <c r="H157" i="36" l="1"/>
  <c r="C7" i="28"/>
  <c r="C8" i="28"/>
  <c r="D30" i="32"/>
  <c r="D15" i="35" l="1"/>
  <c r="P8" i="29" l="1"/>
  <c r="F6" i="35" l="1"/>
  <c r="O35" i="32" l="1"/>
  <c r="G9" i="29" l="1"/>
  <c r="M20" i="36" l="1"/>
  <c r="M19" i="36"/>
  <c r="G15" i="29" l="1"/>
  <c r="A15" i="29"/>
  <c r="B15" i="29"/>
  <c r="C15" i="29"/>
  <c r="D15" i="29"/>
  <c r="E15" i="29"/>
  <c r="I9" i="29"/>
  <c r="J9" i="29" s="1"/>
  <c r="C9" i="29"/>
  <c r="P51" i="29"/>
  <c r="P52" i="29"/>
  <c r="U68" i="29"/>
  <c r="U67" i="29"/>
  <c r="U69" i="29" s="1"/>
  <c r="U70" i="29" s="1"/>
  <c r="T64" i="29"/>
  <c r="T63" i="29"/>
  <c r="T62" i="29"/>
  <c r="F9" i="29" l="1"/>
  <c r="K9" i="29" l="1"/>
  <c r="F15" i="29"/>
  <c r="L49" i="35"/>
  <c r="L48" i="35"/>
  <c r="I15" i="29" l="1"/>
  <c r="L15" i="29" s="1"/>
  <c r="H15" i="29"/>
  <c r="K15" i="29" s="1"/>
  <c r="D24" i="32"/>
  <c r="B20" i="28" l="1"/>
  <c r="C20" i="28"/>
  <c r="P7" i="28"/>
  <c r="U8" i="28"/>
  <c r="V8" i="28" s="1"/>
  <c r="P9" i="28"/>
  <c r="Q9" i="28" s="1"/>
  <c r="X9" i="28" s="1"/>
  <c r="I8" i="28"/>
  <c r="J8" i="28" s="1"/>
  <c r="H21" i="32"/>
  <c r="E11" i="28"/>
  <c r="F11" i="28" s="1"/>
  <c r="C11" i="28"/>
  <c r="B21" i="28"/>
  <c r="C21" i="28"/>
  <c r="D21" i="28"/>
  <c r="G21" i="28"/>
  <c r="B22" i="28"/>
  <c r="C22" i="28" s="1"/>
  <c r="D22" i="28"/>
  <c r="G22" i="28"/>
  <c r="I11" i="28"/>
  <c r="C12" i="28"/>
  <c r="E12" i="28"/>
  <c r="E22" i="28" s="1"/>
  <c r="I12" i="28"/>
  <c r="A21" i="28"/>
  <c r="A22" i="28"/>
  <c r="F8" i="28"/>
  <c r="E17" i="28"/>
  <c r="N10" i="32"/>
  <c r="C43" i="28"/>
  <c r="G37" i="28"/>
  <c r="V5" i="33"/>
  <c r="E24" i="32"/>
  <c r="I18" i="28"/>
  <c r="I19" i="28" s="1"/>
  <c r="I21" i="28"/>
  <c r="I22" i="28"/>
  <c r="L5" i="32"/>
  <c r="M5" i="32" s="1"/>
  <c r="E5" i="32"/>
  <c r="G5" i="32" s="1"/>
  <c r="H5" i="32" s="1"/>
  <c r="I5" i="32" s="1"/>
  <c r="F5" i="32"/>
  <c r="H30" i="32"/>
  <c r="I30" i="32" s="1"/>
  <c r="K30" i="32"/>
  <c r="L30" i="32" s="1"/>
  <c r="E47" i="32"/>
  <c r="K47" i="32" s="1"/>
  <c r="G47" i="32"/>
  <c r="Q47" i="32" s="1"/>
  <c r="H47" i="32"/>
  <c r="I47" i="32" s="1"/>
  <c r="E48" i="32"/>
  <c r="G48" i="32"/>
  <c r="Q48" i="32" s="1"/>
  <c r="H48" i="32"/>
  <c r="I48" i="32" s="1"/>
  <c r="M3" i="21"/>
  <c r="J4" i="21" s="1"/>
  <c r="Q4" i="21" s="1"/>
  <c r="U4" i="21" s="1"/>
  <c r="C15" i="35"/>
  <c r="F15" i="35"/>
  <c r="H15" i="35" s="1"/>
  <c r="G17" i="28"/>
  <c r="Q52" i="29"/>
  <c r="R52" i="29" s="1"/>
  <c r="Y52" i="29" s="1"/>
  <c r="S52" i="29"/>
  <c r="V52" i="29"/>
  <c r="W52" i="29" s="1"/>
  <c r="S51" i="29"/>
  <c r="T51" i="29" s="1"/>
  <c r="AE8" i="29"/>
  <c r="V8" i="29"/>
  <c r="W8" i="29" s="1"/>
  <c r="O40" i="28"/>
  <c r="P40" i="28" s="1"/>
  <c r="D17" i="28"/>
  <c r="C17" i="28"/>
  <c r="C42" i="28"/>
  <c r="B18" i="28"/>
  <c r="C44" i="28"/>
  <c r="B44" i="28"/>
  <c r="D44" i="28" s="1"/>
  <c r="E52" i="28"/>
  <c r="B155" i="36"/>
  <c r="D25" i="32"/>
  <c r="K25" i="32" s="1"/>
  <c r="E10" i="28"/>
  <c r="F10" i="28"/>
  <c r="D20" i="28"/>
  <c r="M34" i="28"/>
  <c r="N34" i="28"/>
  <c r="F20" i="35"/>
  <c r="F25" i="35" s="1"/>
  <c r="F27" i="35" s="1"/>
  <c r="F52" i="29"/>
  <c r="G35" i="29"/>
  <c r="F25" i="29"/>
  <c r="F35" i="29" s="1"/>
  <c r="H57" i="32"/>
  <c r="I57" i="32" s="1"/>
  <c r="E57" i="32"/>
  <c r="K57" i="32" s="1"/>
  <c r="H56" i="32"/>
  <c r="I56" i="32" s="1"/>
  <c r="U5" i="32"/>
  <c r="D29" i="32"/>
  <c r="D28" i="32"/>
  <c r="E28" i="32" s="1"/>
  <c r="E22" i="32"/>
  <c r="G30" i="32"/>
  <c r="E30" i="32" s="1"/>
  <c r="J30" i="32" s="1"/>
  <c r="M47" i="36"/>
  <c r="M54" i="36"/>
  <c r="F9" i="28"/>
  <c r="H51" i="32"/>
  <c r="H52" i="32"/>
  <c r="H53" i="32"/>
  <c r="I53" i="32"/>
  <c r="H54" i="32"/>
  <c r="H55" i="32"/>
  <c r="I55" i="32" s="1"/>
  <c r="H50" i="32"/>
  <c r="H49" i="32"/>
  <c r="I49" i="32" s="1"/>
  <c r="G49" i="32"/>
  <c r="G50" i="32"/>
  <c r="M50" i="32" s="1"/>
  <c r="G51" i="32"/>
  <c r="G52" i="32"/>
  <c r="G53" i="32"/>
  <c r="G54" i="32"/>
  <c r="G55" i="32"/>
  <c r="G56" i="32"/>
  <c r="G57" i="32"/>
  <c r="E49" i="32"/>
  <c r="K49" i="32" s="1"/>
  <c r="E50" i="32"/>
  <c r="K50" i="32" s="1"/>
  <c r="E51" i="32"/>
  <c r="K51" i="32" s="1"/>
  <c r="E52" i="32"/>
  <c r="K52" i="32" s="1"/>
  <c r="E53" i="32"/>
  <c r="K53" i="32" s="1"/>
  <c r="E54" i="32"/>
  <c r="K54" i="32" s="1"/>
  <c r="E55" i="32"/>
  <c r="E56" i="32"/>
  <c r="K56" i="32" s="1"/>
  <c r="O54" i="32"/>
  <c r="P54" i="32" s="1"/>
  <c r="Q54" i="32" s="1"/>
  <c r="C18" i="34"/>
  <c r="C20" i="34" s="1"/>
  <c r="Y6" i="1"/>
  <c r="AA6" i="1" s="1"/>
  <c r="T177" i="47"/>
  <c r="U177" i="47" s="1"/>
  <c r="S177" i="47"/>
  <c r="E63" i="32"/>
  <c r="G63" i="32" s="1"/>
  <c r="M63" i="32" s="1"/>
  <c r="E64" i="32"/>
  <c r="G64" i="32" s="1"/>
  <c r="E65" i="32"/>
  <c r="G65" i="32" s="1"/>
  <c r="E66" i="32"/>
  <c r="G66" i="32" s="1"/>
  <c r="D22" i="35"/>
  <c r="F22" i="35" s="1"/>
  <c r="H22" i="35" s="1"/>
  <c r="J22" i="35"/>
  <c r="K22" i="35" s="1"/>
  <c r="Q27" i="32"/>
  <c r="P28" i="32"/>
  <c r="U27" i="32"/>
  <c r="U30" i="32"/>
  <c r="V26" i="32"/>
  <c r="V27" i="32" s="1"/>
  <c r="S30" i="32"/>
  <c r="S27" i="32"/>
  <c r="T26" i="32"/>
  <c r="T27" i="32" s="1"/>
  <c r="N28" i="28"/>
  <c r="D18" i="28"/>
  <c r="V20" i="32"/>
  <c r="E23" i="32"/>
  <c r="E28" i="33"/>
  <c r="P28" i="33"/>
  <c r="H28" i="33"/>
  <c r="I28" i="33"/>
  <c r="G28" i="33"/>
  <c r="Q65" i="32"/>
  <c r="M4" i="33"/>
  <c r="N4" i="33" s="1"/>
  <c r="F4" i="33"/>
  <c r="H4" i="33" s="1"/>
  <c r="I4" i="33" s="1"/>
  <c r="J4" i="33"/>
  <c r="K4" i="33" s="1"/>
  <c r="I7" i="28"/>
  <c r="J7" i="28" s="1"/>
  <c r="A55" i="36"/>
  <c r="B6" i="38"/>
  <c r="D6" i="38" s="1"/>
  <c r="E6" i="38" s="1"/>
  <c r="F6" i="38" s="1"/>
  <c r="P6" i="38"/>
  <c r="Q6" i="38" s="1"/>
  <c r="J6" i="38"/>
  <c r="C20" i="38"/>
  <c r="C22" i="38" s="1"/>
  <c r="E32" i="28"/>
  <c r="F32" i="28" s="1"/>
  <c r="G32" i="28" s="1"/>
  <c r="B21" i="30"/>
  <c r="C21" i="30" s="1"/>
  <c r="G21" i="30"/>
  <c r="E62" i="32"/>
  <c r="G62" i="32" s="1"/>
  <c r="N62" i="32" s="1"/>
  <c r="T37" i="32"/>
  <c r="R42" i="32"/>
  <c r="R44" i="32" s="1"/>
  <c r="E34" i="32"/>
  <c r="G34" i="32" s="1"/>
  <c r="E35" i="32"/>
  <c r="G35" i="32" s="1"/>
  <c r="R36" i="32"/>
  <c r="C167" i="36"/>
  <c r="D167" i="36" s="1"/>
  <c r="E167" i="36" s="1"/>
  <c r="G167" i="36" s="1"/>
  <c r="R40" i="28"/>
  <c r="S40" i="28" s="1"/>
  <c r="C158" i="36"/>
  <c r="D158" i="36" s="1"/>
  <c r="L159" i="36"/>
  <c r="K154" i="36"/>
  <c r="K155" i="36"/>
  <c r="C159" i="36"/>
  <c r="I155" i="36"/>
  <c r="Q158" i="36"/>
  <c r="C168" i="36"/>
  <c r="D168" i="36"/>
  <c r="E168" i="36" s="1"/>
  <c r="C169" i="36"/>
  <c r="D169" i="36" s="1"/>
  <c r="E169" i="36" s="1"/>
  <c r="C170" i="36"/>
  <c r="D170" i="36" s="1"/>
  <c r="E170" i="36" s="1"/>
  <c r="C4" i="36"/>
  <c r="D4" i="36"/>
  <c r="L156" i="36"/>
  <c r="L157" i="36" s="1"/>
  <c r="C161" i="36"/>
  <c r="D161" i="36"/>
  <c r="M161" i="36" s="1"/>
  <c r="C155" i="36"/>
  <c r="C156" i="36"/>
  <c r="D156" i="36" s="1"/>
  <c r="S165" i="36"/>
  <c r="R164" i="36"/>
  <c r="R166" i="36" s="1"/>
  <c r="O166" i="36"/>
  <c r="C154" i="36"/>
  <c r="D154" i="36"/>
  <c r="E154" i="36" s="1"/>
  <c r="R154" i="36" s="1"/>
  <c r="T154" i="36" s="1"/>
  <c r="M153" i="36"/>
  <c r="C153" i="36"/>
  <c r="B19" i="28"/>
  <c r="C19" i="28" s="1"/>
  <c r="D19" i="28"/>
  <c r="G19" i="28"/>
  <c r="E28" i="44"/>
  <c r="G28" i="44" s="1"/>
  <c r="E21" i="44"/>
  <c r="K28" i="44"/>
  <c r="M28" i="44" s="1"/>
  <c r="K21" i="44"/>
  <c r="M21" i="44" s="1"/>
  <c r="F7" i="44"/>
  <c r="G7" i="44" s="1"/>
  <c r="H7" i="44" s="1"/>
  <c r="H28" i="44"/>
  <c r="H30" i="44" s="1"/>
  <c r="H21" i="44"/>
  <c r="I21" i="44" s="1"/>
  <c r="B12" i="44"/>
  <c r="E12" i="44" s="1"/>
  <c r="G12" i="44" s="1"/>
  <c r="D12" i="44"/>
  <c r="C12" i="44"/>
  <c r="A12" i="44"/>
  <c r="F45" i="31"/>
  <c r="H45" i="31" s="1"/>
  <c r="I45" i="31"/>
  <c r="J45" i="31" s="1"/>
  <c r="L45" i="31"/>
  <c r="M45" i="31"/>
  <c r="E8" i="31"/>
  <c r="F8" i="31" s="1"/>
  <c r="I44" i="31"/>
  <c r="E4" i="32"/>
  <c r="F4" i="32" s="1"/>
  <c r="Q22" i="29"/>
  <c r="A17" i="28"/>
  <c r="I52" i="29"/>
  <c r="J52" i="29" s="1"/>
  <c r="L44" i="31"/>
  <c r="N44" i="31"/>
  <c r="M44" i="31"/>
  <c r="F44" i="31"/>
  <c r="I8" i="31"/>
  <c r="J8" i="31" s="1"/>
  <c r="C8" i="42"/>
  <c r="C44" i="42" s="1"/>
  <c r="Y52" i="35"/>
  <c r="Y54" i="35"/>
  <c r="Y53" i="35"/>
  <c r="M48" i="35"/>
  <c r="Y47" i="35"/>
  <c r="Y49" i="35" s="1"/>
  <c r="Y48" i="35"/>
  <c r="M47" i="35"/>
  <c r="O47" i="35" s="1"/>
  <c r="B37" i="30"/>
  <c r="C37" i="30"/>
  <c r="E32" i="30"/>
  <c r="F32" i="30"/>
  <c r="G32" i="30" s="1"/>
  <c r="N32" i="35"/>
  <c r="N31" i="35"/>
  <c r="J31" i="35"/>
  <c r="L31" i="35"/>
  <c r="M31" i="35" s="1"/>
  <c r="O31" i="35" s="1"/>
  <c r="J32" i="35"/>
  <c r="L32" i="35"/>
  <c r="M32" i="35" s="1"/>
  <c r="O32" i="35" s="1"/>
  <c r="O34" i="35"/>
  <c r="M49" i="35"/>
  <c r="O49" i="35" s="1"/>
  <c r="P49" i="35"/>
  <c r="Q49" i="35" s="1"/>
  <c r="S49" i="35"/>
  <c r="T49" i="35" s="1"/>
  <c r="P48" i="35"/>
  <c r="Q48" i="35" s="1"/>
  <c r="S48" i="35"/>
  <c r="T48" i="35" s="1"/>
  <c r="S47" i="35"/>
  <c r="P47" i="35"/>
  <c r="F30" i="35"/>
  <c r="F32" i="35"/>
  <c r="F34" i="35"/>
  <c r="F36" i="35" s="1"/>
  <c r="F41" i="35"/>
  <c r="J7" i="35"/>
  <c r="K7" i="35" s="1"/>
  <c r="L7" i="35" s="1"/>
  <c r="D21" i="30"/>
  <c r="E21" i="30"/>
  <c r="I9" i="30"/>
  <c r="P4" i="21"/>
  <c r="O10" i="32"/>
  <c r="A79" i="36"/>
  <c r="A80" i="36"/>
  <c r="A81" i="36" s="1"/>
  <c r="J6" i="35"/>
  <c r="K6" i="35" s="1"/>
  <c r="L6" i="35" s="1"/>
  <c r="B2" i="39"/>
  <c r="J2" i="39" s="1"/>
  <c r="K2" i="39" s="1"/>
  <c r="L2" i="39" s="1"/>
  <c r="C2" i="39"/>
  <c r="N2" i="39" s="1"/>
  <c r="D2" i="39"/>
  <c r="K7" i="39" s="1"/>
  <c r="E2" i="39"/>
  <c r="H2" i="39"/>
  <c r="I2" i="39"/>
  <c r="B3" i="39"/>
  <c r="C3" i="39"/>
  <c r="D3" i="39"/>
  <c r="N3" i="39"/>
  <c r="F3" i="39"/>
  <c r="H3" i="39"/>
  <c r="B4" i="39"/>
  <c r="G4" i="39" s="1"/>
  <c r="H4" i="39" s="1"/>
  <c r="C4" i="39"/>
  <c r="F4" i="39"/>
  <c r="D4" i="39"/>
  <c r="M4" i="39"/>
  <c r="N4" i="39" s="1"/>
  <c r="B5" i="39"/>
  <c r="G5" i="39" s="1"/>
  <c r="H5" i="39" s="1"/>
  <c r="C5" i="39"/>
  <c r="F5" i="39"/>
  <c r="D5" i="39"/>
  <c r="N5" i="39" s="1"/>
  <c r="B6" i="39"/>
  <c r="C6" i="39"/>
  <c r="N6" i="39" s="1"/>
  <c r="O6" i="39" s="1"/>
  <c r="P6" i="39" s="1"/>
  <c r="D6" i="39"/>
  <c r="B7" i="39"/>
  <c r="C7" i="39"/>
  <c r="N7" i="39" s="1"/>
  <c r="O7" i="39" s="1"/>
  <c r="P7" i="39" s="1"/>
  <c r="D7" i="39"/>
  <c r="A8" i="39"/>
  <c r="A9" i="39"/>
  <c r="C9" i="39" s="1"/>
  <c r="N9" i="39" s="1"/>
  <c r="B10" i="39"/>
  <c r="C10" i="39"/>
  <c r="D10" i="39"/>
  <c r="F10" i="39"/>
  <c r="E10" i="39" s="1"/>
  <c r="H10" i="39"/>
  <c r="N10" i="39"/>
  <c r="A12" i="39"/>
  <c r="C17" i="39"/>
  <c r="D17" i="39"/>
  <c r="E17" i="39"/>
  <c r="F17" i="39"/>
  <c r="G17" i="39" s="1"/>
  <c r="C18" i="39"/>
  <c r="D18" i="39" s="1"/>
  <c r="E18" i="39"/>
  <c r="F18" i="39" s="1"/>
  <c r="G18" i="39" s="1"/>
  <c r="H18" i="39" s="1"/>
  <c r="C19" i="39"/>
  <c r="D19" i="39" s="1"/>
  <c r="E19" i="39"/>
  <c r="F19" i="39" s="1"/>
  <c r="G19" i="39" s="1"/>
  <c r="H19" i="39" s="1"/>
  <c r="C20" i="39"/>
  <c r="D20" i="39" s="1"/>
  <c r="E20" i="39"/>
  <c r="F20" i="39" s="1"/>
  <c r="G20" i="39" s="1"/>
  <c r="C21" i="39"/>
  <c r="D21" i="39"/>
  <c r="E21" i="39"/>
  <c r="F21" i="39"/>
  <c r="G21" i="39" s="1"/>
  <c r="H21" i="39" s="1"/>
  <c r="C22" i="39"/>
  <c r="D22" i="39" s="1"/>
  <c r="E22" i="39"/>
  <c r="F22" i="39" s="1"/>
  <c r="G22" i="39" s="1"/>
  <c r="C23" i="39"/>
  <c r="D23" i="39"/>
  <c r="E23" i="39"/>
  <c r="F23" i="39"/>
  <c r="G23" i="39" s="1"/>
  <c r="H23" i="39" s="1"/>
  <c r="C24" i="39"/>
  <c r="D24" i="39"/>
  <c r="E24" i="39"/>
  <c r="F24" i="39"/>
  <c r="G24" i="39" s="1"/>
  <c r="H24" i="39" s="1"/>
  <c r="C25" i="39"/>
  <c r="D25" i="39"/>
  <c r="E25" i="39"/>
  <c r="F25" i="39"/>
  <c r="G25" i="39" s="1"/>
  <c r="H25" i="39" s="1"/>
  <c r="A26" i="39"/>
  <c r="E26" i="39" s="1"/>
  <c r="F26" i="39" s="1"/>
  <c r="C26" i="39"/>
  <c r="D26" i="39"/>
  <c r="C27" i="39"/>
  <c r="D27" i="39"/>
  <c r="C28" i="39"/>
  <c r="D28" i="39"/>
  <c r="C29" i="39"/>
  <c r="D29" i="39"/>
  <c r="C30" i="39"/>
  <c r="D30" i="39"/>
  <c r="C31" i="39"/>
  <c r="D31" i="39"/>
  <c r="C32" i="39"/>
  <c r="D32" i="39"/>
  <c r="E55" i="39"/>
  <c r="G6" i="40"/>
  <c r="K6" i="40" s="1"/>
  <c r="I6" i="40"/>
  <c r="L6" i="40"/>
  <c r="M6" i="40" s="1"/>
  <c r="G7" i="40"/>
  <c r="H7" i="40" s="1"/>
  <c r="I7" i="40"/>
  <c r="L7" i="40"/>
  <c r="M7" i="40"/>
  <c r="G8" i="40"/>
  <c r="H8" i="40"/>
  <c r="I8" i="40"/>
  <c r="L8" i="40"/>
  <c r="G9" i="40"/>
  <c r="H9" i="40"/>
  <c r="I9" i="40"/>
  <c r="J9" i="40"/>
  <c r="L9" i="40"/>
  <c r="M9" i="40" s="1"/>
  <c r="U22" i="40" s="1"/>
  <c r="D11" i="40"/>
  <c r="C12" i="40"/>
  <c r="O21" i="40" s="1"/>
  <c r="G13" i="40"/>
  <c r="H13" i="40"/>
  <c r="I13" i="40"/>
  <c r="C14" i="40"/>
  <c r="E19" i="40"/>
  <c r="G19" i="40" s="1"/>
  <c r="K19" i="40"/>
  <c r="K27" i="40" s="1"/>
  <c r="K28" i="40" s="1"/>
  <c r="K29" i="40" s="1"/>
  <c r="K30" i="40" s="1"/>
  <c r="O19" i="40"/>
  <c r="B20" i="40"/>
  <c r="B21" i="40"/>
  <c r="B22" i="40"/>
  <c r="C20" i="40"/>
  <c r="C21" i="40"/>
  <c r="C22" i="40" s="1"/>
  <c r="D20" i="40"/>
  <c r="D21" i="40" s="1"/>
  <c r="D22" i="40" s="1"/>
  <c r="E20" i="40"/>
  <c r="E21" i="40"/>
  <c r="E22" i="40" s="1"/>
  <c r="O20" i="40"/>
  <c r="B27" i="40"/>
  <c r="B28" i="40"/>
  <c r="B29" i="40" s="1"/>
  <c r="B30" i="40" s="1"/>
  <c r="D27" i="40"/>
  <c r="C28" i="40"/>
  <c r="C29" i="40" s="1"/>
  <c r="C30" i="40" s="1"/>
  <c r="B15" i="41"/>
  <c r="D8" i="42"/>
  <c r="C7" i="42"/>
  <c r="C9" i="42" s="1"/>
  <c r="D7" i="42"/>
  <c r="D9" i="42" s="1"/>
  <c r="E7" i="42"/>
  <c r="E9" i="42" s="1"/>
  <c r="F7" i="42"/>
  <c r="F9" i="42"/>
  <c r="G7" i="42"/>
  <c r="G9" i="42"/>
  <c r="H7" i="42"/>
  <c r="H9" i="42" s="1"/>
  <c r="I7" i="42"/>
  <c r="I9" i="42"/>
  <c r="E8" i="42"/>
  <c r="F8" i="42"/>
  <c r="G8" i="42"/>
  <c r="M9" i="42" s="1"/>
  <c r="L26" i="42"/>
  <c r="H8" i="42"/>
  <c r="I8" i="42"/>
  <c r="O25" i="42" s="1"/>
  <c r="P23" i="42"/>
  <c r="L10" i="42"/>
  <c r="B14" i="41"/>
  <c r="D48" i="43"/>
  <c r="E48" i="43"/>
  <c r="G48" i="43"/>
  <c r="G50" i="43"/>
  <c r="E49" i="43"/>
  <c r="G49" i="43"/>
  <c r="E50" i="43"/>
  <c r="V4" i="38"/>
  <c r="D5" i="38"/>
  <c r="G5" i="38" s="1"/>
  <c r="L5" i="38"/>
  <c r="M5" i="38"/>
  <c r="N5" i="38"/>
  <c r="Q5" i="38"/>
  <c r="R5" i="38"/>
  <c r="S5" i="38"/>
  <c r="V5" i="38"/>
  <c r="D14" i="38"/>
  <c r="D13" i="38" s="1"/>
  <c r="K6" i="38" s="1"/>
  <c r="L6" i="38" s="1"/>
  <c r="B13" i="38" s="1"/>
  <c r="O6" i="38"/>
  <c r="O7" i="38"/>
  <c r="Q7" i="38" s="1"/>
  <c r="B7" i="38"/>
  <c r="C7" i="38"/>
  <c r="C8" i="38"/>
  <c r="L8" i="38"/>
  <c r="M8" i="38"/>
  <c r="N8" i="38"/>
  <c r="Q8" i="38"/>
  <c r="R8" i="38"/>
  <c r="S8" i="38"/>
  <c r="D12" i="38"/>
  <c r="B21" i="38"/>
  <c r="B22" i="38" s="1"/>
  <c r="X30" i="38"/>
  <c r="X31" i="38" s="1"/>
  <c r="D31" i="38"/>
  <c r="E31" i="38" s="1"/>
  <c r="L31" i="38"/>
  <c r="M31" i="38"/>
  <c r="N31" i="38"/>
  <c r="S31" i="38"/>
  <c r="B38" i="38" s="1"/>
  <c r="T31" i="38"/>
  <c r="U31" i="38"/>
  <c r="A38" i="38"/>
  <c r="A46" i="38"/>
  <c r="D38" i="38"/>
  <c r="A47" i="38"/>
  <c r="D56" i="38"/>
  <c r="E56" i="38" s="1"/>
  <c r="F56" i="38" s="1"/>
  <c r="N56" i="38"/>
  <c r="O56" i="38"/>
  <c r="P56" i="38"/>
  <c r="A63" i="38"/>
  <c r="A71" i="38"/>
  <c r="D63" i="38"/>
  <c r="A64" i="38"/>
  <c r="A72" i="38" s="1"/>
  <c r="A8" i="37"/>
  <c r="M8" i="37"/>
  <c r="D9" i="37"/>
  <c r="F9" i="37"/>
  <c r="H9" i="37"/>
  <c r="E9" i="37"/>
  <c r="J9" i="37"/>
  <c r="L9" i="37" s="1"/>
  <c r="N9" i="37" s="1"/>
  <c r="O9" i="37" s="1"/>
  <c r="K9" i="37"/>
  <c r="M9" i="37"/>
  <c r="A19" i="37"/>
  <c r="M19" i="37"/>
  <c r="D20" i="37"/>
  <c r="E20" i="37"/>
  <c r="J20" i="37"/>
  <c r="L20" i="37" s="1"/>
  <c r="N20" i="37" s="1"/>
  <c r="K20" i="37"/>
  <c r="M20" i="37"/>
  <c r="B23" i="37"/>
  <c r="A24" i="37"/>
  <c r="A25" i="37"/>
  <c r="B25" i="37" s="1"/>
  <c r="A26" i="37"/>
  <c r="B26" i="37" s="1"/>
  <c r="F4" i="36"/>
  <c r="N4" i="36"/>
  <c r="P4" i="36"/>
  <c r="Q154" i="36"/>
  <c r="Q155" i="36"/>
  <c r="A5" i="36"/>
  <c r="A6" i="36" s="1"/>
  <c r="B5" i="36"/>
  <c r="I5" i="36"/>
  <c r="L5" i="36"/>
  <c r="O5" i="36"/>
  <c r="C7" i="36"/>
  <c r="A8" i="36"/>
  <c r="B8" i="36"/>
  <c r="C10" i="36"/>
  <c r="D10" i="36" s="1"/>
  <c r="E10" i="36" s="1"/>
  <c r="A11" i="36"/>
  <c r="A12" i="36"/>
  <c r="B11" i="36"/>
  <c r="C13" i="36"/>
  <c r="D13" i="36"/>
  <c r="E13" i="36" s="1"/>
  <c r="A14" i="36"/>
  <c r="B14" i="36"/>
  <c r="B15" i="36" s="1"/>
  <c r="B16" i="36" s="1"/>
  <c r="B17" i="36" s="1"/>
  <c r="C18" i="36"/>
  <c r="D18" i="36" s="1"/>
  <c r="E18" i="36" s="1"/>
  <c r="A19" i="36"/>
  <c r="B19" i="36"/>
  <c r="A20" i="36"/>
  <c r="C23" i="36"/>
  <c r="D23" i="36" s="1"/>
  <c r="E23" i="36" s="1"/>
  <c r="A24" i="36"/>
  <c r="B24" i="36"/>
  <c r="C24" i="36" s="1"/>
  <c r="D24" i="36" s="1"/>
  <c r="E24" i="36" s="1"/>
  <c r="C29" i="36"/>
  <c r="A30" i="36"/>
  <c r="B30" i="36"/>
  <c r="B31" i="36" s="1"/>
  <c r="B32" i="36" s="1"/>
  <c r="B33" i="36" s="1"/>
  <c r="C34" i="36"/>
  <c r="A35" i="36"/>
  <c r="C35" i="36" s="1"/>
  <c r="A36" i="36"/>
  <c r="B35" i="36"/>
  <c r="C37" i="36"/>
  <c r="D37" i="36"/>
  <c r="M37" i="36"/>
  <c r="A38" i="36"/>
  <c r="C38" i="36" s="1"/>
  <c r="A39" i="36"/>
  <c r="B38" i="36"/>
  <c r="B39" i="36" s="1"/>
  <c r="C40" i="36"/>
  <c r="D40" i="36"/>
  <c r="A41" i="36"/>
  <c r="C41" i="36" s="1"/>
  <c r="C43" i="36"/>
  <c r="F43" i="36" s="1"/>
  <c r="A44" i="36"/>
  <c r="C44" i="36" s="1"/>
  <c r="F44" i="36" s="1"/>
  <c r="G44" i="36" s="1"/>
  <c r="M44" i="36"/>
  <c r="B45" i="36"/>
  <c r="C46" i="36"/>
  <c r="D46" i="36" s="1"/>
  <c r="A47" i="36"/>
  <c r="C47" i="36"/>
  <c r="C48" i="36"/>
  <c r="D48" i="36" s="1"/>
  <c r="A49" i="36"/>
  <c r="C49" i="36" s="1"/>
  <c r="C50" i="36"/>
  <c r="D50" i="36" s="1"/>
  <c r="E50" i="36" s="1"/>
  <c r="A51" i="36"/>
  <c r="C51" i="36" s="1"/>
  <c r="B52" i="36"/>
  <c r="B53" i="36"/>
  <c r="C54" i="36"/>
  <c r="C55" i="36"/>
  <c r="A56" i="36"/>
  <c r="B56" i="36"/>
  <c r="A57" i="36"/>
  <c r="C58" i="36"/>
  <c r="D58" i="36"/>
  <c r="E58" i="36" s="1"/>
  <c r="I58" i="36"/>
  <c r="K86" i="36"/>
  <c r="K58" i="36" s="1"/>
  <c r="M58" i="36" s="1"/>
  <c r="A59" i="36"/>
  <c r="B59" i="36"/>
  <c r="A60" i="36"/>
  <c r="C62" i="36"/>
  <c r="D62" i="36" s="1"/>
  <c r="E62" i="36" s="1"/>
  <c r="A63" i="36"/>
  <c r="C70" i="36"/>
  <c r="D70" i="36" s="1"/>
  <c r="E70" i="36" s="1"/>
  <c r="X70" i="36"/>
  <c r="Y70" i="36"/>
  <c r="A71" i="36"/>
  <c r="C71" i="36" s="1"/>
  <c r="Y71" i="36"/>
  <c r="C78" i="36"/>
  <c r="D78" i="36"/>
  <c r="E78" i="36" s="1"/>
  <c r="C79" i="36"/>
  <c r="C86" i="36"/>
  <c r="A87" i="36"/>
  <c r="A88" i="36" s="1"/>
  <c r="B89" i="36"/>
  <c r="C90" i="36"/>
  <c r="D90" i="36"/>
  <c r="E90" i="36" s="1"/>
  <c r="A91" i="36"/>
  <c r="C99" i="36"/>
  <c r="A100" i="36"/>
  <c r="C108" i="36"/>
  <c r="A109" i="36"/>
  <c r="C116" i="36"/>
  <c r="D116" i="36" s="1"/>
  <c r="E116" i="36" s="1"/>
  <c r="F116" i="36"/>
  <c r="A117" i="36"/>
  <c r="C125" i="36"/>
  <c r="F125" i="36" s="1"/>
  <c r="A126" i="36"/>
  <c r="A127" i="36" s="1"/>
  <c r="X126" i="36"/>
  <c r="X127" i="36"/>
  <c r="X128" i="36"/>
  <c r="C134" i="36"/>
  <c r="D134" i="36" s="1"/>
  <c r="E134" i="36" s="1"/>
  <c r="C135" i="36"/>
  <c r="D135" i="36" s="1"/>
  <c r="A136" i="36"/>
  <c r="B136" i="36"/>
  <c r="A137" i="36"/>
  <c r="B137" i="36"/>
  <c r="A138" i="36"/>
  <c r="A139" i="36"/>
  <c r="C139" i="36" s="1"/>
  <c r="B144" i="36"/>
  <c r="B146" i="36"/>
  <c r="C148" i="36"/>
  <c r="A149" i="36"/>
  <c r="F149" i="36" s="1"/>
  <c r="G149" i="36" s="1"/>
  <c r="C149" i="36"/>
  <c r="A150" i="36"/>
  <c r="C152" i="36"/>
  <c r="D152" i="36" s="1"/>
  <c r="E152" i="36" s="1"/>
  <c r="F154" i="36"/>
  <c r="G154" i="36" s="1"/>
  <c r="I154" i="36"/>
  <c r="F156" i="36"/>
  <c r="G156" i="36" s="1"/>
  <c r="F161" i="36"/>
  <c r="G161" i="36" s="1"/>
  <c r="C162" i="36"/>
  <c r="M144" i="21"/>
  <c r="J8" i="21"/>
  <c r="F23" i="20"/>
  <c r="F29" i="20"/>
  <c r="F30" i="20" s="1"/>
  <c r="B21" i="20"/>
  <c r="I29" i="20"/>
  <c r="I23" i="20"/>
  <c r="I30" i="20"/>
  <c r="F22" i="20"/>
  <c r="F24" i="20"/>
  <c r="F26" i="20" s="1"/>
  <c r="F25" i="20"/>
  <c r="Q6" i="35"/>
  <c r="R6" i="35" s="1"/>
  <c r="J15" i="35"/>
  <c r="K15" i="35" s="1"/>
  <c r="J20" i="35"/>
  <c r="K20" i="35" s="1"/>
  <c r="Q20" i="35"/>
  <c r="W20" i="35"/>
  <c r="S20" i="35"/>
  <c r="U20" i="35"/>
  <c r="Q26" i="35"/>
  <c r="W26" i="35"/>
  <c r="R26" i="35"/>
  <c r="T26" i="35"/>
  <c r="Y26" i="35" s="1"/>
  <c r="S26" i="35"/>
  <c r="U26" i="35"/>
  <c r="E4" i="34"/>
  <c r="I4" i="34" s="1"/>
  <c r="G4" i="34"/>
  <c r="E5" i="34"/>
  <c r="F5" i="34"/>
  <c r="G5" i="34"/>
  <c r="I5" i="34"/>
  <c r="E6" i="34"/>
  <c r="I6" i="34" s="1"/>
  <c r="F6" i="34"/>
  <c r="G6" i="34" s="1"/>
  <c r="E7" i="34"/>
  <c r="I7" i="34" s="1"/>
  <c r="F7" i="34"/>
  <c r="G7" i="34" s="1"/>
  <c r="D12" i="34"/>
  <c r="F5" i="33"/>
  <c r="H5" i="33"/>
  <c r="J5" i="33"/>
  <c r="K5" i="33"/>
  <c r="M5" i="33"/>
  <c r="N5" i="33"/>
  <c r="O5" i="33" s="1"/>
  <c r="E10" i="33"/>
  <c r="J10" i="33" s="1"/>
  <c r="F10" i="33"/>
  <c r="E11" i="33"/>
  <c r="J11" i="33"/>
  <c r="F11" i="33"/>
  <c r="H11" i="33"/>
  <c r="B13" i="33"/>
  <c r="F18" i="33"/>
  <c r="H18" i="33" s="1"/>
  <c r="G18" i="33" s="1"/>
  <c r="N18" i="33" s="1"/>
  <c r="O18" i="33" s="1"/>
  <c r="F19" i="33"/>
  <c r="H19" i="33" s="1"/>
  <c r="F20" i="33"/>
  <c r="H20" i="33" s="1"/>
  <c r="G20" i="33"/>
  <c r="N20" i="33" s="1"/>
  <c r="O20" i="33" s="1"/>
  <c r="F21" i="33"/>
  <c r="H21" i="33"/>
  <c r="F22" i="33"/>
  <c r="H22" i="33"/>
  <c r="I22" i="33" s="1"/>
  <c r="L4" i="32"/>
  <c r="M4" i="32" s="1"/>
  <c r="H10" i="32"/>
  <c r="I10" i="32" s="1"/>
  <c r="K10" i="32"/>
  <c r="G11" i="32"/>
  <c r="H11" i="32"/>
  <c r="I11" i="32" s="1"/>
  <c r="K11" i="32"/>
  <c r="L11" i="32" s="1"/>
  <c r="G12" i="32"/>
  <c r="H12" i="32"/>
  <c r="I12" i="32" s="1"/>
  <c r="K12" i="32"/>
  <c r="H13" i="32"/>
  <c r="I13" i="32"/>
  <c r="K13" i="32"/>
  <c r="L13" i="32" s="1"/>
  <c r="H14" i="32"/>
  <c r="J14" i="32" s="1"/>
  <c r="K14" i="32"/>
  <c r="L14" i="32" s="1"/>
  <c r="G15" i="32"/>
  <c r="H15" i="32"/>
  <c r="J15" i="32" s="1"/>
  <c r="I15" i="32"/>
  <c r="K15" i="32"/>
  <c r="L15" i="32"/>
  <c r="M16" i="32"/>
  <c r="G16" i="32"/>
  <c r="H17" i="32" s="1"/>
  <c r="I17" i="32" s="1"/>
  <c r="H16" i="32"/>
  <c r="I16" i="32" s="1"/>
  <c r="K16" i="32"/>
  <c r="L16" i="32"/>
  <c r="F22" i="32"/>
  <c r="F23" i="32" s="1"/>
  <c r="F24" i="32" s="1"/>
  <c r="F25" i="32" s="1"/>
  <c r="F26" i="32" s="1"/>
  <c r="E26" i="32"/>
  <c r="H26" i="32"/>
  <c r="K26" i="32"/>
  <c r="M26" i="32" s="1"/>
  <c r="E27" i="32"/>
  <c r="H27" i="32"/>
  <c r="I27" i="32" s="1"/>
  <c r="K27" i="32"/>
  <c r="M27" i="32" s="1"/>
  <c r="K28" i="32"/>
  <c r="L28" i="32" s="1"/>
  <c r="E29" i="32"/>
  <c r="G29" i="32" s="1"/>
  <c r="H29" i="32"/>
  <c r="I29" i="32" s="1"/>
  <c r="K29" i="32"/>
  <c r="L29" i="32" s="1"/>
  <c r="H34" i="32"/>
  <c r="I34" i="32" s="1"/>
  <c r="K34" i="32"/>
  <c r="H35" i="32"/>
  <c r="K35" i="32"/>
  <c r="L35" i="32" s="1"/>
  <c r="E36" i="32"/>
  <c r="H36" i="32"/>
  <c r="I36" i="32" s="1"/>
  <c r="K36" i="32"/>
  <c r="M36" i="32" s="1"/>
  <c r="L36" i="32"/>
  <c r="E37" i="32"/>
  <c r="H37" i="32"/>
  <c r="J37" i="32"/>
  <c r="K37" i="32"/>
  <c r="L37" i="32" s="1"/>
  <c r="E38" i="32"/>
  <c r="H38" i="32"/>
  <c r="I38" i="32" s="1"/>
  <c r="K38" i="32"/>
  <c r="M38" i="32" s="1"/>
  <c r="E39" i="32"/>
  <c r="G39" i="32"/>
  <c r="H39" i="32"/>
  <c r="I39" i="32" s="1"/>
  <c r="K39" i="32"/>
  <c r="M39" i="32" s="1"/>
  <c r="E40" i="32"/>
  <c r="G40" i="32" s="1"/>
  <c r="H40" i="32"/>
  <c r="I40" i="32"/>
  <c r="K40" i="32"/>
  <c r="L40" i="32"/>
  <c r="E41" i="32"/>
  <c r="G41" i="32" s="1"/>
  <c r="H41" i="32"/>
  <c r="I41" i="32" s="1"/>
  <c r="K41" i="32"/>
  <c r="L41" i="32" s="1"/>
  <c r="H62" i="32"/>
  <c r="I62" i="32"/>
  <c r="K62" i="32"/>
  <c r="H63" i="32"/>
  <c r="I63" i="32"/>
  <c r="K63" i="32"/>
  <c r="H64" i="32"/>
  <c r="I64" i="32"/>
  <c r="K64" i="32"/>
  <c r="H65" i="32"/>
  <c r="J65" i="32" s="1"/>
  <c r="I65" i="32"/>
  <c r="K65" i="32"/>
  <c r="H66" i="32"/>
  <c r="I66" i="32"/>
  <c r="K66" i="32"/>
  <c r="E72" i="32"/>
  <c r="F72" i="32" s="1"/>
  <c r="E73" i="32"/>
  <c r="G73" i="32"/>
  <c r="G74" i="32" s="1"/>
  <c r="B74" i="32"/>
  <c r="C74" i="32"/>
  <c r="I33" i="31"/>
  <c r="H33" i="31"/>
  <c r="G33" i="31"/>
  <c r="I32" i="31"/>
  <c r="H32" i="31"/>
  <c r="G32" i="31"/>
  <c r="I31" i="31"/>
  <c r="H31" i="31"/>
  <c r="G31" i="31"/>
  <c r="I30" i="31"/>
  <c r="H30" i="31"/>
  <c r="G30" i="31"/>
  <c r="I29" i="31"/>
  <c r="H29" i="31"/>
  <c r="G29" i="31"/>
  <c r="C8" i="31"/>
  <c r="C9" i="31"/>
  <c r="F9" i="31"/>
  <c r="H9" i="31"/>
  <c r="I9" i="31" s="1"/>
  <c r="J9" i="31" s="1"/>
  <c r="C10" i="31"/>
  <c r="F10" i="31"/>
  <c r="G10" i="31"/>
  <c r="I10" i="31" s="1"/>
  <c r="J10" i="31" s="1"/>
  <c r="C11" i="31"/>
  <c r="F11" i="31"/>
  <c r="H11" i="31"/>
  <c r="I11" i="31"/>
  <c r="J11" i="31" s="1"/>
  <c r="K11" i="31" s="1"/>
  <c r="C12" i="31"/>
  <c r="F12" i="31"/>
  <c r="H12" i="31"/>
  <c r="I12" i="31" s="1"/>
  <c r="J12" i="31" s="1"/>
  <c r="K12" i="31" s="1"/>
  <c r="C13" i="31"/>
  <c r="F13" i="31"/>
  <c r="K13" i="31" s="1"/>
  <c r="H13" i="31"/>
  <c r="I13" i="31" s="1"/>
  <c r="A18" i="31"/>
  <c r="B18" i="31"/>
  <c r="C18" i="31" s="1"/>
  <c r="D18" i="31"/>
  <c r="G18" i="31"/>
  <c r="A19" i="31"/>
  <c r="B19" i="31"/>
  <c r="C19" i="31"/>
  <c r="D19" i="31"/>
  <c r="E19" i="31"/>
  <c r="F19" i="31" s="1"/>
  <c r="G19" i="31"/>
  <c r="J19" i="31"/>
  <c r="J20" i="31"/>
  <c r="A20" i="31"/>
  <c r="B20" i="31"/>
  <c r="C20" i="31" s="1"/>
  <c r="D20" i="31"/>
  <c r="F20" i="31" s="1"/>
  <c r="I20" i="31" s="1"/>
  <c r="E20" i="31"/>
  <c r="A21" i="31"/>
  <c r="C21" i="31"/>
  <c r="F21" i="31"/>
  <c r="G21" i="31"/>
  <c r="A22" i="31"/>
  <c r="C22" i="31"/>
  <c r="F22" i="31"/>
  <c r="G22" i="31"/>
  <c r="H22" i="31" s="1"/>
  <c r="A23" i="31"/>
  <c r="C23" i="31"/>
  <c r="F23" i="31"/>
  <c r="G23" i="31"/>
  <c r="J45" i="30"/>
  <c r="I45" i="30"/>
  <c r="H45" i="30"/>
  <c r="J44" i="30"/>
  <c r="I44" i="30"/>
  <c r="H44" i="30"/>
  <c r="J43" i="30"/>
  <c r="I43" i="30"/>
  <c r="H43" i="30"/>
  <c r="J42" i="30"/>
  <c r="I42" i="30"/>
  <c r="H42" i="30"/>
  <c r="J41" i="30"/>
  <c r="I41" i="30"/>
  <c r="H41" i="30"/>
  <c r="C9" i="30"/>
  <c r="C10" i="30"/>
  <c r="E10" i="30"/>
  <c r="I10" i="30"/>
  <c r="J10" i="30" s="1"/>
  <c r="C11" i="30"/>
  <c r="D11" i="30"/>
  <c r="E11" i="30"/>
  <c r="H11" i="30"/>
  <c r="I11" i="30"/>
  <c r="J11" i="30" s="1"/>
  <c r="L11" i="30" s="1"/>
  <c r="C12" i="30"/>
  <c r="E12" i="30"/>
  <c r="C13" i="30"/>
  <c r="F13" i="30"/>
  <c r="H13" i="30"/>
  <c r="I13" i="30" s="1"/>
  <c r="J13" i="30" s="1"/>
  <c r="C14" i="30"/>
  <c r="F14" i="30"/>
  <c r="H14" i="30"/>
  <c r="I14" i="30"/>
  <c r="B22" i="30"/>
  <c r="C22" i="30"/>
  <c r="D22" i="30"/>
  <c r="G22" i="30"/>
  <c r="B23" i="30"/>
  <c r="C23" i="30"/>
  <c r="D23" i="30"/>
  <c r="G23" i="30"/>
  <c r="B24" i="30"/>
  <c r="C24" i="30"/>
  <c r="D24" i="30"/>
  <c r="B25" i="30"/>
  <c r="C25" i="30" s="1"/>
  <c r="D25" i="30"/>
  <c r="E25" i="30"/>
  <c r="G25" i="30"/>
  <c r="B26" i="30"/>
  <c r="C26" i="30"/>
  <c r="D26" i="30"/>
  <c r="E26" i="30"/>
  <c r="F26" i="30" s="1"/>
  <c r="G26" i="30"/>
  <c r="I78" i="29"/>
  <c r="H78" i="29"/>
  <c r="G78" i="29"/>
  <c r="I77" i="29"/>
  <c r="H77" i="29"/>
  <c r="G77" i="29"/>
  <c r="I76" i="29"/>
  <c r="H76" i="29"/>
  <c r="G76" i="29"/>
  <c r="I75" i="29"/>
  <c r="H75" i="29"/>
  <c r="G75" i="29"/>
  <c r="I74" i="29"/>
  <c r="H74" i="29"/>
  <c r="G74" i="29"/>
  <c r="C8" i="29"/>
  <c r="F8" i="29"/>
  <c r="I8" i="29"/>
  <c r="J8" i="29" s="1"/>
  <c r="A14" i="29"/>
  <c r="B14" i="29"/>
  <c r="C14" i="29" s="1"/>
  <c r="D14" i="29"/>
  <c r="G14" i="29"/>
  <c r="C25" i="29"/>
  <c r="I25" i="29"/>
  <c r="E26" i="29"/>
  <c r="H26" i="29"/>
  <c r="I26" i="29" s="1"/>
  <c r="J26" i="29" s="1"/>
  <c r="C27" i="29"/>
  <c r="D27" i="29"/>
  <c r="D37" i="29" s="1"/>
  <c r="H27" i="29"/>
  <c r="I27" i="29"/>
  <c r="J27" i="29" s="1"/>
  <c r="C28" i="29"/>
  <c r="F28" i="29"/>
  <c r="H28" i="29"/>
  <c r="I28" i="29" s="1"/>
  <c r="J28" i="29" s="1"/>
  <c r="C29" i="29"/>
  <c r="F29" i="29"/>
  <c r="H29" i="29"/>
  <c r="I29" i="29"/>
  <c r="J29" i="29" s="1"/>
  <c r="C30" i="29"/>
  <c r="F30" i="29"/>
  <c r="L30" i="29" s="1"/>
  <c r="H30" i="29"/>
  <c r="I30" i="29" s="1"/>
  <c r="A35" i="29"/>
  <c r="B35" i="29"/>
  <c r="C35" i="29" s="1"/>
  <c r="D35" i="29"/>
  <c r="A36" i="29"/>
  <c r="B36" i="29"/>
  <c r="D36" i="29"/>
  <c r="G36" i="29"/>
  <c r="J36" i="29"/>
  <c r="J37" i="29"/>
  <c r="J38" i="29" s="1"/>
  <c r="J39" i="29" s="1"/>
  <c r="J40" i="29" s="1"/>
  <c r="K40" i="29" s="1"/>
  <c r="B37" i="29"/>
  <c r="C37" i="29" s="1"/>
  <c r="G37" i="29"/>
  <c r="C38" i="29"/>
  <c r="F38" i="29"/>
  <c r="M38" i="29" s="1"/>
  <c r="N38" i="29" s="1"/>
  <c r="C39" i="29"/>
  <c r="F39" i="29"/>
  <c r="H39" i="29" s="1"/>
  <c r="C40" i="29"/>
  <c r="F40" i="29"/>
  <c r="M42" i="29"/>
  <c r="C52" i="29"/>
  <c r="C53" i="29"/>
  <c r="F53" i="29"/>
  <c r="H53" i="29"/>
  <c r="I53" i="29" s="1"/>
  <c r="J53" i="29" s="1"/>
  <c r="C54" i="29"/>
  <c r="F54" i="29"/>
  <c r="H54" i="29"/>
  <c r="I54" i="29"/>
  <c r="J54" i="29" s="1"/>
  <c r="C55" i="29"/>
  <c r="F55" i="29"/>
  <c r="H55" i="29"/>
  <c r="I55" i="29" s="1"/>
  <c r="J55" i="29" s="1"/>
  <c r="K55" i="29" s="1"/>
  <c r="C56" i="29"/>
  <c r="F56" i="29"/>
  <c r="H56" i="29"/>
  <c r="I56" i="29" s="1"/>
  <c r="J56" i="29" s="1"/>
  <c r="C57" i="29"/>
  <c r="F57" i="29"/>
  <c r="K57" i="29" s="1"/>
  <c r="H57" i="29"/>
  <c r="I57" i="29" s="1"/>
  <c r="A62" i="29"/>
  <c r="B62" i="29"/>
  <c r="C62" i="29" s="1"/>
  <c r="D62" i="29"/>
  <c r="G62" i="29"/>
  <c r="A63" i="29"/>
  <c r="B63" i="29"/>
  <c r="C63" i="29" s="1"/>
  <c r="D63" i="29"/>
  <c r="G63" i="29"/>
  <c r="J63" i="29"/>
  <c r="J64" i="29" s="1"/>
  <c r="B64" i="29"/>
  <c r="C64" i="29" s="1"/>
  <c r="D64" i="29"/>
  <c r="E64" i="29"/>
  <c r="G64" i="29"/>
  <c r="C65" i="29"/>
  <c r="F65" i="29"/>
  <c r="H65" i="29"/>
  <c r="C66" i="29"/>
  <c r="F66" i="29"/>
  <c r="H66" i="29" s="1"/>
  <c r="C67" i="29"/>
  <c r="F67" i="29"/>
  <c r="P20" i="28"/>
  <c r="Q20" i="28" s="1"/>
  <c r="P19" i="28"/>
  <c r="Q19" i="28" s="1"/>
  <c r="P18" i="28"/>
  <c r="Q18" i="28" s="1"/>
  <c r="P16" i="28"/>
  <c r="Q16" i="28" s="1"/>
  <c r="P17" i="28"/>
  <c r="Q17" i="28" s="1"/>
  <c r="O17" i="28"/>
  <c r="O20" i="28"/>
  <c r="O19" i="28"/>
  <c r="O18" i="28"/>
  <c r="O16" i="28"/>
  <c r="N20" i="28"/>
  <c r="N19" i="28"/>
  <c r="D11" i="24"/>
  <c r="B11" i="24" s="1"/>
  <c r="N18" i="28"/>
  <c r="N16" i="28"/>
  <c r="I22" i="20"/>
  <c r="N17" i="28"/>
  <c r="C9" i="28"/>
  <c r="I9" i="28"/>
  <c r="J9" i="28" s="1"/>
  <c r="C10" i="28"/>
  <c r="I10" i="28"/>
  <c r="J10" i="28"/>
  <c r="A18" i="28"/>
  <c r="A19" i="28"/>
  <c r="A20" i="28"/>
  <c r="G20" i="28"/>
  <c r="G29" i="28"/>
  <c r="E33" i="28"/>
  <c r="F33" i="28" s="1"/>
  <c r="G33" i="28" s="1"/>
  <c r="E34" i="28"/>
  <c r="F34" i="28"/>
  <c r="G34" i="28" s="1"/>
  <c r="E35" i="28"/>
  <c r="F35" i="28" s="1"/>
  <c r="G35" i="28" s="1"/>
  <c r="E36" i="28"/>
  <c r="F36" i="28"/>
  <c r="G36" i="28" s="1"/>
  <c r="E37" i="28"/>
  <c r="A42" i="28"/>
  <c r="A43" i="28"/>
  <c r="E43" i="28"/>
  <c r="E44" i="28" s="1"/>
  <c r="A44" i="28"/>
  <c r="A45" i="28"/>
  <c r="B45" i="28"/>
  <c r="C45" i="28"/>
  <c r="D45" i="28"/>
  <c r="A46" i="28"/>
  <c r="B46" i="28"/>
  <c r="D46" i="28" s="1"/>
  <c r="C46" i="28"/>
  <c r="A47" i="28"/>
  <c r="B47" i="28"/>
  <c r="C47" i="28"/>
  <c r="D47" i="28"/>
  <c r="D9" i="25"/>
  <c r="D10" i="25"/>
  <c r="D11" i="25"/>
  <c r="D12" i="25"/>
  <c r="D13" i="25"/>
  <c r="D14" i="25"/>
  <c r="D15" i="25"/>
  <c r="D16" i="25"/>
  <c r="D17" i="25"/>
  <c r="D18" i="25"/>
  <c r="D19" i="25"/>
  <c r="B31" i="25"/>
  <c r="D36" i="25"/>
  <c r="D37" i="25"/>
  <c r="B42" i="25"/>
  <c r="B43" i="25"/>
  <c r="C21" i="25"/>
  <c r="B28" i="25"/>
  <c r="D1" i="24"/>
  <c r="B9" i="24"/>
  <c r="D2" i="24" s="1"/>
  <c r="D12" i="24"/>
  <c r="B12" i="24" s="1"/>
  <c r="D3" i="24" s="1"/>
  <c r="D13" i="24"/>
  <c r="B13" i="24" s="1"/>
  <c r="D4" i="24" s="1"/>
  <c r="F4" i="24"/>
  <c r="I25" i="20"/>
  <c r="I24" i="20"/>
  <c r="E6" i="21"/>
  <c r="E5" i="21"/>
  <c r="F10" i="30"/>
  <c r="L10" i="30" s="1"/>
  <c r="E22" i="30"/>
  <c r="F22" i="30"/>
  <c r="A26" i="20"/>
  <c r="F152" i="36"/>
  <c r="D149" i="36"/>
  <c r="D125" i="36"/>
  <c r="E125" i="36" s="1"/>
  <c r="C109" i="36"/>
  <c r="F109" i="36" s="1"/>
  <c r="G109" i="36" s="1"/>
  <c r="D99" i="36"/>
  <c r="E99" i="36"/>
  <c r="F99" i="36"/>
  <c r="H10" i="31"/>
  <c r="G20" i="31"/>
  <c r="C150" i="36"/>
  <c r="D108" i="36"/>
  <c r="E108" i="36" s="1"/>
  <c r="F108" i="36"/>
  <c r="C100" i="36"/>
  <c r="F25" i="30"/>
  <c r="I25" i="30"/>
  <c r="A89" i="36"/>
  <c r="C89" i="36" s="1"/>
  <c r="D86" i="36"/>
  <c r="E86" i="36"/>
  <c r="F86" i="36"/>
  <c r="H86" i="36" s="1"/>
  <c r="J86" i="36" s="1"/>
  <c r="R6" i="38"/>
  <c r="P19" i="40"/>
  <c r="P27" i="40" s="1"/>
  <c r="O27" i="40"/>
  <c r="K156" i="36"/>
  <c r="K157" i="36" s="1"/>
  <c r="M155" i="36"/>
  <c r="F62" i="36"/>
  <c r="F58" i="36"/>
  <c r="H58" i="36" s="1"/>
  <c r="J58" i="36" s="1"/>
  <c r="F55" i="36"/>
  <c r="G55" i="36" s="1"/>
  <c r="A52" i="36"/>
  <c r="F37" i="36"/>
  <c r="F24" i="36"/>
  <c r="H24" i="36" s="1"/>
  <c r="F23" i="36"/>
  <c r="H23" i="36"/>
  <c r="F18" i="36"/>
  <c r="F13" i="36"/>
  <c r="F10" i="36"/>
  <c r="H10" i="36" s="1"/>
  <c r="D28" i="40"/>
  <c r="D29" i="40"/>
  <c r="D30" i="40" s="1"/>
  <c r="N9" i="40"/>
  <c r="N7" i="40"/>
  <c r="M156" i="36"/>
  <c r="F19" i="40"/>
  <c r="F20" i="40" s="1"/>
  <c r="F21" i="40" s="1"/>
  <c r="F22" i="40" s="1"/>
  <c r="E27" i="40"/>
  <c r="C80" i="36"/>
  <c r="Q28" i="33"/>
  <c r="G56" i="38"/>
  <c r="S7" i="38"/>
  <c r="S6" i="38"/>
  <c r="D8" i="39"/>
  <c r="N8" i="39"/>
  <c r="I3" i="39"/>
  <c r="F40" i="35"/>
  <c r="F42" i="35" s="1"/>
  <c r="H44" i="31"/>
  <c r="F158" i="36"/>
  <c r="G158" i="36" s="1"/>
  <c r="M28" i="33"/>
  <c r="A53" i="36"/>
  <c r="C53" i="36"/>
  <c r="F53" i="36" s="1"/>
  <c r="G53" i="36" s="1"/>
  <c r="K158" i="36"/>
  <c r="G125" i="36"/>
  <c r="M19" i="40"/>
  <c r="G10" i="36"/>
  <c r="G62" i="36"/>
  <c r="C151" i="36"/>
  <c r="D151" i="36" s="1"/>
  <c r="E151" i="36" s="1"/>
  <c r="Q151" i="36" s="1"/>
  <c r="F151" i="36"/>
  <c r="I26" i="32"/>
  <c r="G38" i="32"/>
  <c r="M67" i="29"/>
  <c r="N67" i="29" s="1"/>
  <c r="G12" i="30"/>
  <c r="D8" i="37"/>
  <c r="J8" i="37"/>
  <c r="L8" i="37" s="1"/>
  <c r="N8" i="37" s="1"/>
  <c r="M8" i="40"/>
  <c r="N8" i="40"/>
  <c r="E3" i="39"/>
  <c r="J3" i="39"/>
  <c r="K3" i="39"/>
  <c r="L3" i="39"/>
  <c r="L4" i="39" s="1"/>
  <c r="L5" i="39"/>
  <c r="L42" i="28"/>
  <c r="A141" i="36"/>
  <c r="F90" i="36"/>
  <c r="G90" i="36"/>
  <c r="A61" i="36"/>
  <c r="B57" i="36"/>
  <c r="C57" i="36" s="1"/>
  <c r="F50" i="36"/>
  <c r="F46" i="36"/>
  <c r="A45" i="36"/>
  <c r="C45" i="36" s="1"/>
  <c r="C39" i="36"/>
  <c r="F39" i="36" s="1"/>
  <c r="A25" i="36"/>
  <c r="A26" i="36" s="1"/>
  <c r="A21" i="36"/>
  <c r="B20" i="36"/>
  <c r="B21" i="36" s="1"/>
  <c r="B22" i="36" s="1"/>
  <c r="A15" i="36"/>
  <c r="C15" i="36" s="1"/>
  <c r="B12" i="36"/>
  <c r="C12" i="36"/>
  <c r="A9" i="36"/>
  <c r="R7" i="38"/>
  <c r="K9" i="40"/>
  <c r="N45" i="31"/>
  <c r="M11" i="42"/>
  <c r="M8" i="42"/>
  <c r="P21" i="40"/>
  <c r="P29" i="40" s="1"/>
  <c r="E11" i="40"/>
  <c r="D12" i="40"/>
  <c r="G26" i="39"/>
  <c r="H26" i="39" s="1"/>
  <c r="A27" i="39"/>
  <c r="B9" i="39"/>
  <c r="D9" i="39"/>
  <c r="F9" i="39" s="1"/>
  <c r="H9" i="39" s="1"/>
  <c r="K44" i="31"/>
  <c r="J44" i="31"/>
  <c r="L28" i="44"/>
  <c r="K30" i="44"/>
  <c r="M40" i="28"/>
  <c r="N40" i="28" s="1"/>
  <c r="N47" i="28" s="1"/>
  <c r="O33" i="35"/>
  <c r="O35" i="35" s="1"/>
  <c r="F7" i="35"/>
  <c r="H90" i="36"/>
  <c r="C141" i="36"/>
  <c r="Y141" i="36"/>
  <c r="Y144" i="36" s="1"/>
  <c r="A143" i="36"/>
  <c r="C143" i="36" s="1"/>
  <c r="F143" i="36" s="1"/>
  <c r="G143" i="36" s="1"/>
  <c r="R41" i="28"/>
  <c r="M41" i="28"/>
  <c r="N41" i="28"/>
  <c r="O41" i="28"/>
  <c r="P41" i="28"/>
  <c r="K4" i="39"/>
  <c r="A16" i="36"/>
  <c r="A145" i="36"/>
  <c r="C145" i="36" s="1"/>
  <c r="D145" i="36" s="1"/>
  <c r="E23" i="30"/>
  <c r="F23" i="30"/>
  <c r="H23" i="30" s="1"/>
  <c r="F11" i="30"/>
  <c r="L13" i="30"/>
  <c r="I50" i="32"/>
  <c r="A140" i="36"/>
  <c r="A142" i="36" s="1"/>
  <c r="F135" i="36"/>
  <c r="G135" i="36" s="1"/>
  <c r="F134" i="36"/>
  <c r="F78" i="36"/>
  <c r="H78" i="36" s="1"/>
  <c r="A72" i="36"/>
  <c r="F70" i="36"/>
  <c r="G70" i="36" s="1"/>
  <c r="B6" i="36"/>
  <c r="G31" i="38"/>
  <c r="C72" i="36"/>
  <c r="I52" i="32"/>
  <c r="J49" i="32"/>
  <c r="I54" i="32"/>
  <c r="D43" i="28"/>
  <c r="G43" i="28" s="1"/>
  <c r="G46" i="28" s="1"/>
  <c r="J16" i="32"/>
  <c r="F40" i="36"/>
  <c r="G40" i="36" s="1"/>
  <c r="F47" i="36"/>
  <c r="D47" i="36"/>
  <c r="J53" i="32"/>
  <c r="K27" i="28"/>
  <c r="G11" i="33"/>
  <c r="M11" i="33"/>
  <c r="N11" i="33" s="1"/>
  <c r="O11" i="33" s="1"/>
  <c r="K11" i="33"/>
  <c r="F48" i="36"/>
  <c r="G48" i="36"/>
  <c r="N40" i="36"/>
  <c r="H154" i="36"/>
  <c r="J154" i="36" s="1"/>
  <c r="H161" i="36"/>
  <c r="J161" i="36" s="1"/>
  <c r="E161" i="36"/>
  <c r="O161" i="36" s="1"/>
  <c r="I39" i="29"/>
  <c r="L39" i="29" s="1"/>
  <c r="E62" i="29"/>
  <c r="M39" i="29"/>
  <c r="N39" i="29"/>
  <c r="M66" i="29"/>
  <c r="N66" i="29" s="1"/>
  <c r="F64" i="29"/>
  <c r="I64" i="29"/>
  <c r="I66" i="29"/>
  <c r="M65" i="29"/>
  <c r="N65" i="29" s="1"/>
  <c r="I65" i="29"/>
  <c r="M40" i="29"/>
  <c r="N40" i="29" s="1"/>
  <c r="K54" i="29"/>
  <c r="V51" i="29"/>
  <c r="W51" i="29" s="1"/>
  <c r="Q51" i="29"/>
  <c r="R51" i="29" s="1"/>
  <c r="I11" i="33"/>
  <c r="I12" i="33"/>
  <c r="L11" i="33"/>
  <c r="A73" i="36"/>
  <c r="K39" i="29"/>
  <c r="D15" i="36"/>
  <c r="E15" i="36" s="1"/>
  <c r="F15" i="36"/>
  <c r="E163" i="36"/>
  <c r="J38" i="38"/>
  <c r="K38" i="38" s="1"/>
  <c r="J28" i="33"/>
  <c r="K28" i="33" s="1"/>
  <c r="N28" i="33"/>
  <c r="D39" i="36"/>
  <c r="E39" i="36" s="1"/>
  <c r="H67" i="29"/>
  <c r="I67" i="29"/>
  <c r="A28" i="39"/>
  <c r="E27" i="39"/>
  <c r="F27" i="39" s="1"/>
  <c r="G27" i="39" s="1"/>
  <c r="H27" i="39" s="1"/>
  <c r="A27" i="36"/>
  <c r="M151" i="36"/>
  <c r="G86" i="36"/>
  <c r="H12" i="30"/>
  <c r="G24" i="36"/>
  <c r="F12" i="30"/>
  <c r="E24" i="30"/>
  <c r="F24" i="30" s="1"/>
  <c r="C81" i="36"/>
  <c r="C59" i="36"/>
  <c r="F59" i="36" s="1"/>
  <c r="B60" i="36"/>
  <c r="G37" i="36"/>
  <c r="G37" i="32"/>
  <c r="J20" i="33"/>
  <c r="K20" i="33"/>
  <c r="L20" i="33" s="1"/>
  <c r="G4" i="36"/>
  <c r="H4" i="36"/>
  <c r="J4" i="36" s="1"/>
  <c r="B63" i="38"/>
  <c r="C63" i="38" s="1"/>
  <c r="M63" i="38" s="1"/>
  <c r="M71" i="38" s="1"/>
  <c r="D159" i="36"/>
  <c r="E159" i="36"/>
  <c r="F159" i="36"/>
  <c r="H25" i="30"/>
  <c r="J25" i="30" s="1"/>
  <c r="M13" i="32"/>
  <c r="A27" i="37"/>
  <c r="B44" i="25"/>
  <c r="F73" i="32"/>
  <c r="C63" i="36"/>
  <c r="F63" i="36" s="1"/>
  <c r="D38" i="36"/>
  <c r="E38" i="36" s="1"/>
  <c r="F38" i="36"/>
  <c r="H38" i="36" s="1"/>
  <c r="D89" i="36"/>
  <c r="E89" i="36" s="1"/>
  <c r="I23" i="31"/>
  <c r="H23" i="31"/>
  <c r="F100" i="36"/>
  <c r="H100" i="36" s="1"/>
  <c r="D100" i="36"/>
  <c r="E100" i="36" s="1"/>
  <c r="A101" i="36"/>
  <c r="D71" i="36"/>
  <c r="E71" i="36" s="1"/>
  <c r="F71" i="36"/>
  <c r="L11" i="42"/>
  <c r="I56" i="38"/>
  <c r="H56" i="38"/>
  <c r="J63" i="38"/>
  <c r="H40" i="29"/>
  <c r="I40" i="29"/>
  <c r="I21" i="33"/>
  <c r="J21" i="33"/>
  <c r="K21" i="33"/>
  <c r="L21" i="33" s="1"/>
  <c r="G21" i="33"/>
  <c r="N21" i="33" s="1"/>
  <c r="O21" i="33" s="1"/>
  <c r="P21" i="33" s="1"/>
  <c r="C11" i="36"/>
  <c r="H22" i="39"/>
  <c r="M6" i="42"/>
  <c r="H10" i="33"/>
  <c r="G10" i="33" s="1"/>
  <c r="M10" i="33" s="1"/>
  <c r="N10" i="33" s="1"/>
  <c r="J7" i="40"/>
  <c r="K7" i="40"/>
  <c r="G99" i="36"/>
  <c r="D14" i="40"/>
  <c r="E14" i="40" s="1"/>
  <c r="I14" i="40"/>
  <c r="M15" i="32"/>
  <c r="F20" i="37"/>
  <c r="H20" i="37"/>
  <c r="O20" i="37"/>
  <c r="E8" i="37"/>
  <c r="F8" i="37" s="1"/>
  <c r="H8" i="37" s="1"/>
  <c r="O8" i="37" s="1"/>
  <c r="K8" i="37"/>
  <c r="L7" i="42"/>
  <c r="M7" i="42"/>
  <c r="J8" i="40"/>
  <c r="K8" i="40"/>
  <c r="J6" i="40"/>
  <c r="R19" i="40"/>
  <c r="R27" i="40" s="1"/>
  <c r="H17" i="39"/>
  <c r="J28" i="44"/>
  <c r="I28" i="44"/>
  <c r="I30" i="44" s="1"/>
  <c r="M154" i="36"/>
  <c r="N154" i="36" s="1"/>
  <c r="E18" i="28"/>
  <c r="C101" i="36"/>
  <c r="A102" i="36"/>
  <c r="C102" i="36" s="1"/>
  <c r="L40" i="29"/>
  <c r="G100" i="36"/>
  <c r="D143" i="36"/>
  <c r="E143" i="36" s="1"/>
  <c r="G59" i="36"/>
  <c r="F81" i="36"/>
  <c r="A28" i="36"/>
  <c r="M21" i="33"/>
  <c r="H159" i="36"/>
  <c r="G159" i="36"/>
  <c r="D59" i="36"/>
  <c r="H39" i="36"/>
  <c r="G39" i="36"/>
  <c r="A28" i="37"/>
  <c r="B28" i="37" s="1"/>
  <c r="B27" i="37"/>
  <c r="R28" i="33"/>
  <c r="O28" i="33"/>
  <c r="L63" i="38"/>
  <c r="D71" i="38" s="1"/>
  <c r="K63" i="38"/>
  <c r="E63" i="38"/>
  <c r="F63" i="38" s="1"/>
  <c r="G63" i="38" s="1"/>
  <c r="J71" i="38"/>
  <c r="L28" i="33"/>
  <c r="H143" i="36"/>
  <c r="C28" i="36"/>
  <c r="F101" i="36"/>
  <c r="G101" i="36" s="1"/>
  <c r="G81" i="36"/>
  <c r="B20" i="41"/>
  <c r="C20" i="41" s="1"/>
  <c r="D73" i="36"/>
  <c r="F11" i="36"/>
  <c r="H11" i="36" s="1"/>
  <c r="D11" i="36"/>
  <c r="E11" i="36" s="1"/>
  <c r="B61" i="36"/>
  <c r="C61" i="36" s="1"/>
  <c r="C60" i="36"/>
  <c r="D60" i="36" s="1"/>
  <c r="E60" i="36" s="1"/>
  <c r="E28" i="39"/>
  <c r="F28" i="39" s="1"/>
  <c r="G28" i="39" s="1"/>
  <c r="H28" i="39" s="1"/>
  <c r="A29" i="39"/>
  <c r="M37" i="32"/>
  <c r="L26" i="32"/>
  <c r="A74" i="36"/>
  <c r="C73" i="36"/>
  <c r="F73" i="36" s="1"/>
  <c r="G73" i="36" s="1"/>
  <c r="H31" i="38"/>
  <c r="I31" i="38"/>
  <c r="E9" i="39"/>
  <c r="M158" i="36"/>
  <c r="K159" i="36"/>
  <c r="M159" i="36" s="1"/>
  <c r="N159" i="36" s="1"/>
  <c r="D80" i="36"/>
  <c r="F80" i="36"/>
  <c r="C16" i="36"/>
  <c r="F16" i="36" s="1"/>
  <c r="A17" i="36"/>
  <c r="G18" i="36"/>
  <c r="F11" i="40"/>
  <c r="G11" i="40"/>
  <c r="H11" i="40" s="1"/>
  <c r="I11" i="40" s="1"/>
  <c r="E12" i="40"/>
  <c r="G108" i="36"/>
  <c r="H108" i="36"/>
  <c r="G78" i="36"/>
  <c r="G46" i="36"/>
  <c r="I26" i="20"/>
  <c r="C36" i="29"/>
  <c r="B9" i="36"/>
  <c r="C9" i="36"/>
  <c r="D9" i="36" s="1"/>
  <c r="C8" i="36"/>
  <c r="D8" i="36" s="1"/>
  <c r="O28" i="40"/>
  <c r="Q20" i="40"/>
  <c r="Q28" i="40"/>
  <c r="D53" i="36"/>
  <c r="E53" i="36" s="1"/>
  <c r="H22" i="30"/>
  <c r="I22" i="30"/>
  <c r="E36" i="29"/>
  <c r="F36" i="29" s="1"/>
  <c r="F26" i="29"/>
  <c r="K26" i="29" s="1"/>
  <c r="I19" i="31"/>
  <c r="L19" i="31"/>
  <c r="H19" i="31"/>
  <c r="H125" i="36"/>
  <c r="G47" i="36"/>
  <c r="G58" i="36"/>
  <c r="C52" i="36"/>
  <c r="F52" i="36" s="1"/>
  <c r="H99" i="36"/>
  <c r="H20" i="31"/>
  <c r="K20" i="31" s="1"/>
  <c r="C137" i="36"/>
  <c r="D20" i="42"/>
  <c r="D24" i="42"/>
  <c r="D28" i="42"/>
  <c r="D32" i="42"/>
  <c r="D36" i="42"/>
  <c r="D40" i="42"/>
  <c r="D44" i="42"/>
  <c r="D21" i="42"/>
  <c r="D25" i="42"/>
  <c r="D22" i="42"/>
  <c r="D29" i="42"/>
  <c r="D34" i="42"/>
  <c r="D39" i="42"/>
  <c r="D19" i="42"/>
  <c r="C23" i="42"/>
  <c r="C27" i="42"/>
  <c r="C31" i="42"/>
  <c r="C35" i="42"/>
  <c r="C39" i="42"/>
  <c r="C43" i="42"/>
  <c r="L5" i="42"/>
  <c r="D23" i="42"/>
  <c r="D30" i="42"/>
  <c r="D35" i="42"/>
  <c r="D41" i="42"/>
  <c r="C20" i="42"/>
  <c r="C24" i="42"/>
  <c r="C28" i="42"/>
  <c r="C32" i="42"/>
  <c r="C36" i="42"/>
  <c r="C40" i="42"/>
  <c r="D26" i="42"/>
  <c r="D31" i="42"/>
  <c r="D37" i="42"/>
  <c r="D42" i="42"/>
  <c r="C21" i="42"/>
  <c r="C25" i="42"/>
  <c r="C29" i="42"/>
  <c r="C33" i="42"/>
  <c r="C37" i="42"/>
  <c r="C41" i="42"/>
  <c r="C19" i="42"/>
  <c r="D27" i="42"/>
  <c r="D33" i="42"/>
  <c r="D38" i="42"/>
  <c r="D43" i="42"/>
  <c r="C22" i="42"/>
  <c r="C26" i="42"/>
  <c r="C30" i="42"/>
  <c r="C34" i="42"/>
  <c r="C38" i="42"/>
  <c r="C42" i="42"/>
  <c r="M5" i="42"/>
  <c r="H20" i="39"/>
  <c r="F89" i="36"/>
  <c r="G23" i="36"/>
  <c r="K56" i="29"/>
  <c r="L14" i="30"/>
  <c r="I21" i="31"/>
  <c r="H21" i="31"/>
  <c r="C91" i="36"/>
  <c r="A92" i="36"/>
  <c r="C30" i="36"/>
  <c r="F30" i="36" s="1"/>
  <c r="A31" i="36"/>
  <c r="H6" i="40"/>
  <c r="N6" i="40"/>
  <c r="Q19" i="40" s="1"/>
  <c r="Q27" i="40" s="1"/>
  <c r="F20" i="42"/>
  <c r="F24" i="42"/>
  <c r="F28" i="42"/>
  <c r="F32" i="42"/>
  <c r="F36" i="42"/>
  <c r="F40" i="42"/>
  <c r="F44" i="42"/>
  <c r="E22" i="42"/>
  <c r="E26" i="42"/>
  <c r="E30" i="42"/>
  <c r="E34" i="42"/>
  <c r="E38" i="42"/>
  <c r="E42" i="42"/>
  <c r="F21" i="42"/>
  <c r="F25" i="42"/>
  <c r="F29" i="42"/>
  <c r="F33" i="42"/>
  <c r="F37" i="42"/>
  <c r="F41" i="42"/>
  <c r="F19" i="42"/>
  <c r="E23" i="42"/>
  <c r="E27" i="42"/>
  <c r="E31" i="42"/>
  <c r="E35" i="42"/>
  <c r="E39" i="42"/>
  <c r="E43" i="42"/>
  <c r="F26" i="42"/>
  <c r="F34" i="42"/>
  <c r="F42" i="42"/>
  <c r="E24" i="42"/>
  <c r="E32" i="42"/>
  <c r="E40" i="42"/>
  <c r="L6" i="42"/>
  <c r="F27" i="42"/>
  <c r="F35" i="42"/>
  <c r="F43" i="42"/>
  <c r="E25" i="42"/>
  <c r="E33" i="42"/>
  <c r="E41" i="42"/>
  <c r="F22" i="42"/>
  <c r="F30" i="42"/>
  <c r="F38" i="42"/>
  <c r="E20" i="42"/>
  <c r="E28" i="42"/>
  <c r="E36" i="42"/>
  <c r="E44" i="42"/>
  <c r="F23" i="42"/>
  <c r="F31" i="42"/>
  <c r="F39" i="42"/>
  <c r="E21" i="42"/>
  <c r="E29" i="42"/>
  <c r="E37" i="42"/>
  <c r="E19" i="42"/>
  <c r="I4" i="39"/>
  <c r="D55" i="36"/>
  <c r="J39" i="32"/>
  <c r="C87" i="36"/>
  <c r="C19" i="36"/>
  <c r="C14" i="36"/>
  <c r="F14" i="36" s="1"/>
  <c r="F8" i="36"/>
  <c r="J20" i="42"/>
  <c r="J24" i="42"/>
  <c r="J28" i="42"/>
  <c r="J32" i="42"/>
  <c r="J36" i="42"/>
  <c r="J40" i="42"/>
  <c r="J44" i="42"/>
  <c r="I22" i="42"/>
  <c r="I26" i="42"/>
  <c r="I30" i="42"/>
  <c r="I34" i="42"/>
  <c r="I38" i="42"/>
  <c r="I42" i="42"/>
  <c r="J21" i="42"/>
  <c r="J25" i="42"/>
  <c r="J29" i="42"/>
  <c r="J33" i="42"/>
  <c r="J37" i="42"/>
  <c r="J41" i="42"/>
  <c r="J19" i="42"/>
  <c r="I23" i="42"/>
  <c r="I27" i="42"/>
  <c r="I31" i="42"/>
  <c r="I35" i="42"/>
  <c r="I39" i="42"/>
  <c r="I43" i="42"/>
  <c r="J26" i="42"/>
  <c r="J34" i="42"/>
  <c r="J42" i="42"/>
  <c r="I24" i="42"/>
  <c r="I32" i="42"/>
  <c r="I40" i="42"/>
  <c r="L8" i="42"/>
  <c r="J27" i="42"/>
  <c r="J35" i="42"/>
  <c r="J43" i="42"/>
  <c r="I25" i="42"/>
  <c r="I33" i="42"/>
  <c r="I41" i="42"/>
  <c r="J22" i="42"/>
  <c r="J30" i="42"/>
  <c r="J38" i="42"/>
  <c r="I20" i="42"/>
  <c r="I28" i="42"/>
  <c r="I36" i="42"/>
  <c r="I44" i="42"/>
  <c r="J23" i="42"/>
  <c r="J31" i="42"/>
  <c r="J39" i="42"/>
  <c r="I21" i="42"/>
  <c r="I29" i="42"/>
  <c r="I37" i="42"/>
  <c r="I19" i="42"/>
  <c r="K20" i="40"/>
  <c r="K21" i="40"/>
  <c r="K22" i="40"/>
  <c r="C56" i="36"/>
  <c r="F56" i="36" s="1"/>
  <c r="B24" i="37"/>
  <c r="N20" i="42"/>
  <c r="N24" i="42"/>
  <c r="N28" i="42"/>
  <c r="N32" i="42"/>
  <c r="N36" i="42"/>
  <c r="N40" i="42"/>
  <c r="N44" i="42"/>
  <c r="M22" i="42"/>
  <c r="M26" i="42"/>
  <c r="M30" i="42"/>
  <c r="M34" i="42"/>
  <c r="M38" i="42"/>
  <c r="M42" i="42"/>
  <c r="N21" i="42"/>
  <c r="N25" i="42"/>
  <c r="N29" i="42"/>
  <c r="N33" i="42"/>
  <c r="N37" i="42"/>
  <c r="N41" i="42"/>
  <c r="N19" i="42"/>
  <c r="M23" i="42"/>
  <c r="M27" i="42"/>
  <c r="M31" i="42"/>
  <c r="M35" i="42"/>
  <c r="M39" i="42"/>
  <c r="M43" i="42"/>
  <c r="N26" i="42"/>
  <c r="N34" i="42"/>
  <c r="N42" i="42"/>
  <c r="M24" i="42"/>
  <c r="M32" i="42"/>
  <c r="M40" i="42"/>
  <c r="M10" i="42"/>
  <c r="B13" i="41"/>
  <c r="B19" i="41" s="1"/>
  <c r="C19" i="41" s="1"/>
  <c r="N27" i="42"/>
  <c r="N35" i="42"/>
  <c r="N43" i="42"/>
  <c r="M25" i="42"/>
  <c r="M33" i="42"/>
  <c r="M41" i="42"/>
  <c r="N22" i="42"/>
  <c r="N30" i="42"/>
  <c r="N38" i="42"/>
  <c r="M20" i="42"/>
  <c r="M28" i="42"/>
  <c r="M36" i="42"/>
  <c r="M44" i="42"/>
  <c r="N23" i="42"/>
  <c r="N31" i="42"/>
  <c r="N39" i="42"/>
  <c r="M21" i="42"/>
  <c r="M29" i="42"/>
  <c r="M37" i="42"/>
  <c r="M19" i="42"/>
  <c r="H20" i="42"/>
  <c r="H24" i="42"/>
  <c r="H28" i="42"/>
  <c r="H32" i="42"/>
  <c r="H36" i="42"/>
  <c r="H40" i="42"/>
  <c r="H44" i="42"/>
  <c r="G22" i="42"/>
  <c r="G26" i="42"/>
  <c r="G30" i="42"/>
  <c r="G34" i="42"/>
  <c r="G38" i="42"/>
  <c r="G42" i="42"/>
  <c r="H21" i="42"/>
  <c r="H25" i="42"/>
  <c r="H29" i="42"/>
  <c r="H33" i="42"/>
  <c r="H37" i="42"/>
  <c r="H41" i="42"/>
  <c r="H19" i="42"/>
  <c r="G23" i="42"/>
  <c r="G27" i="42"/>
  <c r="G31" i="42"/>
  <c r="G35" i="42"/>
  <c r="G39" i="42"/>
  <c r="G43" i="42"/>
  <c r="H22" i="42"/>
  <c r="H30" i="42"/>
  <c r="H38" i="42"/>
  <c r="G20" i="42"/>
  <c r="G28" i="42"/>
  <c r="G36" i="42"/>
  <c r="G44" i="42"/>
  <c r="H23" i="42"/>
  <c r="H31" i="42"/>
  <c r="H39" i="42"/>
  <c r="G21" i="42"/>
  <c r="G29" i="42"/>
  <c r="G37" i="42"/>
  <c r="G19" i="42"/>
  <c r="H26" i="42"/>
  <c r="H34" i="42"/>
  <c r="H42" i="42"/>
  <c r="G24" i="42"/>
  <c r="G32" i="42"/>
  <c r="G40" i="42"/>
  <c r="H27" i="42"/>
  <c r="H35" i="42"/>
  <c r="H43" i="42"/>
  <c r="G25" i="42"/>
  <c r="G33" i="42"/>
  <c r="G41" i="42"/>
  <c r="B8" i="39"/>
  <c r="C8" i="39"/>
  <c r="E4" i="36"/>
  <c r="K4" i="36"/>
  <c r="M4" i="36"/>
  <c r="K41" i="42"/>
  <c r="K33" i="42"/>
  <c r="K25" i="42"/>
  <c r="L43" i="42"/>
  <c r="L35" i="42"/>
  <c r="L27" i="42"/>
  <c r="P43" i="42"/>
  <c r="P35" i="42"/>
  <c r="P27" i="42"/>
  <c r="K40" i="42"/>
  <c r="K32" i="42"/>
  <c r="K24" i="42"/>
  <c r="L42" i="42"/>
  <c r="L34" i="42"/>
  <c r="O40" i="42"/>
  <c r="O32" i="42"/>
  <c r="O24" i="42"/>
  <c r="P42" i="42"/>
  <c r="P34" i="42"/>
  <c r="P26" i="42"/>
  <c r="L20" i="42"/>
  <c r="L24" i="42"/>
  <c r="L28" i="42"/>
  <c r="L32" i="42"/>
  <c r="L36" i="42"/>
  <c r="L40" i="42"/>
  <c r="L44" i="42"/>
  <c r="K22" i="42"/>
  <c r="K26" i="42"/>
  <c r="K30" i="42"/>
  <c r="K34" i="42"/>
  <c r="K38" i="42"/>
  <c r="K42" i="42"/>
  <c r="L21" i="42"/>
  <c r="L25" i="42"/>
  <c r="L29" i="42"/>
  <c r="L33" i="42"/>
  <c r="L37" i="42"/>
  <c r="L41" i="42"/>
  <c r="L19" i="42"/>
  <c r="K23" i="42"/>
  <c r="K27" i="42"/>
  <c r="K31" i="42"/>
  <c r="K35" i="42"/>
  <c r="K39" i="42"/>
  <c r="K43" i="42"/>
  <c r="K19" i="42"/>
  <c r="K37" i="42"/>
  <c r="K29" i="42"/>
  <c r="K21" i="42"/>
  <c r="L39" i="42"/>
  <c r="L31" i="42"/>
  <c r="L23" i="42"/>
  <c r="O19" i="42"/>
  <c r="O37" i="42"/>
  <c r="O29" i="42"/>
  <c r="O21" i="42"/>
  <c r="P39" i="42"/>
  <c r="P31" i="42"/>
  <c r="P20" i="42"/>
  <c r="P24" i="42"/>
  <c r="P28" i="42"/>
  <c r="P32" i="42"/>
  <c r="P36" i="42"/>
  <c r="P40" i="42"/>
  <c r="P44" i="42"/>
  <c r="O22" i="42"/>
  <c r="O26" i="42"/>
  <c r="O30" i="42"/>
  <c r="O34" i="42"/>
  <c r="O38" i="42"/>
  <c r="O42" i="42"/>
  <c r="P21" i="42"/>
  <c r="P25" i="42"/>
  <c r="P29" i="42"/>
  <c r="P33" i="42"/>
  <c r="P37" i="42"/>
  <c r="P41" i="42"/>
  <c r="P19" i="42"/>
  <c r="O23" i="42"/>
  <c r="O27" i="42"/>
  <c r="O31" i="42"/>
  <c r="O35" i="42"/>
  <c r="O39" i="42"/>
  <c r="O43" i="42"/>
  <c r="K44" i="42"/>
  <c r="K36" i="42"/>
  <c r="K28" i="42"/>
  <c r="K20" i="42"/>
  <c r="L38" i="42"/>
  <c r="L30" i="42"/>
  <c r="L22" i="42"/>
  <c r="O44" i="42"/>
  <c r="O36" i="42"/>
  <c r="O28" i="42"/>
  <c r="O20" i="42"/>
  <c r="P38" i="42"/>
  <c r="P30" i="42"/>
  <c r="P22" i="42"/>
  <c r="G52" i="36"/>
  <c r="E55" i="36"/>
  <c r="H55" i="36"/>
  <c r="D52" i="36"/>
  <c r="E52" i="36" s="1"/>
  <c r="J22" i="30"/>
  <c r="L22" i="30"/>
  <c r="E29" i="39"/>
  <c r="F29" i="39"/>
  <c r="G29" i="39"/>
  <c r="H29" i="39"/>
  <c r="A30" i="39"/>
  <c r="F60" i="36"/>
  <c r="G60" i="36" s="1"/>
  <c r="D91" i="36"/>
  <c r="E91" i="36"/>
  <c r="F91" i="36"/>
  <c r="G91" i="36" s="1"/>
  <c r="C17" i="36"/>
  <c r="F17" i="36" s="1"/>
  <c r="G17" i="36" s="1"/>
  <c r="D17" i="36"/>
  <c r="E17" i="36" s="1"/>
  <c r="R4" i="36"/>
  <c r="T4" i="36"/>
  <c r="U4" i="36" s="1"/>
  <c r="W4" i="36"/>
  <c r="D56" i="36"/>
  <c r="E56" i="36"/>
  <c r="F87" i="36"/>
  <c r="H87" i="36" s="1"/>
  <c r="D87" i="36"/>
  <c r="E87" i="36"/>
  <c r="C31" i="36"/>
  <c r="D31" i="36"/>
  <c r="E31" i="36" s="1"/>
  <c r="A32" i="36"/>
  <c r="C32" i="36" s="1"/>
  <c r="D32" i="36" s="1"/>
  <c r="E32" i="36" s="1"/>
  <c r="F31" i="36"/>
  <c r="G8" i="36"/>
  <c r="K22" i="30"/>
  <c r="M22" i="30"/>
  <c r="F12" i="40"/>
  <c r="G12" i="40"/>
  <c r="H12" i="40" s="1"/>
  <c r="I12" i="40" s="1"/>
  <c r="H19" i="40" s="1"/>
  <c r="P20" i="40"/>
  <c r="P28" i="40" s="1"/>
  <c r="M80" i="36"/>
  <c r="E80" i="36"/>
  <c r="B21" i="41"/>
  <c r="C21" i="41" s="1"/>
  <c r="G31" i="36"/>
  <c r="H91" i="36"/>
  <c r="G87" i="36"/>
  <c r="A33" i="36"/>
  <c r="E30" i="39"/>
  <c r="F30" i="39"/>
  <c r="G30" i="39"/>
  <c r="H30" i="39" s="1"/>
  <c r="A31" i="39"/>
  <c r="E31" i="39" s="1"/>
  <c r="F31" i="39" s="1"/>
  <c r="G31" i="39" s="1"/>
  <c r="H31" i="39" s="1"/>
  <c r="A32" i="39"/>
  <c r="E32" i="39"/>
  <c r="F32" i="39" s="1"/>
  <c r="G32" i="39" s="1"/>
  <c r="H32" i="39" s="1"/>
  <c r="C33" i="36"/>
  <c r="F33" i="36" s="1"/>
  <c r="J38" i="32"/>
  <c r="K19" i="31"/>
  <c r="J21" i="31"/>
  <c r="J22" i="31" s="1"/>
  <c r="L20" i="31"/>
  <c r="E18" i="31"/>
  <c r="F18" i="31" s="1"/>
  <c r="E63" i="29"/>
  <c r="F63" i="29" s="1"/>
  <c r="N5" i="32"/>
  <c r="H73" i="32"/>
  <c r="J40" i="32"/>
  <c r="L39" i="32"/>
  <c r="I37" i="32"/>
  <c r="K55" i="32"/>
  <c r="J55" i="32"/>
  <c r="M55" i="32" s="1"/>
  <c r="G13" i="32"/>
  <c r="J13" i="32"/>
  <c r="J36" i="32"/>
  <c r="G36" i="32"/>
  <c r="I35" i="32"/>
  <c r="L27" i="32"/>
  <c r="G14" i="32"/>
  <c r="M14" i="32"/>
  <c r="L21" i="31"/>
  <c r="N49" i="28"/>
  <c r="I10" i="33"/>
  <c r="O43" i="28"/>
  <c r="P43" i="28" s="1"/>
  <c r="M44" i="28"/>
  <c r="N44" i="28"/>
  <c r="I5" i="33"/>
  <c r="G5" i="33"/>
  <c r="L5" i="33"/>
  <c r="J22" i="33"/>
  <c r="K22" i="33"/>
  <c r="M22" i="33" s="1"/>
  <c r="G22" i="33"/>
  <c r="N22" i="33" s="1"/>
  <c r="O22" i="33" s="1"/>
  <c r="I20" i="33"/>
  <c r="P20" i="33"/>
  <c r="Q20" i="33"/>
  <c r="G19" i="33"/>
  <c r="N19" i="33"/>
  <c r="O19" i="33" s="1"/>
  <c r="L22" i="33"/>
  <c r="K24" i="32"/>
  <c r="L24" i="32" s="1"/>
  <c r="G4" i="32"/>
  <c r="H4" i="32" s="1"/>
  <c r="I4" i="32" s="1"/>
  <c r="H22" i="32"/>
  <c r="K22" i="32"/>
  <c r="L22" i="32" s="1"/>
  <c r="F22" i="28"/>
  <c r="H22" i="28" s="1"/>
  <c r="J22" i="28" s="1"/>
  <c r="Q41" i="28"/>
  <c r="T41" i="28"/>
  <c r="O44" i="28"/>
  <c r="P44" i="28" s="1"/>
  <c r="Q44" i="28"/>
  <c r="R44" i="28"/>
  <c r="S44" i="28" s="1"/>
  <c r="E20" i="28"/>
  <c r="F20" i="28" s="1"/>
  <c r="H20" i="28" s="1"/>
  <c r="J20" i="28" s="1"/>
  <c r="M43" i="28"/>
  <c r="N43" i="28" s="1"/>
  <c r="S41" i="28"/>
  <c r="R42" i="28"/>
  <c r="S42" i="28" s="1"/>
  <c r="M42" i="28"/>
  <c r="N42" i="28"/>
  <c r="O42" i="28"/>
  <c r="R43" i="28"/>
  <c r="S43" i="28" s="1"/>
  <c r="P42" i="28"/>
  <c r="Q42" i="28"/>
  <c r="R9" i="28"/>
  <c r="S9" i="28" s="1"/>
  <c r="U9" i="28"/>
  <c r="W9" i="28" s="1"/>
  <c r="E19" i="28"/>
  <c r="F19" i="28" s="1"/>
  <c r="H19" i="28" s="1"/>
  <c r="G18" i="28"/>
  <c r="K10" i="28"/>
  <c r="F45" i="36" l="1"/>
  <c r="D45" i="36"/>
  <c r="E45" i="36" s="1"/>
  <c r="E145" i="36"/>
  <c r="F61" i="36"/>
  <c r="G61" i="36" s="1"/>
  <c r="D61" i="36"/>
  <c r="E61" i="36" s="1"/>
  <c r="G30" i="36"/>
  <c r="F14" i="40"/>
  <c r="J19" i="40" s="1"/>
  <c r="G14" i="40"/>
  <c r="J23" i="31"/>
  <c r="K22" i="31"/>
  <c r="E8" i="36"/>
  <c r="H8" i="36"/>
  <c r="I63" i="38"/>
  <c r="E71" i="38" s="1"/>
  <c r="H63" i="38"/>
  <c r="I71" i="38" s="1"/>
  <c r="K71" i="38" s="1"/>
  <c r="L71" i="38" s="1"/>
  <c r="P19" i="33"/>
  <c r="Q19" i="33"/>
  <c r="H36" i="29"/>
  <c r="K36" i="29" s="1"/>
  <c r="I36" i="29"/>
  <c r="L36" i="29" s="1"/>
  <c r="M36" i="29"/>
  <c r="N36" i="29" s="1"/>
  <c r="P22" i="33"/>
  <c r="Q22" i="33"/>
  <c r="I19" i="40"/>
  <c r="H27" i="40"/>
  <c r="H28" i="40" s="1"/>
  <c r="H29" i="40" s="1"/>
  <c r="H30" i="40" s="1"/>
  <c r="H20" i="40"/>
  <c r="H21" i="40" s="1"/>
  <c r="J46" i="38"/>
  <c r="C38" i="38"/>
  <c r="M38" i="38" s="1"/>
  <c r="M46" i="38" s="1"/>
  <c r="R20" i="40"/>
  <c r="R28" i="40" s="1"/>
  <c r="D30" i="36"/>
  <c r="E30" i="36" s="1"/>
  <c r="Q21" i="33"/>
  <c r="D101" i="36"/>
  <c r="E101" i="36" s="1"/>
  <c r="E47" i="36"/>
  <c r="P47" i="36" s="1"/>
  <c r="N47" i="36"/>
  <c r="F72" i="36"/>
  <c r="D72" i="36"/>
  <c r="E72" i="36" s="1"/>
  <c r="J23" i="30"/>
  <c r="L23" i="30"/>
  <c r="U21" i="40"/>
  <c r="B138" i="36"/>
  <c r="C136" i="36"/>
  <c r="F49" i="36"/>
  <c r="D49" i="36"/>
  <c r="E49" i="36" s="1"/>
  <c r="N19" i="40"/>
  <c r="G20" i="40"/>
  <c r="G21" i="40" s="1"/>
  <c r="G22" i="40" s="1"/>
  <c r="U20" i="40"/>
  <c r="G21" i="44"/>
  <c r="J21" i="44"/>
  <c r="D6" i="36"/>
  <c r="E6" i="36" s="1"/>
  <c r="C6" i="36"/>
  <c r="F6" i="36" s="1"/>
  <c r="H53" i="36"/>
  <c r="X53" i="36" s="1"/>
  <c r="G11" i="36"/>
  <c r="L38" i="38"/>
  <c r="D46" i="38" s="1"/>
  <c r="A29" i="37"/>
  <c r="H50" i="36"/>
  <c r="X50" i="36" s="1"/>
  <c r="G50" i="36"/>
  <c r="H13" i="36"/>
  <c r="G13" i="36"/>
  <c r="F150" i="36"/>
  <c r="D150" i="36"/>
  <c r="E150" i="36" s="1"/>
  <c r="L29" i="29"/>
  <c r="K29" i="29"/>
  <c r="L73" i="32"/>
  <c r="I73" i="32"/>
  <c r="J73" i="32" s="1"/>
  <c r="D148" i="36"/>
  <c r="E148" i="36" s="1"/>
  <c r="F148" i="36"/>
  <c r="C117" i="36"/>
  <c r="D117" i="36" s="1"/>
  <c r="E117" i="36" s="1"/>
  <c r="A118" i="36"/>
  <c r="C118" i="36" s="1"/>
  <c r="F117" i="36"/>
  <c r="F41" i="36"/>
  <c r="D41" i="36"/>
  <c r="E41" i="36" s="1"/>
  <c r="G30" i="44"/>
  <c r="I158" i="36"/>
  <c r="I159" i="36" s="1"/>
  <c r="J159" i="36" s="1"/>
  <c r="I156" i="36"/>
  <c r="I157" i="36" s="1"/>
  <c r="J157" i="36" s="1"/>
  <c r="F27" i="40"/>
  <c r="E28" i="40"/>
  <c r="E29" i="40" s="1"/>
  <c r="E30" i="40" s="1"/>
  <c r="G27" i="40"/>
  <c r="M12" i="32"/>
  <c r="L12" i="32"/>
  <c r="D19" i="37"/>
  <c r="F19" i="37" s="1"/>
  <c r="H19" i="37" s="1"/>
  <c r="J19" i="37"/>
  <c r="L19" i="37" s="1"/>
  <c r="N19" i="37" s="1"/>
  <c r="O19" i="37" s="1"/>
  <c r="E19" i="37"/>
  <c r="T44" i="28"/>
  <c r="P5" i="33"/>
  <c r="F9" i="36"/>
  <c r="G9" i="36" s="1"/>
  <c r="D14" i="36"/>
  <c r="E14" i="36" s="1"/>
  <c r="D44" i="36"/>
  <c r="E44" i="36" s="1"/>
  <c r="H14" i="40"/>
  <c r="A103" i="36"/>
  <c r="R21" i="40"/>
  <c r="R29" i="40" s="1"/>
  <c r="I23" i="30"/>
  <c r="H134" i="36"/>
  <c r="G134" i="36"/>
  <c r="F57" i="36"/>
  <c r="G57" i="36" s="1"/>
  <c r="D57" i="36"/>
  <c r="E57" i="36" s="1"/>
  <c r="U19" i="40"/>
  <c r="H62" i="36"/>
  <c r="D21" i="25"/>
  <c r="E135" i="36"/>
  <c r="H135" i="36"/>
  <c r="H101" i="36"/>
  <c r="L25" i="30"/>
  <c r="B46" i="25"/>
  <c r="P11" i="33"/>
  <c r="R11" i="33" s="1"/>
  <c r="F145" i="36"/>
  <c r="G145" i="36" s="1"/>
  <c r="D54" i="36"/>
  <c r="N54" i="36" s="1"/>
  <c r="F54" i="36"/>
  <c r="G54" i="36" s="1"/>
  <c r="C36" i="36"/>
  <c r="D36" i="36" s="1"/>
  <c r="E36" i="36" s="1"/>
  <c r="E38" i="38"/>
  <c r="F38" i="38" s="1"/>
  <c r="G38" i="38" s="1"/>
  <c r="F31" i="38"/>
  <c r="U48" i="35"/>
  <c r="O48" i="35"/>
  <c r="Y55" i="35" s="1"/>
  <c r="AA55" i="35" s="1"/>
  <c r="U28" i="32"/>
  <c r="U31" i="32" s="1"/>
  <c r="U33" i="32" s="1"/>
  <c r="L26" i="29"/>
  <c r="H44" i="36"/>
  <c r="F5" i="36"/>
  <c r="K19" i="37"/>
  <c r="A22" i="36"/>
  <c r="C21" i="36"/>
  <c r="M25" i="30"/>
  <c r="K25" i="30"/>
  <c r="L28" i="29"/>
  <c r="K9" i="31"/>
  <c r="D139" i="36"/>
  <c r="E139" i="36" s="1"/>
  <c r="F139" i="36"/>
  <c r="C88" i="36"/>
  <c r="D88" i="36" s="1"/>
  <c r="E88" i="36" s="1"/>
  <c r="F88" i="36"/>
  <c r="D35" i="36"/>
  <c r="E35" i="36" s="1"/>
  <c r="F35" i="36"/>
  <c r="C20" i="36"/>
  <c r="T42" i="28"/>
  <c r="E21" i="28"/>
  <c r="F21" i="28" s="1"/>
  <c r="H21" i="28" s="1"/>
  <c r="J21" i="28" s="1"/>
  <c r="M20" i="33"/>
  <c r="K21" i="31"/>
  <c r="C5" i="36"/>
  <c r="D5" i="36" s="1"/>
  <c r="N5" i="36" s="1"/>
  <c r="H18" i="36"/>
  <c r="H64" i="29"/>
  <c r="M64" i="29"/>
  <c r="N64" i="29" s="1"/>
  <c r="I12" i="30"/>
  <c r="J12" i="30" s="1"/>
  <c r="L12" i="30" s="1"/>
  <c r="G24" i="30"/>
  <c r="I24" i="30" s="1"/>
  <c r="I26" i="30"/>
  <c r="H26" i="30"/>
  <c r="Q21" i="40"/>
  <c r="Q29" i="40" s="1"/>
  <c r="O29" i="40"/>
  <c r="H24" i="30"/>
  <c r="H17" i="36"/>
  <c r="D16" i="36"/>
  <c r="E16" i="36" s="1"/>
  <c r="H70" i="36"/>
  <c r="I19" i="33"/>
  <c r="J19" i="33"/>
  <c r="K19" i="33" s="1"/>
  <c r="F51" i="36"/>
  <c r="G51" i="36" s="1"/>
  <c r="D51" i="36"/>
  <c r="E51" i="36" s="1"/>
  <c r="N161" i="36"/>
  <c r="I38" i="29"/>
  <c r="L38" i="29" s="1"/>
  <c r="H47" i="36"/>
  <c r="X47" i="36" s="1"/>
  <c r="H38" i="29"/>
  <c r="K38" i="29" s="1"/>
  <c r="I22" i="31"/>
  <c r="L22" i="31" s="1"/>
  <c r="L72" i="32"/>
  <c r="N72" i="32" s="1"/>
  <c r="J26" i="32"/>
  <c r="I14" i="32"/>
  <c r="K30" i="29"/>
  <c r="F12" i="28"/>
  <c r="A42" i="36"/>
  <c r="L9" i="42"/>
  <c r="K45" i="31"/>
  <c r="M157" i="36"/>
  <c r="N157" i="36" s="1"/>
  <c r="G6" i="38"/>
  <c r="H6" i="38" s="1"/>
  <c r="J64" i="32"/>
  <c r="L64" i="32" s="1"/>
  <c r="C126" i="36"/>
  <c r="B25" i="36"/>
  <c r="L21" i="44"/>
  <c r="M49" i="32"/>
  <c r="Q49" i="32"/>
  <c r="J51" i="32"/>
  <c r="O41" i="42"/>
  <c r="K28" i="29"/>
  <c r="Y50" i="35"/>
  <c r="AA50" i="35" s="1"/>
  <c r="O33" i="42"/>
  <c r="K10" i="31"/>
  <c r="J50" i="32"/>
  <c r="H7" i="35"/>
  <c r="F8" i="35"/>
  <c r="L65" i="32"/>
  <c r="M40" i="32"/>
  <c r="U52" i="29"/>
  <c r="F9" i="30"/>
  <c r="L9" i="30" s="1"/>
  <c r="K52" i="29"/>
  <c r="L22" i="35"/>
  <c r="M22" i="35"/>
  <c r="E5" i="38"/>
  <c r="J21" i="38"/>
  <c r="C13" i="38"/>
  <c r="M13" i="38" s="1"/>
  <c r="M21" i="38" s="1"/>
  <c r="I5" i="38"/>
  <c r="H5" i="38"/>
  <c r="J12" i="38"/>
  <c r="N6" i="38"/>
  <c r="J13" i="38" s="1"/>
  <c r="B8" i="38"/>
  <c r="D7" i="38"/>
  <c r="G7" i="38" s="1"/>
  <c r="E13" i="38"/>
  <c r="F13" i="38" s="1"/>
  <c r="K7" i="38"/>
  <c r="M6" i="38"/>
  <c r="J66" i="32"/>
  <c r="J63" i="32"/>
  <c r="L63" i="32" s="1"/>
  <c r="J29" i="32"/>
  <c r="M29" i="32"/>
  <c r="K9" i="28"/>
  <c r="J19" i="28"/>
  <c r="J11" i="32"/>
  <c r="M11" i="32"/>
  <c r="D37" i="30"/>
  <c r="E37" i="30"/>
  <c r="G37" i="30"/>
  <c r="F21" i="30"/>
  <c r="H152" i="36"/>
  <c r="G152" i="36"/>
  <c r="K53" i="29"/>
  <c r="I63" i="29"/>
  <c r="L63" i="29" s="1"/>
  <c r="H63" i="29"/>
  <c r="M63" i="29"/>
  <c r="N63" i="29" s="1"/>
  <c r="E27" i="29"/>
  <c r="E37" i="29" s="1"/>
  <c r="F37" i="29" s="1"/>
  <c r="M48" i="32"/>
  <c r="M35" i="29"/>
  <c r="N35" i="29" s="1"/>
  <c r="E35" i="29"/>
  <c r="H35" i="29"/>
  <c r="K35" i="29" s="1"/>
  <c r="N25" i="29" s="1"/>
  <c r="S8" i="29"/>
  <c r="T8" i="29" s="1"/>
  <c r="AE11" i="29" s="1"/>
  <c r="Q8" i="29"/>
  <c r="R8" i="29" s="1"/>
  <c r="AH8" i="29" s="1"/>
  <c r="AJ8" i="29" s="1"/>
  <c r="K25" i="29"/>
  <c r="L25" i="29"/>
  <c r="M25" i="29" s="1"/>
  <c r="I35" i="29"/>
  <c r="L35" i="29" s="1"/>
  <c r="M86" i="36"/>
  <c r="N86" i="36" s="1"/>
  <c r="P10" i="33"/>
  <c r="R10" i="33" s="1"/>
  <c r="O10" i="33"/>
  <c r="L10" i="33"/>
  <c r="K10" i="33"/>
  <c r="J18" i="33"/>
  <c r="K18" i="33" s="1"/>
  <c r="L18" i="33" s="1"/>
  <c r="I18" i="33"/>
  <c r="Q18" i="33"/>
  <c r="P18" i="33"/>
  <c r="M18" i="33"/>
  <c r="E158" i="36"/>
  <c r="H173" i="36"/>
  <c r="H174" i="36" s="1"/>
  <c r="H176" i="36" s="1"/>
  <c r="H158" i="36"/>
  <c r="J48" i="32"/>
  <c r="H72" i="32"/>
  <c r="F74" i="32"/>
  <c r="H74" i="32" s="1"/>
  <c r="L25" i="32"/>
  <c r="K5" i="32"/>
  <c r="J5" i="32"/>
  <c r="G26" i="32"/>
  <c r="F27" i="32"/>
  <c r="M28" i="32"/>
  <c r="M73" i="32"/>
  <c r="L74" i="32"/>
  <c r="N73" i="32"/>
  <c r="S28" i="32"/>
  <c r="S31" i="32" s="1"/>
  <c r="S33" i="32" s="1"/>
  <c r="M72" i="32"/>
  <c r="J54" i="32"/>
  <c r="I72" i="32"/>
  <c r="J62" i="32"/>
  <c r="L62" i="32" s="1"/>
  <c r="H28" i="32"/>
  <c r="H25" i="32"/>
  <c r="G24" i="32"/>
  <c r="J41" i="32"/>
  <c r="M41" i="32"/>
  <c r="J27" i="32"/>
  <c r="J52" i="32"/>
  <c r="I51" i="32"/>
  <c r="P61" i="32"/>
  <c r="R61" i="32" s="1"/>
  <c r="U61" i="32" s="1"/>
  <c r="L38" i="32"/>
  <c r="E25" i="32"/>
  <c r="G25" i="32" s="1"/>
  <c r="G22" i="32"/>
  <c r="K73" i="32"/>
  <c r="J12" i="32"/>
  <c r="L66" i="32"/>
  <c r="G33" i="36"/>
  <c r="D102" i="36"/>
  <c r="E102" i="36" s="1"/>
  <c r="F102" i="36"/>
  <c r="H156" i="36"/>
  <c r="J156" i="36" s="1"/>
  <c r="M149" i="36"/>
  <c r="E156" i="36"/>
  <c r="N156" i="36" s="1"/>
  <c r="F32" i="36"/>
  <c r="G14" i="36"/>
  <c r="H60" i="36"/>
  <c r="H31" i="36"/>
  <c r="E9" i="36"/>
  <c r="H9" i="36"/>
  <c r="G80" i="36"/>
  <c r="H80" i="36"/>
  <c r="J80" i="36" s="1"/>
  <c r="C74" i="36"/>
  <c r="D74" i="36" s="1"/>
  <c r="E74" i="36" s="1"/>
  <c r="F74" i="36"/>
  <c r="A75" i="36"/>
  <c r="E59" i="36"/>
  <c r="H59" i="36"/>
  <c r="G63" i="36"/>
  <c r="G15" i="36"/>
  <c r="H15" i="36"/>
  <c r="E149" i="36"/>
  <c r="H149" i="36"/>
  <c r="C127" i="36"/>
  <c r="F127" i="36" s="1"/>
  <c r="A128" i="36"/>
  <c r="F126" i="36"/>
  <c r="D126" i="36"/>
  <c r="E126" i="36" s="1"/>
  <c r="D118" i="36"/>
  <c r="E118" i="36" s="1"/>
  <c r="A119" i="36"/>
  <c r="F118" i="36"/>
  <c r="D34" i="36"/>
  <c r="E34" i="36" s="1"/>
  <c r="F34" i="36"/>
  <c r="D7" i="36"/>
  <c r="E7" i="36" s="1"/>
  <c r="F7" i="36"/>
  <c r="E73" i="36"/>
  <c r="H73" i="36"/>
  <c r="F28" i="36"/>
  <c r="D28" i="36"/>
  <c r="E28" i="36" s="1"/>
  <c r="H52" i="36"/>
  <c r="X52" i="36" s="1"/>
  <c r="H5" i="36"/>
  <c r="J5" i="36" s="1"/>
  <c r="G5" i="36"/>
  <c r="F19" i="36"/>
  <c r="D19" i="36"/>
  <c r="C92" i="36"/>
  <c r="D92" i="36" s="1"/>
  <c r="E92" i="36" s="1"/>
  <c r="A93" i="36"/>
  <c r="G89" i="36"/>
  <c r="H89" i="36"/>
  <c r="F137" i="36"/>
  <c r="D137" i="36"/>
  <c r="E137" i="36" s="1"/>
  <c r="G71" i="36"/>
  <c r="H71" i="36"/>
  <c r="D141" i="36"/>
  <c r="E141" i="36" s="1"/>
  <c r="F141" i="36"/>
  <c r="D33" i="36"/>
  <c r="E33" i="36" s="1"/>
  <c r="H61" i="36"/>
  <c r="H56" i="36"/>
  <c r="G56" i="36"/>
  <c r="K5" i="36"/>
  <c r="E5" i="36"/>
  <c r="M5" i="36"/>
  <c r="P5" i="36"/>
  <c r="G16" i="36"/>
  <c r="G151" i="36"/>
  <c r="N151" i="36" s="1"/>
  <c r="H151" i="36"/>
  <c r="J151" i="36" s="1"/>
  <c r="F21" i="36"/>
  <c r="D21" i="36"/>
  <c r="E21" i="36" s="1"/>
  <c r="G88" i="36"/>
  <c r="H88" i="36"/>
  <c r="G41" i="36"/>
  <c r="H41" i="36"/>
  <c r="H35" i="36"/>
  <c r="G35" i="36"/>
  <c r="D162" i="36"/>
  <c r="E162" i="36" s="1"/>
  <c r="F162" i="36"/>
  <c r="A110" i="36"/>
  <c r="D109" i="36"/>
  <c r="H51" i="36"/>
  <c r="X51" i="36" s="1"/>
  <c r="D81" i="36"/>
  <c r="E81" i="36" s="1"/>
  <c r="A82" i="36"/>
  <c r="D155" i="36"/>
  <c r="E155" i="36" s="1"/>
  <c r="F155" i="36"/>
  <c r="D12" i="36"/>
  <c r="E12" i="36" s="1"/>
  <c r="F12" i="36"/>
  <c r="G116" i="36"/>
  <c r="H116" i="36"/>
  <c r="D79" i="36"/>
  <c r="E79" i="36" s="1"/>
  <c r="F79" i="36"/>
  <c r="E48" i="36"/>
  <c r="H48" i="36"/>
  <c r="X48" i="36" s="1"/>
  <c r="E37" i="36"/>
  <c r="H37" i="36"/>
  <c r="D29" i="36"/>
  <c r="E29" i="36" s="1"/>
  <c r="F29" i="36"/>
  <c r="G38" i="36"/>
  <c r="O151" i="36"/>
  <c r="A144" i="36"/>
  <c r="C142" i="36"/>
  <c r="D63" i="36"/>
  <c r="E63" i="36" s="1"/>
  <c r="A64" i="36"/>
  <c r="E40" i="36"/>
  <c r="H40" i="36"/>
  <c r="J40" i="36" s="1"/>
  <c r="F153" i="36"/>
  <c r="D153" i="36"/>
  <c r="E153" i="36" s="1"/>
  <c r="N58" i="36"/>
  <c r="T43" i="28"/>
  <c r="Q43" i="28"/>
  <c r="Q40" i="28"/>
  <c r="F44" i="28"/>
  <c r="E45" i="28"/>
  <c r="F43" i="28"/>
  <c r="D42" i="28"/>
  <c r="F42" i="28" s="1"/>
  <c r="G42" i="28" s="1"/>
  <c r="N51" i="28"/>
  <c r="N53" i="28" s="1"/>
  <c r="M22" i="32"/>
  <c r="J47" i="32"/>
  <c r="J56" i="32"/>
  <c r="J57" i="32"/>
  <c r="N4" i="32"/>
  <c r="E54" i="36"/>
  <c r="H54" i="36"/>
  <c r="E46" i="36"/>
  <c r="P46" i="36" s="1"/>
  <c r="H46" i="36"/>
  <c r="N46" i="36"/>
  <c r="G43" i="36"/>
  <c r="D43" i="36"/>
  <c r="C21" i="34"/>
  <c r="M30" i="32"/>
  <c r="M35" i="32"/>
  <c r="G43" i="32"/>
  <c r="H43" i="32" s="1"/>
  <c r="P34" i="32"/>
  <c r="J35" i="32"/>
  <c r="M34" i="32"/>
  <c r="M7" i="35"/>
  <c r="M10" i="32"/>
  <c r="R10" i="32" s="1"/>
  <c r="G10" i="32"/>
  <c r="T40" i="28"/>
  <c r="H6" i="35"/>
  <c r="L34" i="32"/>
  <c r="J34" i="32"/>
  <c r="P33" i="32"/>
  <c r="L8" i="21"/>
  <c r="L10" i="21" s="1"/>
  <c r="L4" i="33"/>
  <c r="G4" i="33"/>
  <c r="O4" i="33"/>
  <c r="P4" i="33"/>
  <c r="K8" i="31"/>
  <c r="I46" i="31" s="1"/>
  <c r="I47" i="31" s="1"/>
  <c r="I18" i="31"/>
  <c r="L18" i="31" s="1"/>
  <c r="H18" i="31"/>
  <c r="X52" i="29"/>
  <c r="T52" i="29"/>
  <c r="E14" i="29"/>
  <c r="K8" i="29"/>
  <c r="F14" i="29"/>
  <c r="H14" i="29" s="1"/>
  <c r="K14" i="29" s="1"/>
  <c r="K63" i="29"/>
  <c r="K64" i="29"/>
  <c r="J65" i="29"/>
  <c r="L64" i="29"/>
  <c r="F18" i="28"/>
  <c r="H18" i="28" s="1"/>
  <c r="J18" i="28" s="1"/>
  <c r="K8" i="28"/>
  <c r="L10" i="32"/>
  <c r="P10" i="32"/>
  <c r="J10" i="32"/>
  <c r="S10" i="32" s="1"/>
  <c r="L20" i="35"/>
  <c r="K4" i="32"/>
  <c r="J4" i="32"/>
  <c r="V9" i="28"/>
  <c r="T9" i="28"/>
  <c r="R20" i="35"/>
  <c r="T20" i="35" s="1"/>
  <c r="Y20" i="35" s="1"/>
  <c r="H20" i="35"/>
  <c r="P8" i="28"/>
  <c r="Q8" i="28" s="1"/>
  <c r="X8" i="28" s="1"/>
  <c r="R8" i="28"/>
  <c r="S8" i="28" s="1"/>
  <c r="C18" i="28"/>
  <c r="R7" i="28"/>
  <c r="U7" i="28"/>
  <c r="V7" i="28" s="1"/>
  <c r="Q7" i="28"/>
  <c r="X7" i="28" s="1"/>
  <c r="F7" i="28"/>
  <c r="K7" i="28" s="1"/>
  <c r="K48" i="32"/>
  <c r="R47" i="35"/>
  <c r="U47" i="35"/>
  <c r="P6" i="35"/>
  <c r="S6" i="35" s="1"/>
  <c r="H24" i="32"/>
  <c r="J24" i="32" s="1"/>
  <c r="O23" i="32" s="1"/>
  <c r="M24" i="32"/>
  <c r="K23" i="32"/>
  <c r="H23" i="32"/>
  <c r="I23" i="32" s="1"/>
  <c r="G23" i="32"/>
  <c r="J22" i="32"/>
  <c r="I22" i="32"/>
  <c r="U49" i="35"/>
  <c r="R49" i="35"/>
  <c r="I21" i="32"/>
  <c r="E21" i="32"/>
  <c r="K21" i="32"/>
  <c r="X51" i="29"/>
  <c r="U51" i="29"/>
  <c r="F62" i="29"/>
  <c r="H62" i="29" s="1"/>
  <c r="K62" i="29" s="1"/>
  <c r="R48" i="35"/>
  <c r="T47" i="35"/>
  <c r="Q47" i="35"/>
  <c r="H38" i="38" l="1"/>
  <c r="I46" i="38" s="1"/>
  <c r="K46" i="38" s="1"/>
  <c r="L46" i="38" s="1"/>
  <c r="I38" i="38"/>
  <c r="E46" i="38" s="1"/>
  <c r="C42" i="36"/>
  <c r="F42" i="36" s="1"/>
  <c r="D42" i="36"/>
  <c r="E42" i="36" s="1"/>
  <c r="H139" i="36"/>
  <c r="G139" i="36"/>
  <c r="G72" i="36"/>
  <c r="H72" i="36"/>
  <c r="B26" i="36"/>
  <c r="C25" i="36"/>
  <c r="F36" i="36"/>
  <c r="H6" i="36"/>
  <c r="G6" i="36"/>
  <c r="G49" i="36"/>
  <c r="H49" i="36"/>
  <c r="X49" i="36" s="1"/>
  <c r="H57" i="36"/>
  <c r="J24" i="30"/>
  <c r="L24" i="30"/>
  <c r="D136" i="36"/>
  <c r="E136" i="36" s="1"/>
  <c r="F136" i="36"/>
  <c r="H16" i="36"/>
  <c r="D20" i="36"/>
  <c r="E20" i="36" s="1"/>
  <c r="F20" i="36"/>
  <c r="A30" i="37"/>
  <c r="B29" i="37"/>
  <c r="B140" i="36"/>
  <c r="C140" i="36" s="1"/>
  <c r="C138" i="36"/>
  <c r="L21" i="40"/>
  <c r="T21" i="40" s="1"/>
  <c r="V21" i="40" s="1"/>
  <c r="H22" i="40"/>
  <c r="L22" i="40" s="1"/>
  <c r="T22" i="40" s="1"/>
  <c r="V22" i="40" s="1"/>
  <c r="H14" i="36"/>
  <c r="K23" i="30"/>
  <c r="M23" i="30"/>
  <c r="N27" i="40"/>
  <c r="G28" i="40"/>
  <c r="G29" i="40" s="1"/>
  <c r="G30" i="40" s="1"/>
  <c r="G117" i="36"/>
  <c r="H117" i="36"/>
  <c r="J117" i="36" s="1"/>
  <c r="F9" i="25"/>
  <c r="F18" i="25"/>
  <c r="L23" i="31"/>
  <c r="K23" i="31"/>
  <c r="M19" i="33"/>
  <c r="L19" i="33"/>
  <c r="J26" i="30"/>
  <c r="L26" i="30"/>
  <c r="E11" i="25"/>
  <c r="F11" i="25" s="1"/>
  <c r="E12" i="25"/>
  <c r="F12" i="25" s="1"/>
  <c r="E13" i="25"/>
  <c r="E18" i="25"/>
  <c r="E10" i="25"/>
  <c r="E16" i="25"/>
  <c r="F16" i="25" s="1"/>
  <c r="E15" i="25"/>
  <c r="F15" i="25" s="1"/>
  <c r="E9" i="25"/>
  <c r="E19" i="25"/>
  <c r="F19" i="25" s="1"/>
  <c r="E14" i="25"/>
  <c r="F14" i="25" s="1"/>
  <c r="E17" i="25"/>
  <c r="L19" i="40"/>
  <c r="I20" i="40"/>
  <c r="I21" i="40" s="1"/>
  <c r="I22" i="40" s="1"/>
  <c r="H145" i="36"/>
  <c r="K18" i="31"/>
  <c r="P18" i="31"/>
  <c r="I6" i="38"/>
  <c r="M26" i="30"/>
  <c r="K26" i="30"/>
  <c r="C103" i="36"/>
  <c r="A104" i="36"/>
  <c r="M27" i="40"/>
  <c r="U27" i="40" s="1"/>
  <c r="I27" i="40"/>
  <c r="F28" i="40"/>
  <c r="F29" i="40" s="1"/>
  <c r="H150" i="36"/>
  <c r="G150" i="36"/>
  <c r="U28" i="40"/>
  <c r="J27" i="40"/>
  <c r="J28" i="40" s="1"/>
  <c r="J29" i="40" s="1"/>
  <c r="J30" i="40" s="1"/>
  <c r="J20" i="40"/>
  <c r="J21" i="40" s="1"/>
  <c r="J22" i="40" s="1"/>
  <c r="O22" i="40" s="1"/>
  <c r="J158" i="36"/>
  <c r="M24" i="30"/>
  <c r="K24" i="30"/>
  <c r="F22" i="36"/>
  <c r="C22" i="36"/>
  <c r="D22" i="36" s="1"/>
  <c r="E22" i="36" s="1"/>
  <c r="F17" i="25"/>
  <c r="F13" i="25"/>
  <c r="F10" i="25"/>
  <c r="G148" i="36"/>
  <c r="H148" i="36"/>
  <c r="H30" i="36"/>
  <c r="G45" i="36"/>
  <c r="H45" i="36"/>
  <c r="G21" i="32"/>
  <c r="P20" i="32" s="1"/>
  <c r="F5" i="38"/>
  <c r="B12" i="38"/>
  <c r="L12" i="38" s="1"/>
  <c r="H7" i="38"/>
  <c r="D15" i="38"/>
  <c r="D8" i="38"/>
  <c r="G8" i="38"/>
  <c r="E8" i="38"/>
  <c r="K12" i="38"/>
  <c r="E7" i="38"/>
  <c r="F7" i="38" s="1"/>
  <c r="N7" i="38"/>
  <c r="J14" i="38" s="1"/>
  <c r="M7" i="38"/>
  <c r="L7" i="38"/>
  <c r="K13" i="38"/>
  <c r="L13" i="38"/>
  <c r="D21" i="38" s="1"/>
  <c r="G13" i="38"/>
  <c r="M9" i="30"/>
  <c r="O9" i="30"/>
  <c r="L21" i="32"/>
  <c r="O21" i="32"/>
  <c r="H21" i="30"/>
  <c r="I21" i="30"/>
  <c r="AF8" i="29"/>
  <c r="AG8" i="29"/>
  <c r="X8" i="29"/>
  <c r="AA8" i="29" s="1"/>
  <c r="AB8" i="29" s="1"/>
  <c r="M37" i="29"/>
  <c r="N37" i="29" s="1"/>
  <c r="H37" i="29"/>
  <c r="K37" i="29" s="1"/>
  <c r="I37" i="29"/>
  <c r="L37" i="29" s="1"/>
  <c r="F27" i="29"/>
  <c r="L27" i="29" s="1"/>
  <c r="U8" i="29"/>
  <c r="O35" i="29"/>
  <c r="Q35" i="29" s="1"/>
  <c r="R35" i="29" s="1"/>
  <c r="T35" i="29" s="1"/>
  <c r="U35" i="29" s="1"/>
  <c r="V35" i="29" s="1"/>
  <c r="W35" i="29" s="1"/>
  <c r="H43" i="29"/>
  <c r="H44" i="29" s="1"/>
  <c r="K42" i="29"/>
  <c r="O25" i="29"/>
  <c r="R158" i="36"/>
  <c r="T158" i="36" s="1"/>
  <c r="N158" i="36"/>
  <c r="T10" i="32"/>
  <c r="K72" i="32"/>
  <c r="J72" i="32"/>
  <c r="P35" i="32"/>
  <c r="R35" i="32" s="1"/>
  <c r="R37" i="32" s="1"/>
  <c r="I25" i="32"/>
  <c r="J25" i="32"/>
  <c r="N74" i="32"/>
  <c r="M74" i="32"/>
  <c r="J28" i="32"/>
  <c r="I28" i="32"/>
  <c r="F28" i="32"/>
  <c r="G28" i="32" s="1"/>
  <c r="G27" i="32"/>
  <c r="M25" i="32"/>
  <c r="O72" i="32"/>
  <c r="G127" i="36"/>
  <c r="G29" i="36"/>
  <c r="H29" i="36"/>
  <c r="H141" i="36"/>
  <c r="G141" i="36"/>
  <c r="G126" i="36"/>
  <c r="H126" i="36"/>
  <c r="A76" i="36"/>
  <c r="C75" i="36"/>
  <c r="F75" i="36" s="1"/>
  <c r="D75" i="36"/>
  <c r="E75" i="36" s="1"/>
  <c r="G153" i="36"/>
  <c r="H153" i="36"/>
  <c r="J153" i="36" s="1"/>
  <c r="G155" i="36"/>
  <c r="H155" i="36"/>
  <c r="J155" i="36" s="1"/>
  <c r="F92" i="36"/>
  <c r="H28" i="36"/>
  <c r="G28" i="36"/>
  <c r="C119" i="36"/>
  <c r="D119" i="36" s="1"/>
  <c r="E119" i="36" s="1"/>
  <c r="F119" i="36"/>
  <c r="A120" i="36"/>
  <c r="A129" i="36"/>
  <c r="C128" i="36"/>
  <c r="D128" i="36" s="1"/>
  <c r="E128" i="36" s="1"/>
  <c r="G32" i="36"/>
  <c r="H32" i="36"/>
  <c r="N153" i="36"/>
  <c r="O153" i="36"/>
  <c r="G118" i="36"/>
  <c r="H118" i="36"/>
  <c r="G12" i="36"/>
  <c r="H12" i="36"/>
  <c r="N155" i="36"/>
  <c r="R155" i="36"/>
  <c r="T155" i="36" s="1"/>
  <c r="E109" i="36"/>
  <c r="H109" i="36"/>
  <c r="G21" i="36"/>
  <c r="H21" i="36"/>
  <c r="N20" i="36"/>
  <c r="N19" i="36"/>
  <c r="E19" i="36"/>
  <c r="G34" i="36"/>
  <c r="H34" i="36"/>
  <c r="D127" i="36"/>
  <c r="E127" i="36" s="1"/>
  <c r="H63" i="36"/>
  <c r="H74" i="36"/>
  <c r="G74" i="36"/>
  <c r="C64" i="36"/>
  <c r="F64" i="36"/>
  <c r="A65" i="36"/>
  <c r="D64" i="36"/>
  <c r="E64" i="36" s="1"/>
  <c r="G162" i="36"/>
  <c r="H162" i="36"/>
  <c r="H7" i="36"/>
  <c r="G7" i="36"/>
  <c r="D142" i="36"/>
  <c r="E142" i="36" s="1"/>
  <c r="F142" i="36"/>
  <c r="G79" i="36"/>
  <c r="H79" i="36"/>
  <c r="A146" i="36"/>
  <c r="C144" i="36"/>
  <c r="D144" i="36" s="1"/>
  <c r="E144" i="36" s="1"/>
  <c r="A83" i="36"/>
  <c r="C82" i="36"/>
  <c r="F82" i="36" s="1"/>
  <c r="A111" i="36"/>
  <c r="C110" i="36"/>
  <c r="D110" i="36" s="1"/>
  <c r="E110" i="36" s="1"/>
  <c r="F110" i="36"/>
  <c r="H81" i="36"/>
  <c r="G137" i="36"/>
  <c r="H137" i="36"/>
  <c r="A94" i="36"/>
  <c r="C93" i="36"/>
  <c r="F93" i="36" s="1"/>
  <c r="H19" i="36"/>
  <c r="G19" i="36"/>
  <c r="H102" i="36"/>
  <c r="G102" i="36"/>
  <c r="H33" i="36"/>
  <c r="D50" i="28"/>
  <c r="G45" i="28"/>
  <c r="G47" i="28" s="1"/>
  <c r="F45" i="28"/>
  <c r="E46" i="28"/>
  <c r="X54" i="36"/>
  <c r="J54" i="36"/>
  <c r="J46" i="36"/>
  <c r="X46" i="36"/>
  <c r="E43" i="36"/>
  <c r="N43" i="36"/>
  <c r="N44" i="36"/>
  <c r="H43" i="36"/>
  <c r="J44" i="36" s="1"/>
  <c r="M6" i="35"/>
  <c r="S5" i="33"/>
  <c r="U4" i="33"/>
  <c r="X4" i="33"/>
  <c r="S4" i="33"/>
  <c r="Q3" i="33"/>
  <c r="U5" i="33"/>
  <c r="L24" i="31"/>
  <c r="AD11" i="29"/>
  <c r="AG11" i="29" s="1"/>
  <c r="AG13" i="29" s="1"/>
  <c r="I14" i="29"/>
  <c r="L14" i="29" s="1"/>
  <c r="L65" i="29"/>
  <c r="K65" i="29"/>
  <c r="J66" i="29"/>
  <c r="M20" i="35"/>
  <c r="W8" i="28"/>
  <c r="X10" i="28"/>
  <c r="T8" i="28"/>
  <c r="T7" i="28"/>
  <c r="S7" i="28"/>
  <c r="W7" i="28"/>
  <c r="F17" i="28"/>
  <c r="H17" i="28" s="1"/>
  <c r="H24" i="28" s="1"/>
  <c r="R24" i="28"/>
  <c r="I24" i="32"/>
  <c r="L23" i="32"/>
  <c r="M23" i="32"/>
  <c r="J23" i="32"/>
  <c r="M21" i="32"/>
  <c r="S20" i="32"/>
  <c r="J21" i="32"/>
  <c r="I62" i="29"/>
  <c r="L62" i="29" s="1"/>
  <c r="M62" i="29"/>
  <c r="N62" i="29" s="1"/>
  <c r="L29" i="40" l="1"/>
  <c r="T29" i="40" s="1"/>
  <c r="V29" i="40" s="1"/>
  <c r="F30" i="40"/>
  <c r="L30" i="40" s="1"/>
  <c r="T30" i="40" s="1"/>
  <c r="V30" i="40" s="1"/>
  <c r="F21" i="25"/>
  <c r="I28" i="40"/>
  <c r="I29" i="40" s="1"/>
  <c r="I30" i="40" s="1"/>
  <c r="L27" i="40"/>
  <c r="H136" i="36"/>
  <c r="G136" i="36"/>
  <c r="H22" i="36"/>
  <c r="G22" i="36"/>
  <c r="F138" i="36"/>
  <c r="D138" i="36"/>
  <c r="E138" i="36" s="1"/>
  <c r="P22" i="40"/>
  <c r="O30" i="40"/>
  <c r="Q22" i="40"/>
  <c r="Q30" i="40" s="1"/>
  <c r="A105" i="36"/>
  <c r="C104" i="36"/>
  <c r="F104" i="36" s="1"/>
  <c r="F140" i="36"/>
  <c r="D140" i="36"/>
  <c r="E140" i="36" s="1"/>
  <c r="H36" i="36"/>
  <c r="G36" i="36"/>
  <c r="H42" i="36"/>
  <c r="G42" i="36"/>
  <c r="K27" i="29"/>
  <c r="F103" i="36"/>
  <c r="D103" i="36"/>
  <c r="E103" i="36" s="1"/>
  <c r="L20" i="40"/>
  <c r="T20" i="40" s="1"/>
  <c r="V20" i="40" s="1"/>
  <c r="T19" i="40"/>
  <c r="V19" i="40" s="1"/>
  <c r="D25" i="36"/>
  <c r="E25" i="36" s="1"/>
  <c r="F25" i="36"/>
  <c r="D93" i="36"/>
  <c r="E93" i="36" s="1"/>
  <c r="A32" i="37"/>
  <c r="B32" i="37" s="1"/>
  <c r="A31" i="37"/>
  <c r="B31" i="37" s="1"/>
  <c r="B30" i="37"/>
  <c r="A33" i="37"/>
  <c r="B27" i="36"/>
  <c r="C27" i="36" s="1"/>
  <c r="C26" i="36"/>
  <c r="H20" i="36"/>
  <c r="G20" i="36"/>
  <c r="C12" i="38"/>
  <c r="M12" i="38" s="1"/>
  <c r="M20" i="38" s="1"/>
  <c r="J20" i="38"/>
  <c r="E12" i="38"/>
  <c r="F12" i="38" s="1"/>
  <c r="G12" i="38" s="1"/>
  <c r="F8" i="38"/>
  <c r="B15" i="38"/>
  <c r="E15" i="38"/>
  <c r="F15" i="38" s="1"/>
  <c r="G15" i="38" s="1"/>
  <c r="K14" i="38"/>
  <c r="D20" i="38"/>
  <c r="P12" i="38"/>
  <c r="H8" i="38"/>
  <c r="J15" i="38"/>
  <c r="I8" i="38"/>
  <c r="I7" i="38"/>
  <c r="I13" i="38"/>
  <c r="E21" i="38" s="1"/>
  <c r="H13" i="38"/>
  <c r="I21" i="38" s="1"/>
  <c r="K21" i="38" s="1"/>
  <c r="L21" i="38" s="1"/>
  <c r="B14" i="38"/>
  <c r="M21" i="30"/>
  <c r="N21" i="30" s="1"/>
  <c r="K21" i="30"/>
  <c r="L21" i="30"/>
  <c r="J21" i="30"/>
  <c r="I7" i="44"/>
  <c r="J7" i="44" s="1"/>
  <c r="K13" i="28"/>
  <c r="P73" i="32"/>
  <c r="Q73" i="32" s="1"/>
  <c r="O73" i="32"/>
  <c r="O74" i="32" s="1"/>
  <c r="P72" i="32"/>
  <c r="Q72" i="32" s="1"/>
  <c r="G82" i="36"/>
  <c r="G93" i="36"/>
  <c r="H75" i="36"/>
  <c r="G75" i="36"/>
  <c r="H110" i="36"/>
  <c r="G110" i="36"/>
  <c r="A130" i="36"/>
  <c r="C129" i="36"/>
  <c r="F129" i="36" s="1"/>
  <c r="C83" i="36"/>
  <c r="D83" i="36" s="1"/>
  <c r="E83" i="36" s="1"/>
  <c r="A84" i="36"/>
  <c r="F144" i="36"/>
  <c r="A66" i="36"/>
  <c r="C65" i="36"/>
  <c r="F65" i="36" s="1"/>
  <c r="F128" i="36"/>
  <c r="A121" i="36"/>
  <c r="C120" i="36"/>
  <c r="D120" i="36" s="1"/>
  <c r="E120" i="36" s="1"/>
  <c r="J20" i="36"/>
  <c r="J19" i="36"/>
  <c r="D82" i="36"/>
  <c r="E82" i="36" s="1"/>
  <c r="D146" i="36"/>
  <c r="E146" i="36" s="1"/>
  <c r="A147" i="36"/>
  <c r="C146" i="36"/>
  <c r="F146" i="36" s="1"/>
  <c r="H142" i="36"/>
  <c r="G142" i="36"/>
  <c r="G64" i="36"/>
  <c r="H64" i="36"/>
  <c r="G119" i="36"/>
  <c r="H119" i="36"/>
  <c r="F111" i="36"/>
  <c r="C111" i="36"/>
  <c r="D111" i="36" s="1"/>
  <c r="E111" i="36" s="1"/>
  <c r="A112" i="36"/>
  <c r="D94" i="36"/>
  <c r="E94" i="36" s="1"/>
  <c r="C94" i="36"/>
  <c r="F94" i="36"/>
  <c r="A95" i="36"/>
  <c r="G92" i="36"/>
  <c r="H92" i="36"/>
  <c r="C76" i="36"/>
  <c r="F76" i="36" s="1"/>
  <c r="A77" i="36"/>
  <c r="H127" i="36"/>
  <c r="F46" i="28"/>
  <c r="E47" i="28"/>
  <c r="F47" i="28" s="1"/>
  <c r="L66" i="29"/>
  <c r="K66" i="29"/>
  <c r="J67" i="29"/>
  <c r="H28" i="28"/>
  <c r="D51" i="28"/>
  <c r="D52" i="28" s="1"/>
  <c r="F52" i="28" s="1"/>
  <c r="J17" i="28"/>
  <c r="G104" i="36" l="1"/>
  <c r="F83" i="36"/>
  <c r="H93" i="36"/>
  <c r="G25" i="36"/>
  <c r="H25" i="36"/>
  <c r="F105" i="36"/>
  <c r="A106" i="36"/>
  <c r="D105" i="36"/>
  <c r="E105" i="36" s="1"/>
  <c r="C105" i="36"/>
  <c r="D65" i="36"/>
  <c r="E65" i="36" s="1"/>
  <c r="F27" i="36"/>
  <c r="D27" i="36"/>
  <c r="E27" i="36" s="1"/>
  <c r="T27" i="40"/>
  <c r="V27" i="40" s="1"/>
  <c r="L28" i="40"/>
  <c r="T28" i="40" s="1"/>
  <c r="V28" i="40" s="1"/>
  <c r="D26" i="36"/>
  <c r="E26" i="36" s="1"/>
  <c r="F26" i="36"/>
  <c r="A34" i="37"/>
  <c r="B33" i="37"/>
  <c r="P30" i="40"/>
  <c r="R22" i="40"/>
  <c r="R30" i="40" s="1"/>
  <c r="G140" i="36"/>
  <c r="H140" i="36"/>
  <c r="I74" i="32"/>
  <c r="K74" i="32" s="1"/>
  <c r="H103" i="36"/>
  <c r="G103" i="36"/>
  <c r="D104" i="36"/>
  <c r="E104" i="36" s="1"/>
  <c r="G138" i="36"/>
  <c r="H138" i="36"/>
  <c r="F120" i="36"/>
  <c r="I12" i="38"/>
  <c r="E20" i="38" s="1"/>
  <c r="H12" i="38"/>
  <c r="I20" i="38" s="1"/>
  <c r="K20" i="38" s="1"/>
  <c r="L20" i="38" s="1"/>
  <c r="J22" i="38"/>
  <c r="C14" i="38"/>
  <c r="M14" i="38" s="1"/>
  <c r="M22" i="38" s="1"/>
  <c r="E14" i="38"/>
  <c r="F14" i="38" s="1"/>
  <c r="G14" i="38" s="1"/>
  <c r="H15" i="38"/>
  <c r="I23" i="38" s="1"/>
  <c r="I15" i="38"/>
  <c r="E23" i="38" s="1"/>
  <c r="C15" i="38"/>
  <c r="M15" i="38" s="1"/>
  <c r="J23" i="38"/>
  <c r="K15" i="38"/>
  <c r="L15" i="38"/>
  <c r="D23" i="38" s="1"/>
  <c r="L14" i="38"/>
  <c r="D22" i="38" s="1"/>
  <c r="G129" i="36"/>
  <c r="G76" i="36"/>
  <c r="H146" i="36"/>
  <c r="G146" i="36"/>
  <c r="G83" i="36"/>
  <c r="H83" i="36"/>
  <c r="D76" i="36"/>
  <c r="E76" i="36" s="1"/>
  <c r="H144" i="36"/>
  <c r="G144" i="36"/>
  <c r="C130" i="36"/>
  <c r="F130" i="36" s="1"/>
  <c r="A131" i="36"/>
  <c r="H94" i="36"/>
  <c r="G94" i="36"/>
  <c r="G128" i="36"/>
  <c r="H128" i="36"/>
  <c r="C77" i="36"/>
  <c r="F77" i="36" s="1"/>
  <c r="G111" i="36"/>
  <c r="H111" i="36"/>
  <c r="C147" i="36"/>
  <c r="D147" i="36" s="1"/>
  <c r="E147" i="36" s="1"/>
  <c r="A85" i="36"/>
  <c r="C84" i="36"/>
  <c r="F84" i="36" s="1"/>
  <c r="H82" i="36"/>
  <c r="A113" i="36"/>
  <c r="C112" i="36"/>
  <c r="F112" i="36" s="1"/>
  <c r="D112" i="36"/>
  <c r="E112" i="36" s="1"/>
  <c r="H120" i="36"/>
  <c r="G120" i="36"/>
  <c r="C66" i="36"/>
  <c r="F66" i="36" s="1"/>
  <c r="D66" i="36"/>
  <c r="E66" i="36" s="1"/>
  <c r="A67" i="36"/>
  <c r="G65" i="36"/>
  <c r="H65" i="36"/>
  <c r="D129" i="36"/>
  <c r="E129" i="36" s="1"/>
  <c r="A96" i="36"/>
  <c r="F95" i="36"/>
  <c r="C95" i="36"/>
  <c r="D95" i="36" s="1"/>
  <c r="E95" i="36" s="1"/>
  <c r="A122" i="36"/>
  <c r="C121" i="36"/>
  <c r="F121" i="36" s="1"/>
  <c r="K67" i="29"/>
  <c r="L67" i="29"/>
  <c r="G26" i="36" l="1"/>
  <c r="H26" i="36"/>
  <c r="G105" i="36"/>
  <c r="H105" i="36"/>
  <c r="J74" i="32"/>
  <c r="K23" i="38"/>
  <c r="L23" i="38" s="1"/>
  <c r="G27" i="36"/>
  <c r="H27" i="36"/>
  <c r="C106" i="36"/>
  <c r="D106" i="36" s="1"/>
  <c r="E106" i="36" s="1"/>
  <c r="A107" i="36"/>
  <c r="F106" i="36"/>
  <c r="F147" i="36"/>
  <c r="H147" i="36" s="1"/>
  <c r="B34" i="37"/>
  <c r="A35" i="37"/>
  <c r="H104" i="36"/>
  <c r="I14" i="38"/>
  <c r="E22" i="38" s="1"/>
  <c r="H14" i="38"/>
  <c r="I22" i="38" s="1"/>
  <c r="K22" i="38" s="1"/>
  <c r="L22" i="38" s="1"/>
  <c r="G121" i="36"/>
  <c r="G77" i="36"/>
  <c r="H77" i="36"/>
  <c r="G84" i="36"/>
  <c r="G66" i="36"/>
  <c r="H66" i="36"/>
  <c r="G130" i="36"/>
  <c r="F85" i="36"/>
  <c r="C85" i="36"/>
  <c r="D85" i="36" s="1"/>
  <c r="E85" i="36" s="1"/>
  <c r="C96" i="36"/>
  <c r="F96" i="36" s="1"/>
  <c r="A97" i="36"/>
  <c r="D96" i="36"/>
  <c r="E96" i="36" s="1"/>
  <c r="G112" i="36"/>
  <c r="H112" i="36"/>
  <c r="D84" i="36"/>
  <c r="E84" i="36" s="1"/>
  <c r="D130" i="36"/>
  <c r="E130" i="36" s="1"/>
  <c r="H76" i="36"/>
  <c r="G95" i="36"/>
  <c r="H95" i="36"/>
  <c r="D121" i="36"/>
  <c r="E121" i="36" s="1"/>
  <c r="A123" i="36"/>
  <c r="F122" i="36"/>
  <c r="C122" i="36"/>
  <c r="D122" i="36" s="1"/>
  <c r="E122" i="36" s="1"/>
  <c r="D77" i="36"/>
  <c r="E77" i="36" s="1"/>
  <c r="H129" i="36"/>
  <c r="A68" i="36"/>
  <c r="C67" i="36"/>
  <c r="D67" i="36" s="1"/>
  <c r="E67" i="36" s="1"/>
  <c r="C113" i="36"/>
  <c r="F113" i="36" s="1"/>
  <c r="A114" i="36"/>
  <c r="G147" i="36"/>
  <c r="A132" i="36"/>
  <c r="C131" i="36"/>
  <c r="D131" i="36" s="1"/>
  <c r="E131" i="36" s="1"/>
  <c r="D113" i="36" l="1"/>
  <c r="E113" i="36" s="1"/>
  <c r="A36" i="37"/>
  <c r="B35" i="37"/>
  <c r="F131" i="36"/>
  <c r="H106" i="36"/>
  <c r="G106" i="36"/>
  <c r="F67" i="36"/>
  <c r="H67" i="36" s="1"/>
  <c r="D107" i="36"/>
  <c r="E107" i="36" s="1"/>
  <c r="C107" i="36"/>
  <c r="F107" i="36" s="1"/>
  <c r="G96" i="36"/>
  <c r="H96" i="36"/>
  <c r="G113" i="36"/>
  <c r="H113" i="36"/>
  <c r="G122" i="36"/>
  <c r="H122" i="36"/>
  <c r="C97" i="36"/>
  <c r="D97" i="36" s="1"/>
  <c r="E97" i="36" s="1"/>
  <c r="A98" i="36"/>
  <c r="A133" i="36"/>
  <c r="C132" i="36"/>
  <c r="D132" i="36" s="1"/>
  <c r="E132" i="36" s="1"/>
  <c r="H85" i="36"/>
  <c r="G85" i="36"/>
  <c r="D114" i="36"/>
  <c r="E114" i="36" s="1"/>
  <c r="A115" i="36"/>
  <c r="C114" i="36"/>
  <c r="F114" i="36"/>
  <c r="C123" i="36"/>
  <c r="F123" i="36"/>
  <c r="A124" i="36"/>
  <c r="D123" i="36"/>
  <c r="H130" i="36"/>
  <c r="H84" i="36"/>
  <c r="H121" i="36"/>
  <c r="H131" i="36"/>
  <c r="G131" i="36"/>
  <c r="A69" i="36"/>
  <c r="C68" i="36"/>
  <c r="D68" i="36" s="1"/>
  <c r="E68" i="36" s="1"/>
  <c r="F68" i="36" l="1"/>
  <c r="G68" i="36" s="1"/>
  <c r="A37" i="37"/>
  <c r="B36" i="37"/>
  <c r="G67" i="36"/>
  <c r="G107" i="36"/>
  <c r="H107" i="36"/>
  <c r="H123" i="36"/>
  <c r="G123" i="36"/>
  <c r="C133" i="36"/>
  <c r="D133" i="36" s="1"/>
  <c r="E133" i="36" s="1"/>
  <c r="F97" i="36"/>
  <c r="C69" i="36"/>
  <c r="F69" i="36" s="1"/>
  <c r="G114" i="36"/>
  <c r="H114" i="36"/>
  <c r="F132" i="36"/>
  <c r="C98" i="36"/>
  <c r="D98" i="36" s="1"/>
  <c r="E98" i="36" s="1"/>
  <c r="F98" i="36"/>
  <c r="C115" i="36"/>
  <c r="D115" i="36" s="1"/>
  <c r="E115" i="36" s="1"/>
  <c r="E123" i="36"/>
  <c r="AC123" i="36" s="1"/>
  <c r="AD123" i="36" s="1"/>
  <c r="AD125" i="36" s="1"/>
  <c r="AD126" i="36" s="1"/>
  <c r="Z123" i="36"/>
  <c r="AA123" i="36" s="1"/>
  <c r="AB123" i="36" s="1"/>
  <c r="C124" i="36"/>
  <c r="D124" i="36" s="1"/>
  <c r="E124" i="36" s="1"/>
  <c r="F115" i="36" l="1"/>
  <c r="G115" i="36" s="1"/>
  <c r="D69" i="36"/>
  <c r="E69" i="36" s="1"/>
  <c r="H68" i="36"/>
  <c r="A38" i="37"/>
  <c r="B37" i="37"/>
  <c r="F133" i="36"/>
  <c r="G133" i="36" s="1"/>
  <c r="G69" i="36"/>
  <c r="G132" i="36"/>
  <c r="H132" i="36"/>
  <c r="H97" i="36"/>
  <c r="G97" i="36"/>
  <c r="H133" i="36"/>
  <c r="F124" i="36"/>
  <c r="G98" i="36"/>
  <c r="H98" i="36"/>
  <c r="H69" i="36" l="1"/>
  <c r="H115" i="36"/>
  <c r="A39" i="37"/>
  <c r="B38" i="37"/>
  <c r="G124" i="36"/>
  <c r="H124" i="36"/>
  <c r="B39" i="37" l="1"/>
  <c r="A40" i="37"/>
  <c r="A41" i="37" l="1"/>
  <c r="B40" i="37"/>
  <c r="A42" i="37" l="1"/>
  <c r="B41" i="37"/>
  <c r="B42" i="37" l="1"/>
  <c r="A43" i="37"/>
  <c r="B43" i="37" l="1"/>
  <c r="A44" i="37"/>
  <c r="A45" i="37" l="1"/>
  <c r="B44" i="37"/>
  <c r="B45" i="37" l="1"/>
  <c r="A46" i="37"/>
  <c r="B46" i="37" l="1"/>
  <c r="A47" i="37"/>
  <c r="A48" i="37" l="1"/>
  <c r="B47" i="37"/>
  <c r="A49" i="37" l="1"/>
  <c r="B48" i="37"/>
  <c r="A50" i="37" l="1"/>
  <c r="B50" i="37" s="1"/>
  <c r="B49" i="37"/>
  <c r="A52" i="37"/>
  <c r="A51" i="37"/>
  <c r="B51" i="37" s="1"/>
  <c r="A53" i="37" l="1"/>
  <c r="B52" i="37"/>
  <c r="A54" i="37" l="1"/>
  <c r="B53" i="37"/>
  <c r="B54" i="37" l="1"/>
  <c r="A55" i="37"/>
  <c r="B55" i="37" l="1"/>
  <c r="A56" i="37"/>
  <c r="B56" i="37" l="1"/>
  <c r="A57" i="37"/>
  <c r="A58" i="37" l="1"/>
  <c r="B57" i="37"/>
  <c r="A59" i="37" l="1"/>
  <c r="B59" i="37" s="1"/>
  <c r="B58" i="37"/>
</calcChain>
</file>

<file path=xl/sharedStrings.xml><?xml version="1.0" encoding="utf-8"?>
<sst xmlns="http://schemas.openxmlformats.org/spreadsheetml/2006/main" count="8496" uniqueCount="2537">
  <si>
    <t>Wy</t>
  </si>
  <si>
    <t>DEPREM</t>
  </si>
  <si>
    <t>KAT NO</t>
  </si>
  <si>
    <t>CATI</t>
  </si>
  <si>
    <t>Hi(m)</t>
  </si>
  <si>
    <t>Wi (ton)</t>
  </si>
  <si>
    <t>Hi X Wi</t>
  </si>
  <si>
    <t>Kuvvet</t>
  </si>
  <si>
    <t>Ao</t>
  </si>
  <si>
    <t>Zemin Sınıfı</t>
  </si>
  <si>
    <t>S(T)</t>
  </si>
  <si>
    <t>Ta</t>
  </si>
  <si>
    <t>Tb</t>
  </si>
  <si>
    <t>V (ton)</t>
  </si>
  <si>
    <t>T (sn)</t>
  </si>
  <si>
    <t>Ta (sn)</t>
  </si>
  <si>
    <t>Tb (sn)</t>
  </si>
  <si>
    <t>Toplam</t>
  </si>
  <si>
    <r>
      <t>WixHi/</t>
    </r>
    <r>
      <rPr>
        <b/>
        <sz val="9"/>
        <rFont val="Symbol"/>
        <family val="1"/>
        <charset val="2"/>
      </rPr>
      <t>S</t>
    </r>
    <r>
      <rPr>
        <b/>
        <sz val="9"/>
        <rFont val="Geneva"/>
        <charset val="162"/>
      </rPr>
      <t>(WixHi)</t>
    </r>
  </si>
  <si>
    <r>
      <t>∆</t>
    </r>
    <r>
      <rPr>
        <sz val="9"/>
        <rFont val="Geneva"/>
        <charset val="162"/>
      </rPr>
      <t>Fn (ton)</t>
    </r>
  </si>
  <si>
    <t>Zemin sınıfı</t>
  </si>
  <si>
    <t>Z1</t>
  </si>
  <si>
    <t>Z2</t>
  </si>
  <si>
    <t>Z3</t>
  </si>
  <si>
    <t>Z4</t>
  </si>
  <si>
    <t xml:space="preserve">Yapı onem </t>
  </si>
  <si>
    <t>Hastane, itfaiye,istasyon,Terminal,PTT,Enerji binaları</t>
  </si>
  <si>
    <t>Okul Yurt, cezaevi,müze,askeri</t>
  </si>
  <si>
    <t>Spor, sinema,ibadet</t>
  </si>
  <si>
    <t>Konut,işteri,otel,lokanta</t>
  </si>
  <si>
    <t>Deprem Azaltma</t>
  </si>
  <si>
    <t>Gu</t>
  </si>
  <si>
    <r>
      <t>I</t>
    </r>
    <r>
      <rPr>
        <vertAlign val="subscript"/>
        <sz val="12"/>
        <rFont val="Arial"/>
        <family val="2"/>
        <charset val="162"/>
      </rPr>
      <t>yu</t>
    </r>
  </si>
  <si>
    <r>
      <t>i</t>
    </r>
    <r>
      <rPr>
        <vertAlign val="subscript"/>
        <sz val="12"/>
        <rFont val="Arial"/>
        <family val="2"/>
        <charset val="162"/>
      </rPr>
      <t>yu</t>
    </r>
  </si>
  <si>
    <t>Wuu</t>
  </si>
  <si>
    <t>Wu</t>
  </si>
  <si>
    <r>
      <t>A</t>
    </r>
    <r>
      <rPr>
        <vertAlign val="subscript"/>
        <sz val="12"/>
        <rFont val="Arial"/>
        <family val="2"/>
        <charset val="162"/>
      </rPr>
      <t>vzu</t>
    </r>
  </si>
  <si>
    <r>
      <t>I</t>
    </r>
    <r>
      <rPr>
        <vertAlign val="subscript"/>
        <sz val="12"/>
        <rFont val="Arial"/>
        <family val="2"/>
        <charset val="162"/>
      </rPr>
      <t>zu</t>
    </r>
  </si>
  <si>
    <t>Wzu</t>
  </si>
  <si>
    <t>Wzuu</t>
  </si>
  <si>
    <r>
      <t xml:space="preserve"> i</t>
    </r>
    <r>
      <rPr>
        <vertAlign val="subscript"/>
        <sz val="12"/>
        <rFont val="Arial"/>
        <family val="2"/>
        <charset val="162"/>
      </rPr>
      <t>zu</t>
    </r>
  </si>
  <si>
    <r>
      <t>s</t>
    </r>
    <r>
      <rPr>
        <vertAlign val="subscript"/>
        <sz val="12"/>
        <rFont val="Arial"/>
        <family val="2"/>
        <charset val="162"/>
      </rPr>
      <t>su</t>
    </r>
  </si>
  <si>
    <r>
      <t>I</t>
    </r>
    <r>
      <rPr>
        <vertAlign val="subscript"/>
        <sz val="12"/>
        <color indexed="8"/>
        <rFont val="Arial"/>
        <family val="2"/>
        <charset val="162"/>
      </rPr>
      <t>tu</t>
    </r>
  </si>
  <si>
    <r>
      <t>I</t>
    </r>
    <r>
      <rPr>
        <vertAlign val="subscript"/>
        <sz val="10"/>
        <color indexed="8"/>
        <rFont val="Arial"/>
        <family val="2"/>
        <charset val="162"/>
      </rPr>
      <t>w</t>
    </r>
    <r>
      <rPr>
        <sz val="8"/>
        <color indexed="8"/>
        <rFont val="Arial"/>
        <family val="2"/>
        <charset val="162"/>
      </rPr>
      <t>x10</t>
    </r>
    <r>
      <rPr>
        <vertAlign val="superscript"/>
        <sz val="10"/>
        <color indexed="8"/>
        <rFont val="Arial"/>
        <family val="2"/>
        <charset val="162"/>
      </rPr>
      <t>-u3</t>
    </r>
  </si>
  <si>
    <r>
      <t>y</t>
    </r>
    <r>
      <rPr>
        <vertAlign val="subscript"/>
        <sz val="12"/>
        <color indexed="8"/>
        <rFont val="Arial"/>
        <family val="2"/>
        <charset val="162"/>
      </rPr>
      <t>su</t>
    </r>
  </si>
  <si>
    <r>
      <t>y</t>
    </r>
    <r>
      <rPr>
        <vertAlign val="subscript"/>
        <sz val="12"/>
        <color indexed="8"/>
        <rFont val="Arial"/>
        <family val="2"/>
        <charset val="162"/>
      </rPr>
      <t>mu</t>
    </r>
  </si>
  <si>
    <t>RUZGAR YUKU</t>
  </si>
  <si>
    <t>H (m)</t>
  </si>
  <si>
    <t>DÜZGÜN YAYILI YÜK TAŞIYAN BASİT MESNETLİ EĞİLME KİRİŞLERİNİN STATİK HESABI</t>
  </si>
  <si>
    <t>Poz</t>
  </si>
  <si>
    <t>kar/rüzgar/eleman yükü</t>
  </si>
  <si>
    <t>yan elemanların uzaklığı</t>
  </si>
  <si>
    <t>yük (q)</t>
  </si>
  <si>
    <t>(L) mesnet</t>
  </si>
  <si>
    <t>f max</t>
  </si>
  <si>
    <t>f gerekli</t>
  </si>
  <si>
    <t>Ix</t>
  </si>
  <si>
    <t>No</t>
  </si>
  <si>
    <t>kg/m2</t>
  </si>
  <si>
    <t>pascal</t>
  </si>
  <si>
    <t>sag(mm)</t>
  </si>
  <si>
    <t>sol(mm)</t>
  </si>
  <si>
    <t>(kg/m)</t>
  </si>
  <si>
    <t>arası (m)</t>
  </si>
  <si>
    <t>(= L / ....)</t>
  </si>
  <si>
    <t>(cm4)</t>
  </si>
  <si>
    <t>yay. yük (q)</t>
  </si>
  <si>
    <t>Eğme. Mom.</t>
  </si>
  <si>
    <t>max. Ger.</t>
  </si>
  <si>
    <t>Wmin</t>
  </si>
  <si>
    <t>ortada(kg.m)</t>
  </si>
  <si>
    <t>(kg/cm2)</t>
  </si>
  <si>
    <t>cm3</t>
  </si>
  <si>
    <t>ORTADA NOKTASAL YÜK TAŞIYAN BASİT MESNETLİ EĞİLME KİRİŞLERİNİN STATİK HESABI</t>
  </si>
  <si>
    <t>P (yük)</t>
  </si>
  <si>
    <t>kg</t>
  </si>
  <si>
    <r>
      <t>"</t>
    </r>
    <r>
      <rPr>
        <b/>
        <u/>
        <sz val="12"/>
        <rFont val="Times New Roman"/>
        <family val="1"/>
        <charset val="162"/>
      </rPr>
      <t>maksimum sehim</t>
    </r>
    <r>
      <rPr>
        <b/>
        <sz val="12"/>
        <rFont val="Times New Roman"/>
        <family val="1"/>
        <charset val="162"/>
      </rPr>
      <t>" kriterine göre kesit hesabı</t>
    </r>
  </si>
  <si>
    <r>
      <t>"</t>
    </r>
    <r>
      <rPr>
        <b/>
        <u/>
        <sz val="12"/>
        <rFont val="Times New Roman"/>
        <family val="1"/>
        <charset val="162"/>
      </rPr>
      <t>mukavemet</t>
    </r>
    <r>
      <rPr>
        <b/>
        <sz val="12"/>
        <rFont val="Times New Roman"/>
        <family val="1"/>
        <charset val="162"/>
      </rPr>
      <t>" kriterine göre kesit hesabı</t>
    </r>
  </si>
  <si>
    <t>GL</t>
  </si>
  <si>
    <t>Tl</t>
  </si>
  <si>
    <t>AL</t>
  </si>
  <si>
    <t>zL=Yl</t>
  </si>
  <si>
    <t>vl</t>
  </si>
  <si>
    <r>
      <t>u</t>
    </r>
    <r>
      <rPr>
        <vertAlign val="subscript"/>
        <sz val="8"/>
        <color indexed="8"/>
        <rFont val="Arial"/>
        <family val="2"/>
        <charset val="162"/>
      </rPr>
      <t>1l</t>
    </r>
  </si>
  <si>
    <r>
      <t>u</t>
    </r>
    <r>
      <rPr>
        <vertAlign val="subscript"/>
        <sz val="8"/>
        <color indexed="8"/>
        <rFont val="Arial"/>
        <family val="2"/>
        <charset val="162"/>
      </rPr>
      <t>2l</t>
    </r>
  </si>
  <si>
    <t>All</t>
  </si>
  <si>
    <t>Agl</t>
  </si>
  <si>
    <t>WyzL</t>
  </si>
  <si>
    <t>iyzL</t>
  </si>
  <si>
    <r>
      <t>I</t>
    </r>
    <r>
      <rPr>
        <vertAlign val="subscript"/>
        <sz val="8"/>
        <color indexed="8"/>
        <rFont val="Arial"/>
        <family val="2"/>
        <charset val="162"/>
      </rPr>
      <t>uL</t>
    </r>
  </si>
  <si>
    <r>
      <t>i</t>
    </r>
    <r>
      <rPr>
        <vertAlign val="subscript"/>
        <sz val="8"/>
        <color indexed="8"/>
        <rFont val="Arial"/>
        <family val="2"/>
        <charset val="162"/>
      </rPr>
      <t>uL</t>
    </r>
  </si>
  <si>
    <r>
      <t>I</t>
    </r>
    <r>
      <rPr>
        <vertAlign val="subscript"/>
        <sz val="8"/>
        <color indexed="8"/>
        <rFont val="Arial"/>
        <family val="2"/>
        <charset val="162"/>
      </rPr>
      <t>vL</t>
    </r>
  </si>
  <si>
    <r>
      <t>i</t>
    </r>
    <r>
      <rPr>
        <vertAlign val="subscript"/>
        <sz val="8"/>
        <color indexed="8"/>
        <rFont val="Arial"/>
        <family val="2"/>
        <charset val="162"/>
      </rPr>
      <t>vl</t>
    </r>
  </si>
  <si>
    <r>
      <t xml:space="preserve"> I</t>
    </r>
    <r>
      <rPr>
        <vertAlign val="subscript"/>
        <sz val="8"/>
        <color indexed="8"/>
        <rFont val="Arial"/>
        <family val="2"/>
        <charset val="162"/>
      </rPr>
      <t>yzl</t>
    </r>
  </si>
  <si>
    <t>L</t>
  </si>
  <si>
    <t>IIyzL</t>
  </si>
  <si>
    <r>
      <t>r</t>
    </r>
    <r>
      <rPr>
        <vertAlign val="subscript"/>
        <sz val="8"/>
        <color indexed="8"/>
        <rFont val="Arial"/>
        <family val="2"/>
        <charset val="162"/>
      </rPr>
      <t>1ll</t>
    </r>
  </si>
  <si>
    <r>
      <t>r</t>
    </r>
    <r>
      <rPr>
        <vertAlign val="subscript"/>
        <sz val="8"/>
        <color indexed="8"/>
        <rFont val="Arial"/>
        <family val="2"/>
        <charset val="162"/>
      </rPr>
      <t>2ll</t>
    </r>
  </si>
  <si>
    <t>W (cm3)</t>
  </si>
  <si>
    <t>Ix (cm4)</t>
  </si>
  <si>
    <t>"maksimum sehim"  kriterine göre kesit hesabı</t>
  </si>
  <si>
    <t>Aluminyum</t>
  </si>
  <si>
    <t>Çelik</t>
  </si>
  <si>
    <t>E= (kg/cm2)</t>
  </si>
  <si>
    <t>KUTU PROFİL</t>
  </si>
  <si>
    <t>ix</t>
  </si>
  <si>
    <t>Iy</t>
  </si>
  <si>
    <t>iy</t>
  </si>
  <si>
    <t>tg</t>
  </si>
  <si>
    <t>tf</t>
  </si>
  <si>
    <t>cm2</t>
  </si>
  <si>
    <t>cm4</t>
  </si>
  <si>
    <t>Eğme. Mom. (kg.m)</t>
  </si>
  <si>
    <t>Wmin (cm3)</t>
  </si>
  <si>
    <t>kesme</t>
  </si>
  <si>
    <t>A min</t>
  </si>
  <si>
    <t>mesnette</t>
  </si>
  <si>
    <t>açıkta</t>
  </si>
  <si>
    <t>açıklıkta</t>
  </si>
  <si>
    <t>S (kg)</t>
  </si>
  <si>
    <t>m</t>
  </si>
  <si>
    <t>DÜZGÜN YAYILI YÜK TAŞIYAN ANKASTRE MESNETLİ EĞİLME KİRİŞLERİNİN STATİK HESABI</t>
  </si>
  <si>
    <t>ALÜ(kg/cm2):</t>
  </si>
  <si>
    <t>ÇEL(kg/cm2):</t>
  </si>
  <si>
    <t>Wmesn</t>
  </si>
  <si>
    <t>Waçıkl</t>
  </si>
  <si>
    <t>ortada</t>
  </si>
  <si>
    <r>
      <t>"</t>
    </r>
    <r>
      <rPr>
        <b/>
        <u/>
        <sz val="12"/>
        <rFont val="Times New Roman Tur"/>
        <family val="1"/>
        <charset val="162"/>
      </rPr>
      <t>maksimum sehim</t>
    </r>
    <r>
      <rPr>
        <b/>
        <sz val="12"/>
        <rFont val="Times New Roman Tur"/>
        <family val="1"/>
        <charset val="162"/>
      </rPr>
      <t>" kriterine göre kesit hesabı</t>
    </r>
  </si>
  <si>
    <r>
      <t>"</t>
    </r>
    <r>
      <rPr>
        <b/>
        <u/>
        <sz val="12"/>
        <rFont val="Times New Roman Tur"/>
        <family val="1"/>
        <charset val="162"/>
      </rPr>
      <t>mukavemet</t>
    </r>
    <r>
      <rPr>
        <b/>
        <sz val="12"/>
        <rFont val="Times New Roman Tur"/>
        <family val="1"/>
        <charset val="162"/>
      </rPr>
      <t>" kriterine göre kesit hesabı</t>
    </r>
  </si>
  <si>
    <t>DÜZGÜN YAYILI YÜK TAŞIYAN VE BİR MESNEDİ BASİT, DİĞER MESNEDİ ANKASTRE KİRİŞLERİNİN STATİK HESABI</t>
  </si>
  <si>
    <t xml:space="preserve">      Wmin  (cm3)</t>
  </si>
  <si>
    <t>YAPMA-T   PROFİL</t>
  </si>
  <si>
    <t>EBAT (mm)</t>
  </si>
  <si>
    <t>e (alttan)</t>
  </si>
  <si>
    <t>e (üstten)</t>
  </si>
  <si>
    <t>YAPMA-I   PROFİL</t>
  </si>
  <si>
    <t>mlz. yoğ.</t>
  </si>
  <si>
    <t>ton/m3</t>
  </si>
  <si>
    <t>FULL RECTANGULAR BAR (FLAT LAMEL)</t>
  </si>
  <si>
    <t>PIPE</t>
  </si>
  <si>
    <t>Dd</t>
  </si>
  <si>
    <t>ROUND BAR</t>
  </si>
  <si>
    <t>D</t>
  </si>
  <si>
    <t>lambda</t>
  </si>
  <si>
    <t>ÜST ÜSTE İKİ KUTU PROFİLDEN MAMUL ELEMAN</t>
  </si>
  <si>
    <t>ex</t>
  </si>
  <si>
    <t>Ixe</t>
  </si>
  <si>
    <t>Pos</t>
  </si>
  <si>
    <t>Comp</t>
  </si>
  <si>
    <t xml:space="preserve">BÜKME </t>
  </si>
  <si>
    <t>PROFIL</t>
  </si>
  <si>
    <t>Riç</t>
  </si>
  <si>
    <t>Gövdeden</t>
  </si>
  <si>
    <t>C</t>
  </si>
  <si>
    <t>L free</t>
  </si>
  <si>
    <t>omega</t>
  </si>
  <si>
    <t>tablodan</t>
  </si>
  <si>
    <t>derece</t>
  </si>
  <si>
    <t>tan</t>
  </si>
  <si>
    <r>
      <t>ex</t>
    </r>
    <r>
      <rPr>
        <b/>
        <sz val="10"/>
        <rFont val="Arial"/>
        <family val="2"/>
        <charset val="162"/>
      </rPr>
      <t xml:space="preserve"> (cm)</t>
    </r>
  </si>
  <si>
    <r>
      <t>e</t>
    </r>
    <r>
      <rPr>
        <b/>
        <sz val="8"/>
        <rFont val="Arial"/>
        <family val="2"/>
        <charset val="162"/>
      </rPr>
      <t>y</t>
    </r>
    <r>
      <rPr>
        <b/>
        <sz val="10"/>
        <rFont val="Arial"/>
        <family val="2"/>
        <charset val="162"/>
      </rPr>
      <t xml:space="preserve"> (cm)</t>
    </r>
  </si>
  <si>
    <t>BINA YUKSEKLIGINA GORE RUZGAR YUKU</t>
  </si>
  <si>
    <t>v (m/sn)</t>
  </si>
  <si>
    <t>v (km/hr)</t>
  </si>
  <si>
    <t>q (kN/m2)</t>
  </si>
  <si>
    <t>q (kg/m2)</t>
  </si>
  <si>
    <t>mph</t>
  </si>
  <si>
    <t>over</t>
  </si>
  <si>
    <t>qr=</t>
  </si>
  <si>
    <t>( nominal)</t>
  </si>
  <si>
    <t>C1=</t>
  </si>
  <si>
    <t>Basınç yüzeyi katsayısı</t>
  </si>
  <si>
    <t>C2=</t>
  </si>
  <si>
    <t>Tekil eleman katsayısı</t>
  </si>
  <si>
    <t>C3=</t>
  </si>
  <si>
    <t>Normal Bina katsayısı</t>
  </si>
  <si>
    <t>(C3=Tower tipi bina için)</t>
  </si>
  <si>
    <t>q=</t>
  </si>
  <si>
    <t>applied</t>
  </si>
  <si>
    <r>
      <t>H</t>
    </r>
    <r>
      <rPr>
        <vertAlign val="subscript"/>
        <sz val="10"/>
        <rFont val="Arial"/>
        <family val="2"/>
        <charset val="162"/>
      </rPr>
      <t>0</t>
    </r>
    <r>
      <rPr>
        <sz val="10"/>
        <rFont val="Arial"/>
        <family val="2"/>
        <charset val="162"/>
      </rPr>
      <t xml:space="preserve"> (m)</t>
    </r>
  </si>
  <si>
    <r>
      <t>H</t>
    </r>
    <r>
      <rPr>
        <vertAlign val="subscript"/>
        <sz val="10"/>
        <rFont val="Arial"/>
        <family val="2"/>
        <charset val="162"/>
      </rPr>
      <t>1</t>
    </r>
    <r>
      <rPr>
        <sz val="10"/>
        <rFont val="Arial"/>
        <family val="2"/>
        <charset val="162"/>
      </rPr>
      <t xml:space="preserve"> (m)</t>
    </r>
  </si>
  <si>
    <t>KONSOL KİRİŞLER</t>
  </si>
  <si>
    <t>1- UÇTA NOKTASAL YUK (uç serbest)</t>
  </si>
  <si>
    <t>P</t>
  </si>
  <si>
    <t>M</t>
  </si>
  <si>
    <t>max. gerilme</t>
  </si>
  <si>
    <t>w min</t>
  </si>
  <si>
    <t>fmax (cm)</t>
  </si>
  <si>
    <t>f (cm)</t>
  </si>
  <si>
    <t>I min</t>
  </si>
  <si>
    <t>H min</t>
  </si>
  <si>
    <t>4X M</t>
  </si>
  <si>
    <t>L/....</t>
  </si>
  <si>
    <t>(L/300)</t>
  </si>
  <si>
    <t>gereken</t>
  </si>
  <si>
    <t>d mm</t>
  </si>
  <si>
    <t>A mm2</t>
  </si>
  <si>
    <t>2- UÇTA NOKTASAL YUK (uçta ankastre kayıcı)</t>
  </si>
  <si>
    <t>q</t>
  </si>
  <si>
    <t>eğmeden</t>
  </si>
  <si>
    <t>ölü ağırlık</t>
  </si>
  <si>
    <t>Ls (cm)</t>
  </si>
  <si>
    <t>2F (ton)</t>
  </si>
  <si>
    <t>Fd (ton)</t>
  </si>
  <si>
    <t>F ton</t>
  </si>
  <si>
    <t>i (cm)</t>
  </si>
  <si>
    <t>w</t>
  </si>
  <si>
    <t>gergi aralıgı…m</t>
  </si>
  <si>
    <t>P max</t>
  </si>
  <si>
    <t>H max</t>
  </si>
  <si>
    <t>Hmax</t>
  </si>
  <si>
    <t>Pmax</t>
  </si>
  <si>
    <t xml:space="preserve">Burasi sifir olmali eger U profiller secilmisse </t>
  </si>
  <si>
    <t>Baska profil bilgileri buraya girilirse onlar hesapta kullanilir</t>
  </si>
  <si>
    <t>Gergi Sayisi</t>
  </si>
  <si>
    <t>St 37 w burkulma katsayısı</t>
  </si>
  <si>
    <t>L serbest</t>
  </si>
  <si>
    <t>i zayıf</t>
  </si>
  <si>
    <t xml:space="preserve">l </t>
  </si>
  <si>
    <t>omega w =</t>
  </si>
  <si>
    <t>St 52 w burkulma katsayısı</t>
  </si>
  <si>
    <t>TS 648</t>
  </si>
  <si>
    <r>
      <t xml:space="preserve">l </t>
    </r>
    <r>
      <rPr>
        <b/>
        <sz val="14"/>
        <color indexed="12"/>
        <rFont val="Arial"/>
        <family val="2"/>
        <charset val="162"/>
      </rPr>
      <t>değerini giriniz:</t>
    </r>
  </si>
  <si>
    <t>BORU STATIK DEĞERLERİ</t>
  </si>
  <si>
    <t>flambaj</t>
  </si>
  <si>
    <t>ST 37-2 (1.400 kg/cm2)</t>
  </si>
  <si>
    <t>ST 52-3 (2.100 kg/cm2)</t>
  </si>
  <si>
    <t>malzeme bedeli</t>
  </si>
  <si>
    <t>D1(mm)</t>
  </si>
  <si>
    <t>t (mm)</t>
  </si>
  <si>
    <t>D2 (mm)</t>
  </si>
  <si>
    <t>L (mm)</t>
  </si>
  <si>
    <t>Lamda</t>
  </si>
  <si>
    <t>Çekme (ton)</t>
  </si>
  <si>
    <t>Basınç (ton)</t>
  </si>
  <si>
    <t>stress (kg/cm2)</t>
  </si>
  <si>
    <t>ton</t>
  </si>
  <si>
    <t>$/ton</t>
  </si>
  <si>
    <t>$</t>
  </si>
  <si>
    <t>adet</t>
  </si>
  <si>
    <t>t.m</t>
  </si>
  <si>
    <t>Adet</t>
  </si>
  <si>
    <r>
      <t>I</t>
    </r>
    <r>
      <rPr>
        <b/>
        <sz val="10"/>
        <rFont val="Arial"/>
        <family val="2"/>
        <charset val="162"/>
      </rPr>
      <t xml:space="preserve"> (cm4)</t>
    </r>
  </si>
  <si>
    <t>DUZGÜN YAYILI YÜK TAŞIYAN Pİ MESNETLİ KİRİŞ (pin joint supported)</t>
  </si>
  <si>
    <t xml:space="preserve">              l</t>
  </si>
  <si>
    <t>Mmesnet</t>
  </si>
  <si>
    <t>Maçıklık</t>
  </si>
  <si>
    <t>Mmax</t>
  </si>
  <si>
    <t>sigma max</t>
  </si>
  <si>
    <t>f uç</t>
  </si>
  <si>
    <t>f orta</t>
  </si>
  <si>
    <t>L/300</t>
  </si>
  <si>
    <t>DUZGÜN YAYILI YÜK TAŞIYAN Pİ MESNETLİ KİRİŞ (fixed joint supported)</t>
  </si>
  <si>
    <t>St-37 kalitede kompozit (boru + saç T ) kesit tahkiki</t>
  </si>
  <si>
    <t>poz</t>
  </si>
  <si>
    <t>alt boru</t>
  </si>
  <si>
    <t>gövde saci</t>
  </si>
  <si>
    <t>üst flans saci</t>
  </si>
  <si>
    <t>no</t>
  </si>
  <si>
    <t>D(mm)</t>
  </si>
  <si>
    <t>t(mm)</t>
  </si>
  <si>
    <t>A(cm2)</t>
  </si>
  <si>
    <t>G(kg/m)</t>
  </si>
  <si>
    <t>W(cm3)</t>
  </si>
  <si>
    <t>i(cm)</t>
  </si>
  <si>
    <t>w (mm)</t>
  </si>
  <si>
    <t>üst ana çapraz</t>
  </si>
  <si>
    <t>alt ana çapraz</t>
  </si>
  <si>
    <t>tali çapraz</t>
  </si>
  <si>
    <t>tali çapraz dip</t>
  </si>
  <si>
    <t xml:space="preserve">kompozit eleman için </t>
  </si>
  <si>
    <t>h (cm)</t>
  </si>
  <si>
    <t>ha (cm)</t>
  </si>
  <si>
    <t>hü (cm)</t>
  </si>
  <si>
    <t>Wx(cm)</t>
  </si>
  <si>
    <t>Wy(cm)</t>
  </si>
  <si>
    <t>boya (m2/t)</t>
  </si>
  <si>
    <t>yangın boyası hesabı</t>
  </si>
  <si>
    <t>Serbest Boy (cm)</t>
  </si>
  <si>
    <t>yükler</t>
  </si>
  <si>
    <t>gerilmeler (kg/cm2)</t>
  </si>
  <si>
    <t>strength</t>
  </si>
  <si>
    <t>Hp/A</t>
  </si>
  <si>
    <t>100 MJ/m2</t>
  </si>
  <si>
    <t>Ly</t>
  </si>
  <si>
    <t>Lx</t>
  </si>
  <si>
    <t>y</t>
  </si>
  <si>
    <t>M (t.m)</t>
  </si>
  <si>
    <t>N (t)</t>
  </si>
  <si>
    <t>egilme</t>
  </si>
  <si>
    <t>basinç</t>
  </si>
  <si>
    <t>toplam</t>
  </si>
  <si>
    <t>utility fac</t>
  </si>
  <si>
    <t>(1/m)</t>
  </si>
  <si>
    <t>için gr/m2</t>
  </si>
  <si>
    <t>St-33 kalitede kompozit (boru + saç + kutu ) kesit tahkiki</t>
  </si>
  <si>
    <t>üst kutu profil</t>
  </si>
  <si>
    <t>h (mm)</t>
  </si>
  <si>
    <t>b(mm)</t>
  </si>
  <si>
    <t>tg(mm)</t>
  </si>
  <si>
    <t>tf(mm)</t>
  </si>
  <si>
    <t>Wx(cm3)</t>
  </si>
  <si>
    <t>Wy(cm3)</t>
  </si>
  <si>
    <t>St-33 kalitede kompozit (boru + kutu ) kesit tahkiki</t>
  </si>
  <si>
    <t>54+4x190+50</t>
  </si>
  <si>
    <r>
      <t>I</t>
    </r>
    <r>
      <rPr>
        <b/>
        <sz val="10"/>
        <rFont val="Arial"/>
        <family val="2"/>
      </rPr>
      <t>(cm4)</t>
    </r>
  </si>
  <si>
    <r>
      <t>Ix</t>
    </r>
    <r>
      <rPr>
        <b/>
        <sz val="10"/>
        <rFont val="Arial"/>
        <family val="2"/>
      </rPr>
      <t>(cm4)</t>
    </r>
  </si>
  <si>
    <r>
      <t>Iy</t>
    </r>
    <r>
      <rPr>
        <b/>
        <sz val="10"/>
        <rFont val="Arial"/>
        <family val="2"/>
      </rPr>
      <t>(cm4)</t>
    </r>
  </si>
  <si>
    <t>AÇI</t>
  </si>
  <si>
    <t>SİN</t>
  </si>
  <si>
    <t>COS</t>
  </si>
  <si>
    <t>TAN</t>
  </si>
  <si>
    <t>hipotenüs</t>
  </si>
  <si>
    <t>komşu kenar</t>
  </si>
  <si>
    <t>karşı kenar</t>
  </si>
  <si>
    <t>H/L</t>
  </si>
  <si>
    <t>Yay</t>
  </si>
  <si>
    <t xml:space="preserve">YANAĞIN YATAYLA AÇISI </t>
  </si>
  <si>
    <t xml:space="preserve">  YATAY PLANDA YANAKLAR </t>
  </si>
  <si>
    <t>210/6</t>
  </si>
  <si>
    <t>N</t>
  </si>
  <si>
    <t xml:space="preserve">            GAMA</t>
  </si>
  <si>
    <t>C KATSAYISI</t>
  </si>
  <si>
    <t xml:space="preserve"> ARASI AÇININ YARISI   (BETA)</t>
  </si>
  <si>
    <t>SIN BETA</t>
  </si>
  <si>
    <t>SIN BETA/C KATSAYISI</t>
  </si>
  <si>
    <t>gen</t>
  </si>
  <si>
    <t>radyan</t>
  </si>
  <si>
    <t>SIN(ATAN(1/COSG))</t>
  </si>
  <si>
    <t>DÜZGÜN YAYILI RÜZGAR YÜKÜ VE CEPHE AĞIRLIĞI TAŞIYAN</t>
  </si>
  <si>
    <t>BASİT MESNETLİ YATAY CEPHE MAKASI</t>
  </si>
  <si>
    <t>seçilen  profillerin statik değerleri</t>
  </si>
  <si>
    <t>Makastaki</t>
  </si>
  <si>
    <t>kutu profil ebadı (mm)</t>
  </si>
  <si>
    <t>Qy</t>
  </si>
  <si>
    <t>Yeri</t>
  </si>
  <si>
    <t>td</t>
  </si>
  <si>
    <t>ty</t>
  </si>
  <si>
    <t>dış başlık</t>
  </si>
  <si>
    <t>iç başlık</t>
  </si>
  <si>
    <t>Qx</t>
  </si>
  <si>
    <t>ilk çapraz</t>
  </si>
  <si>
    <t>dikme</t>
  </si>
  <si>
    <t>delta l</t>
  </si>
  <si>
    <t>delta h</t>
  </si>
  <si>
    <t>STUDY 1: RÜZGARIN BASINÇ TESİRİ</t>
  </si>
  <si>
    <t xml:space="preserve">         yükler</t>
  </si>
  <si>
    <t>makaslar</t>
  </si>
  <si>
    <t xml:space="preserve">     makastaki</t>
  </si>
  <si>
    <t>mesnet</t>
  </si>
  <si>
    <t>makas</t>
  </si>
  <si>
    <t>düşeyler</t>
  </si>
  <si>
    <t>elemandaki</t>
  </si>
  <si>
    <t>serbest boy</t>
  </si>
  <si>
    <t>flambaj kats.</t>
  </si>
  <si>
    <t>bileşik</t>
  </si>
  <si>
    <t>rüzgar</t>
  </si>
  <si>
    <t>cephe</t>
  </si>
  <si>
    <t>arası mesafe</t>
  </si>
  <si>
    <t>yayılı yük (kg/m)</t>
  </si>
  <si>
    <t>arası</t>
  </si>
  <si>
    <t>yatay eğilme</t>
  </si>
  <si>
    <t>yüksekliği</t>
  </si>
  <si>
    <t>n.kuvvet</t>
  </si>
  <si>
    <t>eğilme (kg.m)</t>
  </si>
  <si>
    <t>lx</t>
  </si>
  <si>
    <t>ly</t>
  </si>
  <si>
    <t>maks.</t>
  </si>
  <si>
    <t>gerilme (kg/cm2)</t>
  </si>
  <si>
    <t>B1(m)</t>
  </si>
  <si>
    <t>B2(m)</t>
  </si>
  <si>
    <t>(m)</t>
  </si>
  <si>
    <t>M(kg.m)</t>
  </si>
  <si>
    <t>N (kg)</t>
  </si>
  <si>
    <t>(tablodan)</t>
  </si>
  <si>
    <t>normal</t>
  </si>
  <si>
    <t>eğilme</t>
  </si>
  <si>
    <t>basınç</t>
  </si>
  <si>
    <t>çekme</t>
  </si>
  <si>
    <t>STUDY 2: RÜZGARIN EMME TESİRİ</t>
  </si>
  <si>
    <t>dış başlıkta</t>
  </si>
  <si>
    <t>CIVATA SEÇİMİ</t>
  </si>
  <si>
    <t>Civataya gelen Çekme Kuvveti (kg)</t>
  </si>
  <si>
    <t>Civataya gelen Kesme Kuvveti (kg)</t>
  </si>
  <si>
    <t>Seçilen Cıvata Çapı</t>
  </si>
  <si>
    <t>Seçilen Cıvata Kalitesi</t>
  </si>
  <si>
    <t>Seçilen Cıvatanın Kullanılacağı Ülke</t>
  </si>
  <si>
    <t>Seçilen Cıvatanın</t>
  </si>
  <si>
    <t>Maksimum Çekme Kapasitesi (kg)</t>
  </si>
  <si>
    <t>Maksimum Kesme Kapasitesi (kg)</t>
  </si>
  <si>
    <t>Ülke Emniyet Katsayısı</t>
  </si>
  <si>
    <t>Kapasite Kullanım Kontrolu</t>
  </si>
  <si>
    <t>Çekme</t>
  </si>
  <si>
    <t xml:space="preserve">Kesme </t>
  </si>
  <si>
    <t>Çekme ve Kesme Birlikte</t>
  </si>
  <si>
    <t>BOLT RESISTANCES  (EUROCODE-3)</t>
  </si>
  <si>
    <t>Bolt Grade</t>
  </si>
  <si>
    <t>4.6</t>
  </si>
  <si>
    <t>4.8</t>
  </si>
  <si>
    <t>5.6</t>
  </si>
  <si>
    <t>5.8</t>
  </si>
  <si>
    <t>6.8</t>
  </si>
  <si>
    <t>8.8</t>
  </si>
  <si>
    <t>10.9</t>
  </si>
  <si>
    <t>Grade</t>
  </si>
  <si>
    <t>Shear</t>
  </si>
  <si>
    <t>Tensile</t>
  </si>
  <si>
    <t>U.T.S</t>
  </si>
  <si>
    <t>N/mm2</t>
  </si>
  <si>
    <t>Y.S</t>
  </si>
  <si>
    <t>Tensile Resistance Factor</t>
  </si>
  <si>
    <t>Shear Resistance Factor ( 4.6 , 5.6 , 8.8 )</t>
  </si>
  <si>
    <t>Shear Resistance Factor ( 4.8 , 5.8 , 6.8 , 10.9 )</t>
  </si>
  <si>
    <t>Nominal Diameter</t>
  </si>
  <si>
    <t>Stress Area</t>
  </si>
  <si>
    <t>Country</t>
  </si>
  <si>
    <t>Factor</t>
  </si>
  <si>
    <t>Eurocode 3</t>
  </si>
  <si>
    <t>mm2</t>
  </si>
  <si>
    <t>Austria</t>
  </si>
  <si>
    <t>Belgium</t>
  </si>
  <si>
    <t>Czech Rep.</t>
  </si>
  <si>
    <t>Germany</t>
  </si>
  <si>
    <t>Denmark</t>
  </si>
  <si>
    <t>Irland</t>
  </si>
  <si>
    <t>Greece</t>
  </si>
  <si>
    <t>Italy</t>
  </si>
  <si>
    <t>Luxembourg</t>
  </si>
  <si>
    <t>Norway</t>
  </si>
  <si>
    <t>Holland</t>
  </si>
  <si>
    <t>Portugal</t>
  </si>
  <si>
    <t>Sweden</t>
  </si>
  <si>
    <t>Turkey</t>
  </si>
  <si>
    <t>U.K</t>
  </si>
  <si>
    <t>ton/member</t>
  </si>
  <si>
    <t>ton/upp cord</t>
  </si>
  <si>
    <t>kg/m truss</t>
  </si>
  <si>
    <t>DIN 7990 - Cıvata</t>
  </si>
  <si>
    <t>DIN 6914 - Cıvata</t>
  </si>
  <si>
    <t>Boy (mm)</t>
  </si>
  <si>
    <t>M30</t>
  </si>
  <si>
    <t>Boy</t>
  </si>
  <si>
    <t>M36</t>
  </si>
  <si>
    <t>DIN 555 - Somun</t>
  </si>
  <si>
    <t>DIN 6915 - Somun</t>
  </si>
  <si>
    <t>Çap</t>
  </si>
  <si>
    <t>Ağırlık (Gr.)</t>
  </si>
  <si>
    <t>DIN 7989 - Düz Rondela</t>
  </si>
  <si>
    <t>DIN 6916 - Düz Rondela</t>
  </si>
  <si>
    <r>
      <t xml:space="preserve">f </t>
    </r>
    <r>
      <rPr>
        <b/>
        <sz val="11"/>
        <rFont val="Arial"/>
        <family val="2"/>
        <charset val="162"/>
      </rPr>
      <t>14</t>
    </r>
  </si>
  <si>
    <r>
      <t xml:space="preserve">f </t>
    </r>
    <r>
      <rPr>
        <b/>
        <sz val="11"/>
        <rFont val="Arial"/>
        <family val="2"/>
        <charset val="162"/>
      </rPr>
      <t>18</t>
    </r>
  </si>
  <si>
    <r>
      <t>f</t>
    </r>
    <r>
      <rPr>
        <b/>
        <sz val="11"/>
        <rFont val="Arial"/>
        <family val="2"/>
        <charset val="162"/>
      </rPr>
      <t xml:space="preserve"> 22</t>
    </r>
  </si>
  <si>
    <r>
      <t>f</t>
    </r>
    <r>
      <rPr>
        <b/>
        <sz val="11"/>
        <rFont val="Arial"/>
        <family val="2"/>
        <charset val="162"/>
      </rPr>
      <t xml:space="preserve"> 24</t>
    </r>
  </si>
  <si>
    <r>
      <t>f</t>
    </r>
    <r>
      <rPr>
        <b/>
        <sz val="11"/>
        <rFont val="Arial"/>
        <family val="2"/>
        <charset val="162"/>
      </rPr>
      <t xml:space="preserve"> 26</t>
    </r>
  </si>
  <si>
    <r>
      <t xml:space="preserve"> </t>
    </r>
    <r>
      <rPr>
        <b/>
        <sz val="11"/>
        <rFont val="Symbol"/>
        <family val="1"/>
        <charset val="2"/>
      </rPr>
      <t>f</t>
    </r>
    <r>
      <rPr>
        <b/>
        <sz val="11"/>
        <rFont val="Arial"/>
        <family val="2"/>
        <charset val="162"/>
      </rPr>
      <t xml:space="preserve"> 30</t>
    </r>
  </si>
  <si>
    <r>
      <t>f</t>
    </r>
    <r>
      <rPr>
        <b/>
        <sz val="11"/>
        <rFont val="Arial"/>
        <family val="2"/>
        <charset val="162"/>
      </rPr>
      <t xml:space="preserve"> 33</t>
    </r>
  </si>
  <si>
    <t>2- DÜZGÜN YAYILI YÜK</t>
  </si>
  <si>
    <t>t/cm2</t>
  </si>
  <si>
    <t>MM CAM</t>
  </si>
  <si>
    <t>cam</t>
  </si>
  <si>
    <t>çelik</t>
  </si>
  <si>
    <t>m2</t>
  </si>
  <si>
    <t>kg/mesnet</t>
  </si>
  <si>
    <t>kg çelik</t>
  </si>
  <si>
    <t>kg toplam</t>
  </si>
  <si>
    <t>kg cam</t>
  </si>
  <si>
    <t>ORTADA NOKTASAL YÜK TAŞIYAN ANKASTRE MESNETLİ EĞİLME KİRİŞLERİNİN STATİK HESABI</t>
  </si>
  <si>
    <t>yük (P)</t>
  </si>
  <si>
    <t>(kg)</t>
  </si>
  <si>
    <t>sigma</t>
  </si>
  <si>
    <t>Tensile (kg)</t>
  </si>
  <si>
    <t>Shear (kg)</t>
  </si>
  <si>
    <t>MESNETTEN C MESAFESINDE IKI EŞİT NOKTASAL YÜK TAŞIYAN BASİT KİRİŞ</t>
  </si>
  <si>
    <t>c</t>
  </si>
  <si>
    <t>ortada(kg.cm)</t>
  </si>
  <si>
    <t>t/m</t>
  </si>
  <si>
    <t>t/m3</t>
  </si>
  <si>
    <t>m3</t>
  </si>
  <si>
    <r>
      <t xml:space="preserve">I </t>
    </r>
    <r>
      <rPr>
        <b/>
        <sz val="10"/>
        <rFont val="Arial"/>
        <family val="2"/>
      </rPr>
      <t>(cm4)</t>
    </r>
  </si>
  <si>
    <t>m2/m</t>
  </si>
  <si>
    <t>İKİZKENAR ÜÇGEN PROFIL</t>
  </si>
  <si>
    <t>t B</t>
  </si>
  <si>
    <t>t A</t>
  </si>
  <si>
    <t>H (yüks)</t>
  </si>
  <si>
    <t>A (taban)</t>
  </si>
  <si>
    <t>B (eğik kenar)</t>
  </si>
  <si>
    <t>tabandan</t>
  </si>
  <si>
    <t>tepeden</t>
  </si>
  <si>
    <t>max.</t>
  </si>
  <si>
    <t>ex (mm)</t>
  </si>
  <si>
    <r>
      <t>ex1</t>
    </r>
    <r>
      <rPr>
        <b/>
        <sz val="10"/>
        <rFont val="Arial"/>
        <family val="2"/>
        <charset val="162"/>
      </rPr>
      <t xml:space="preserve"> (mm)</t>
    </r>
  </si>
  <si>
    <r>
      <t>ex2</t>
    </r>
    <r>
      <rPr>
        <b/>
        <sz val="10"/>
        <rFont val="Arial"/>
        <family val="2"/>
        <charset val="162"/>
      </rPr>
      <t xml:space="preserve"> (mm)</t>
    </r>
  </si>
  <si>
    <t>Profil Tipleri</t>
  </si>
  <si>
    <t>Yükseklik</t>
  </si>
  <si>
    <t>Derinlik</t>
  </si>
  <si>
    <t>Kalınlık</t>
  </si>
  <si>
    <t>Kenar</t>
  </si>
  <si>
    <t>Ağırlık</t>
  </si>
  <si>
    <t>Alan</t>
  </si>
  <si>
    <t>İxx</t>
  </si>
  <si>
    <t>Zxx</t>
  </si>
  <si>
    <t>İyy</t>
  </si>
  <si>
    <t>Zyy</t>
  </si>
  <si>
    <t>Rxx</t>
  </si>
  <si>
    <t>Ryy</t>
  </si>
  <si>
    <t>D mm</t>
  </si>
  <si>
    <t>B mm</t>
  </si>
  <si>
    <t>A mm</t>
  </si>
  <si>
    <t>t mm</t>
  </si>
  <si>
    <t>L mm</t>
  </si>
  <si>
    <t>O4005</t>
  </si>
  <si>
    <t>O4007</t>
  </si>
  <si>
    <t>O4010</t>
  </si>
  <si>
    <t>O4012</t>
  </si>
  <si>
    <t>O5007</t>
  </si>
  <si>
    <t>O5010</t>
  </si>
  <si>
    <t>O5012</t>
  </si>
  <si>
    <t>O5015</t>
  </si>
  <si>
    <t>O6007</t>
  </si>
  <si>
    <t>O6010</t>
  </si>
  <si>
    <t>O6012</t>
  </si>
  <si>
    <t>O6015</t>
  </si>
  <si>
    <t>O7007</t>
  </si>
  <si>
    <t>O7010</t>
  </si>
  <si>
    <t>O7012</t>
  </si>
  <si>
    <t>O7015</t>
  </si>
  <si>
    <t>D, mm</t>
  </si>
  <si>
    <t>B, mm</t>
  </si>
  <si>
    <t>t, mm</t>
  </si>
  <si>
    <t>Kg/m</t>
  </si>
  <si>
    <t>U10007</t>
  </si>
  <si>
    <t>U10010</t>
  </si>
  <si>
    <t>U10012</t>
  </si>
  <si>
    <t>U10015</t>
  </si>
  <si>
    <t>U15007</t>
  </si>
  <si>
    <t>U15010</t>
  </si>
  <si>
    <t>U15012</t>
  </si>
  <si>
    <t>U15015</t>
  </si>
  <si>
    <t>U20007</t>
  </si>
  <si>
    <t>U20010</t>
  </si>
  <si>
    <t>U20012</t>
  </si>
  <si>
    <t>U20015</t>
  </si>
  <si>
    <t>C10010</t>
  </si>
  <si>
    <t>C10012</t>
  </si>
  <si>
    <t>C10015</t>
  </si>
  <si>
    <t>C10016</t>
  </si>
  <si>
    <t>C10018</t>
  </si>
  <si>
    <t>C10020</t>
  </si>
  <si>
    <t>C15012</t>
  </si>
  <si>
    <t>C15015</t>
  </si>
  <si>
    <t>C15016</t>
  </si>
  <si>
    <t>C15018</t>
  </si>
  <si>
    <t>C15020</t>
  </si>
  <si>
    <t>C15024</t>
  </si>
  <si>
    <t>C15025</t>
  </si>
  <si>
    <t>C20015</t>
  </si>
  <si>
    <t>C20016</t>
  </si>
  <si>
    <t>C20018</t>
  </si>
  <si>
    <t>C20020</t>
  </si>
  <si>
    <t>C20024</t>
  </si>
  <si>
    <t>C20025</t>
  </si>
  <si>
    <t>C25015</t>
  </si>
  <si>
    <t>C25018</t>
  </si>
  <si>
    <t>C25020</t>
  </si>
  <si>
    <t>C25024</t>
  </si>
  <si>
    <t>C25025</t>
  </si>
  <si>
    <t>IPE 100 - 600</t>
  </si>
  <si>
    <t>IPE A 100 - 600</t>
  </si>
  <si>
    <t>IPE O 180 - 600</t>
  </si>
  <si>
    <t>IPE 750</t>
  </si>
  <si>
    <t>H</t>
  </si>
  <si>
    <t>I</t>
  </si>
  <si>
    <t>G</t>
  </si>
  <si>
    <t>h</t>
  </si>
  <si>
    <t>b</t>
  </si>
  <si>
    <r>
      <t>t</t>
    </r>
    <r>
      <rPr>
        <vertAlign val="subscript"/>
        <sz val="12"/>
        <rFont val="Arial"/>
        <family val="2"/>
        <charset val="162"/>
      </rPr>
      <t>w</t>
    </r>
  </si>
  <si>
    <r>
      <t>t</t>
    </r>
    <r>
      <rPr>
        <vertAlign val="subscript"/>
        <sz val="12"/>
        <rFont val="Arial"/>
        <family val="2"/>
        <charset val="162"/>
      </rPr>
      <t>f</t>
    </r>
  </si>
  <si>
    <t>r</t>
  </si>
  <si>
    <t>A</t>
  </si>
  <si>
    <r>
      <t>h</t>
    </r>
    <r>
      <rPr>
        <vertAlign val="subscript"/>
        <sz val="12"/>
        <rFont val="Arial"/>
        <family val="2"/>
        <charset val="162"/>
      </rPr>
      <t>i</t>
    </r>
  </si>
  <si>
    <t>d</t>
  </si>
  <si>
    <t>Ø</t>
  </si>
  <si>
    <r>
      <t>p</t>
    </r>
    <r>
      <rPr>
        <vertAlign val="subscript"/>
        <sz val="12"/>
        <rFont val="Arial"/>
        <family val="2"/>
        <charset val="162"/>
      </rPr>
      <t>min</t>
    </r>
  </si>
  <si>
    <r>
      <t>p</t>
    </r>
    <r>
      <rPr>
        <vertAlign val="subscript"/>
        <sz val="12"/>
        <rFont val="Arial"/>
        <family val="2"/>
        <charset val="162"/>
      </rPr>
      <t>max</t>
    </r>
  </si>
  <si>
    <r>
      <t>A</t>
    </r>
    <r>
      <rPr>
        <vertAlign val="subscript"/>
        <sz val="12"/>
        <rFont val="Arial"/>
        <family val="2"/>
        <charset val="162"/>
      </rPr>
      <t>L</t>
    </r>
  </si>
  <si>
    <r>
      <t>A</t>
    </r>
    <r>
      <rPr>
        <vertAlign val="subscript"/>
        <sz val="12"/>
        <rFont val="Arial"/>
        <family val="2"/>
        <charset val="162"/>
      </rPr>
      <t>G</t>
    </r>
  </si>
  <si>
    <r>
      <t>I</t>
    </r>
    <r>
      <rPr>
        <vertAlign val="subscript"/>
        <sz val="12"/>
        <rFont val="Arial"/>
        <family val="2"/>
        <charset val="162"/>
      </rPr>
      <t>y</t>
    </r>
  </si>
  <si>
    <r>
      <t>W</t>
    </r>
    <r>
      <rPr>
        <vertAlign val="subscript"/>
        <sz val="12"/>
        <rFont val="Arial"/>
        <family val="2"/>
        <charset val="162"/>
      </rPr>
      <t>el.y</t>
    </r>
  </si>
  <si>
    <r>
      <t>W</t>
    </r>
    <r>
      <rPr>
        <vertAlign val="subscript"/>
        <sz val="12"/>
        <rFont val="Arial"/>
        <family val="2"/>
        <charset val="162"/>
      </rPr>
      <t>pl.y</t>
    </r>
  </si>
  <si>
    <r>
      <t>i</t>
    </r>
    <r>
      <rPr>
        <vertAlign val="subscript"/>
        <sz val="12"/>
        <rFont val="Arial"/>
        <family val="2"/>
        <charset val="162"/>
      </rPr>
      <t>y</t>
    </r>
  </si>
  <si>
    <r>
      <t>A</t>
    </r>
    <r>
      <rPr>
        <vertAlign val="subscript"/>
        <sz val="12"/>
        <rFont val="Arial"/>
        <family val="2"/>
        <charset val="162"/>
      </rPr>
      <t>vz</t>
    </r>
  </si>
  <si>
    <r>
      <t>I</t>
    </r>
    <r>
      <rPr>
        <vertAlign val="subscript"/>
        <sz val="12"/>
        <rFont val="Arial"/>
        <family val="2"/>
        <charset val="162"/>
      </rPr>
      <t>z</t>
    </r>
  </si>
  <si>
    <r>
      <t>W</t>
    </r>
    <r>
      <rPr>
        <vertAlign val="subscript"/>
        <sz val="12"/>
        <rFont val="Arial"/>
        <family val="2"/>
        <charset val="162"/>
      </rPr>
      <t>el.z</t>
    </r>
  </si>
  <si>
    <r>
      <t>W</t>
    </r>
    <r>
      <rPr>
        <vertAlign val="subscript"/>
        <sz val="12"/>
        <rFont val="Arial"/>
        <family val="2"/>
        <charset val="162"/>
      </rPr>
      <t>pl.z</t>
    </r>
  </si>
  <si>
    <r>
      <t xml:space="preserve"> i</t>
    </r>
    <r>
      <rPr>
        <vertAlign val="subscript"/>
        <sz val="12"/>
        <rFont val="Arial"/>
        <family val="2"/>
        <charset val="162"/>
      </rPr>
      <t>z</t>
    </r>
  </si>
  <si>
    <r>
      <t>s</t>
    </r>
    <r>
      <rPr>
        <vertAlign val="subscript"/>
        <sz val="12"/>
        <rFont val="Arial"/>
        <family val="2"/>
        <charset val="162"/>
      </rPr>
      <t>s</t>
    </r>
  </si>
  <si>
    <r>
      <t>I</t>
    </r>
    <r>
      <rPr>
        <vertAlign val="subscript"/>
        <sz val="12"/>
        <color indexed="8"/>
        <rFont val="Arial"/>
        <family val="2"/>
        <charset val="162"/>
      </rPr>
      <t>t</t>
    </r>
  </si>
  <si>
    <r>
      <t>I</t>
    </r>
    <r>
      <rPr>
        <vertAlign val="subscript"/>
        <sz val="12"/>
        <color indexed="8"/>
        <rFont val="Arial"/>
        <family val="2"/>
        <charset val="162"/>
      </rPr>
      <t>w</t>
    </r>
    <r>
      <rPr>
        <sz val="8"/>
        <color indexed="8"/>
        <rFont val="Arial"/>
        <family val="2"/>
        <charset val="162"/>
      </rPr>
      <t>x10</t>
    </r>
    <r>
      <rPr>
        <vertAlign val="superscript"/>
        <sz val="8"/>
        <color indexed="8"/>
        <rFont val="Arial"/>
        <family val="2"/>
        <charset val="162"/>
      </rPr>
      <t>-3</t>
    </r>
  </si>
  <si>
    <t>S</t>
  </si>
  <si>
    <t>kg/m</t>
  </si>
  <si>
    <t xml:space="preserve"> mm</t>
  </si>
  <si>
    <t>mm</t>
  </si>
  <si>
    <r>
      <t>cm</t>
    </r>
    <r>
      <rPr>
        <vertAlign val="superscript"/>
        <sz val="9"/>
        <rFont val="Arial"/>
        <family val="2"/>
        <charset val="162"/>
      </rPr>
      <t>2</t>
    </r>
  </si>
  <si>
    <r>
      <t>m</t>
    </r>
    <r>
      <rPr>
        <vertAlign val="superscript"/>
        <sz val="8"/>
        <rFont val="Arial"/>
        <family val="2"/>
        <charset val="162"/>
      </rPr>
      <t>2</t>
    </r>
    <r>
      <rPr>
        <sz val="8"/>
        <rFont val="Arial"/>
        <family val="2"/>
        <charset val="162"/>
      </rPr>
      <t>/m</t>
    </r>
  </si>
  <si>
    <r>
      <t xml:space="preserve"> m</t>
    </r>
    <r>
      <rPr>
        <vertAlign val="superscript"/>
        <sz val="8"/>
        <rFont val="Arial"/>
        <family val="2"/>
        <charset val="162"/>
      </rPr>
      <t>2</t>
    </r>
    <r>
      <rPr>
        <sz val="8"/>
        <rFont val="Arial"/>
        <family val="2"/>
        <charset val="162"/>
      </rPr>
      <t>/t</t>
    </r>
  </si>
  <si>
    <r>
      <t>cm</t>
    </r>
    <r>
      <rPr>
        <vertAlign val="superscript"/>
        <sz val="9"/>
        <rFont val="Arial"/>
        <family val="2"/>
        <charset val="162"/>
      </rPr>
      <t>4</t>
    </r>
    <r>
      <rPr>
        <vertAlign val="superscript"/>
        <sz val="12"/>
        <rFont val="Arial"/>
        <family val="2"/>
        <charset val="162"/>
      </rPr>
      <t xml:space="preserve"> </t>
    </r>
  </si>
  <si>
    <r>
      <t>cm</t>
    </r>
    <r>
      <rPr>
        <vertAlign val="superscript"/>
        <sz val="9"/>
        <rFont val="Arial"/>
        <family val="2"/>
        <charset val="162"/>
      </rPr>
      <t>3</t>
    </r>
  </si>
  <si>
    <t>cm</t>
  </si>
  <si>
    <r>
      <t>cm</t>
    </r>
    <r>
      <rPr>
        <vertAlign val="superscript"/>
        <sz val="8"/>
        <rFont val="Arial"/>
        <family val="2"/>
        <charset val="162"/>
      </rPr>
      <t>2</t>
    </r>
  </si>
  <si>
    <r>
      <t>cm</t>
    </r>
    <r>
      <rPr>
        <vertAlign val="superscript"/>
        <sz val="8"/>
        <rFont val="Arial"/>
        <family val="2"/>
        <charset val="162"/>
      </rPr>
      <t>4</t>
    </r>
  </si>
  <si>
    <r>
      <t>cm</t>
    </r>
    <r>
      <rPr>
        <vertAlign val="superscript"/>
        <sz val="8"/>
        <rFont val="Arial"/>
        <family val="2"/>
        <charset val="162"/>
      </rPr>
      <t>3</t>
    </r>
  </si>
  <si>
    <r>
      <t>cm</t>
    </r>
    <r>
      <rPr>
        <vertAlign val="superscript"/>
        <sz val="8"/>
        <color indexed="8"/>
        <rFont val="Arial"/>
        <family val="2"/>
        <charset val="162"/>
      </rPr>
      <t>4</t>
    </r>
  </si>
  <si>
    <r>
      <t>cm</t>
    </r>
    <r>
      <rPr>
        <vertAlign val="superscript"/>
        <sz val="8"/>
        <color indexed="8"/>
        <rFont val="Arial"/>
        <family val="2"/>
        <charset val="162"/>
      </rPr>
      <t>6</t>
    </r>
  </si>
  <si>
    <t>T</t>
  </si>
  <si>
    <t>R</t>
  </si>
  <si>
    <t>IPE A 100</t>
  </si>
  <si>
    <t>-</t>
  </si>
  <si>
    <t>IPE 100</t>
  </si>
  <si>
    <t>IPE A 120</t>
  </si>
  <si>
    <t>IPE 120</t>
  </si>
  <si>
    <t>IPE A 140</t>
  </si>
  <si>
    <t>IPE 140</t>
  </si>
  <si>
    <t>IPE A 160</t>
  </si>
  <si>
    <t>IPE 160</t>
  </si>
  <si>
    <t>IPE A 180</t>
  </si>
  <si>
    <t>M10</t>
  </si>
  <si>
    <t>IPE 180</t>
  </si>
  <si>
    <t>IPE O 180</t>
  </si>
  <si>
    <t>IPE A 200</t>
  </si>
  <si>
    <t>IPE 200</t>
  </si>
  <si>
    <t>IPE O 200</t>
  </si>
  <si>
    <t>IPE A 220</t>
  </si>
  <si>
    <t>M12</t>
  </si>
  <si>
    <t>IPE 220</t>
  </si>
  <si>
    <t>IPE O 220</t>
  </si>
  <si>
    <t>IPE A 240</t>
  </si>
  <si>
    <t>IPE 240</t>
  </si>
  <si>
    <t>IPE O 240</t>
  </si>
  <si>
    <t>IPE A 270</t>
  </si>
  <si>
    <t>M16</t>
  </si>
  <si>
    <t>IPE 270</t>
  </si>
  <si>
    <t>IPE O 270</t>
  </si>
  <si>
    <t>IPE A 300</t>
  </si>
  <si>
    <t>IPE 300</t>
  </si>
  <si>
    <t>IPE O 300</t>
  </si>
  <si>
    <t>IPE A 330</t>
  </si>
  <si>
    <t>IPE 330</t>
  </si>
  <si>
    <t>IPE O 330</t>
  </si>
  <si>
    <t>IPE A 360</t>
  </si>
  <si>
    <t>M22</t>
  </si>
  <si>
    <t>IPE 360</t>
  </si>
  <si>
    <t>IPE O 360</t>
  </si>
  <si>
    <t>IPE A 400</t>
  </si>
  <si>
    <t>IPE 400</t>
  </si>
  <si>
    <t>IPE O 400</t>
  </si>
  <si>
    <t>IPE A 450</t>
  </si>
  <si>
    <t>M24</t>
  </si>
  <si>
    <t>IPE 450</t>
  </si>
  <si>
    <t>IPE O 450</t>
  </si>
  <si>
    <t>IPE A 500</t>
  </si>
  <si>
    <t>IPE 500</t>
  </si>
  <si>
    <t>HI</t>
  </si>
  <si>
    <t>IPE O 500</t>
  </si>
  <si>
    <t>IPE A 550</t>
  </si>
  <si>
    <t xml:space="preserve">IPE 550                 </t>
  </si>
  <si>
    <t>IPE O 550</t>
  </si>
  <si>
    <t>IPE A 600</t>
  </si>
  <si>
    <t>M27</t>
  </si>
  <si>
    <t>IPE 600</t>
  </si>
  <si>
    <t>IPE O 600</t>
  </si>
  <si>
    <t>IPE 750 x 147</t>
  </si>
  <si>
    <t>IPE 750 x 173</t>
  </si>
  <si>
    <t>IPE 750 x 196</t>
  </si>
  <si>
    <t>HE A, HE B et HE M 100 - 1000</t>
  </si>
  <si>
    <t>HE AA 100 - 1000</t>
  </si>
  <si>
    <t>HL 1000 / 1100</t>
  </si>
  <si>
    <t>HE 100 AA</t>
  </si>
  <si>
    <t>HE 100 A</t>
  </si>
  <si>
    <t>HE 100 B</t>
  </si>
  <si>
    <t>HE 100 M</t>
  </si>
  <si>
    <t>HE 120 AA</t>
  </si>
  <si>
    <t>HE 120 A</t>
  </si>
  <si>
    <t>HE 120 B</t>
  </si>
  <si>
    <t>HE 120 M</t>
  </si>
  <si>
    <t>HE 140 AA</t>
  </si>
  <si>
    <t>HE 140 A</t>
  </si>
  <si>
    <t>HE 140 B</t>
  </si>
  <si>
    <t>HE 140 M</t>
  </si>
  <si>
    <t>HE 160 AA</t>
  </si>
  <si>
    <t>M20</t>
  </si>
  <si>
    <t>HE 160 A</t>
  </si>
  <si>
    <t>HE 160 B</t>
  </si>
  <si>
    <t>HE 160 M</t>
  </si>
  <si>
    <t>HE 180 AA</t>
  </si>
  <si>
    <t>HE 180 A</t>
  </si>
  <si>
    <t>HE 180 B</t>
  </si>
  <si>
    <t>HE 180 M</t>
  </si>
  <si>
    <t>HE 200 AA</t>
  </si>
  <si>
    <t>HE 200 A</t>
  </si>
  <si>
    <t>HE 200 B</t>
  </si>
  <si>
    <t>HE 200 M</t>
  </si>
  <si>
    <t>HE 220 AA</t>
  </si>
  <si>
    <t>HE 220 A</t>
  </si>
  <si>
    <t>HE 220 B</t>
  </si>
  <si>
    <t>HE 220 M</t>
  </si>
  <si>
    <t>HE 240 AA</t>
  </si>
  <si>
    <t>HE 240 A</t>
  </si>
  <si>
    <t>HE 240 B</t>
  </si>
  <si>
    <t>HE 240 M</t>
  </si>
  <si>
    <t>HE 260 AA</t>
  </si>
  <si>
    <t>HE 260 A</t>
  </si>
  <si>
    <t>HE 260 B</t>
  </si>
  <si>
    <t>HE 260 M</t>
  </si>
  <si>
    <t>HE 280 AA</t>
  </si>
  <si>
    <t>HE 280 A</t>
  </si>
  <si>
    <t>HE 280 B</t>
  </si>
  <si>
    <t>HE 280 M</t>
  </si>
  <si>
    <t>HE 300 AA</t>
  </si>
  <si>
    <t>HE 300 A</t>
  </si>
  <si>
    <t>HE 300 B</t>
  </si>
  <si>
    <t>HE 300 M</t>
  </si>
  <si>
    <t>HE 320 AA</t>
  </si>
  <si>
    <t>HE 320 A</t>
  </si>
  <si>
    <t>HE 320 B</t>
  </si>
  <si>
    <t>HE 320 M</t>
  </si>
  <si>
    <t>HE 340 AA</t>
  </si>
  <si>
    <t>HE 340 A</t>
  </si>
  <si>
    <t>HE 340 B</t>
  </si>
  <si>
    <t>HE 340 M</t>
  </si>
  <si>
    <t>HE 360 AA</t>
  </si>
  <si>
    <t>HE 360 A</t>
  </si>
  <si>
    <t>HE 360 B</t>
  </si>
  <si>
    <t>HE 360 M</t>
  </si>
  <si>
    <t>HE 400 AA</t>
  </si>
  <si>
    <t>HE 400 A</t>
  </si>
  <si>
    <t>HE 400 B</t>
  </si>
  <si>
    <t>HE 400 M</t>
  </si>
  <si>
    <t>HE 450 AA</t>
  </si>
  <si>
    <t>HE 450 A</t>
  </si>
  <si>
    <t>HE 450 B</t>
  </si>
  <si>
    <t>HE 450 M</t>
  </si>
  <si>
    <t>HE 500 AA</t>
  </si>
  <si>
    <t>HE 500 A</t>
  </si>
  <si>
    <t>HE 500 B</t>
  </si>
  <si>
    <t>HE 500 M</t>
  </si>
  <si>
    <t>HE 550 AA</t>
  </si>
  <si>
    <t>HE 550 A</t>
  </si>
  <si>
    <t>HE 550 B</t>
  </si>
  <si>
    <t>HE 550 M</t>
  </si>
  <si>
    <t>HE 600 AA</t>
  </si>
  <si>
    <t>HE 600 A</t>
  </si>
  <si>
    <t>HE 600 B</t>
  </si>
  <si>
    <t>HE 600 M</t>
  </si>
  <si>
    <t>HE 600 x 337</t>
  </si>
  <si>
    <t>HE 600 x 399</t>
  </si>
  <si>
    <t>HE 650 AA</t>
  </si>
  <si>
    <t>HE 650 A</t>
  </si>
  <si>
    <t>HE 650 B</t>
  </si>
  <si>
    <t>HE 650 M</t>
  </si>
  <si>
    <t>HE 650 x 343</t>
  </si>
  <si>
    <t>HE 650 x 407</t>
  </si>
  <si>
    <t>HE 700 AA</t>
  </si>
  <si>
    <t>HE 700 A</t>
  </si>
  <si>
    <t>HE 700 B</t>
  </si>
  <si>
    <t>HE 700 M</t>
  </si>
  <si>
    <t>HE 700 x 352</t>
  </si>
  <si>
    <t>HE 700 x 418</t>
  </si>
  <si>
    <t>HE 800 AA</t>
  </si>
  <si>
    <t>HE 800 A</t>
  </si>
  <si>
    <t>HE 800 B</t>
  </si>
  <si>
    <t>HE 800 M</t>
  </si>
  <si>
    <t>HE 800 x 373</t>
  </si>
  <si>
    <t>HE 800 x 444</t>
  </si>
  <si>
    <t>HE 900 AA</t>
  </si>
  <si>
    <t>HE 900 A</t>
  </si>
  <si>
    <t>HE 900 B</t>
  </si>
  <si>
    <t>HE 900 M</t>
  </si>
  <si>
    <t>HE 900 x 391</t>
  </si>
  <si>
    <t>HE 900 x 466</t>
  </si>
  <si>
    <t>HE 1000 AA</t>
  </si>
  <si>
    <t>HE 1000 A</t>
  </si>
  <si>
    <t>HE 1000 B</t>
  </si>
  <si>
    <t>HE 1000 M</t>
  </si>
  <si>
    <t>HE 1000 x 393</t>
  </si>
  <si>
    <t>HE 1000 x 409</t>
  </si>
  <si>
    <t>HE 1000 x 488</t>
  </si>
  <si>
    <t>HE 1000 x 579</t>
  </si>
  <si>
    <t>HL 920 x 342</t>
  </si>
  <si>
    <t>HL 920 x 365</t>
  </si>
  <si>
    <t>HL 920 x 387</t>
  </si>
  <si>
    <t>HL 920 x 417</t>
  </si>
  <si>
    <t>HL 920 x 446</t>
  </si>
  <si>
    <t>HL 920 x 488</t>
  </si>
  <si>
    <t>HL 920 x 534</t>
  </si>
  <si>
    <t>HL 920 x 585</t>
  </si>
  <si>
    <t>HL 920 x 653</t>
  </si>
  <si>
    <t>HL 920 x 784</t>
  </si>
  <si>
    <t>HL 920 x 967</t>
  </si>
  <si>
    <t>HL 1000 x 296</t>
  </si>
  <si>
    <t>HL 1000 A</t>
  </si>
  <si>
    <t>HL 1000 B</t>
  </si>
  <si>
    <t>HL 1000 M</t>
  </si>
  <si>
    <t>HL 1000 x 477</t>
  </si>
  <si>
    <t>HL 1000 x 554</t>
  </si>
  <si>
    <t>HL 1000 x 642</t>
  </si>
  <si>
    <t>HL 1000 x 748</t>
  </si>
  <si>
    <t>HL 1000 x 883</t>
  </si>
  <si>
    <t>HL 1100 A</t>
  </si>
  <si>
    <t>HL 1100 B</t>
  </si>
  <si>
    <t>HL 1100 M</t>
  </si>
  <si>
    <t>HL 1100 R</t>
  </si>
  <si>
    <r>
      <t>t</t>
    </r>
    <r>
      <rPr>
        <vertAlign val="subscript"/>
        <sz val="8"/>
        <rFont val="Arial"/>
        <family val="2"/>
        <charset val="162"/>
      </rPr>
      <t>w</t>
    </r>
  </si>
  <si>
    <r>
      <t>t</t>
    </r>
    <r>
      <rPr>
        <vertAlign val="subscript"/>
        <sz val="8"/>
        <rFont val="Arial"/>
        <family val="2"/>
        <charset val="162"/>
      </rPr>
      <t>f</t>
    </r>
  </si>
  <si>
    <r>
      <t>h</t>
    </r>
    <r>
      <rPr>
        <vertAlign val="subscript"/>
        <sz val="8"/>
        <rFont val="Arial"/>
        <family val="2"/>
        <charset val="162"/>
      </rPr>
      <t>i</t>
    </r>
  </si>
  <si>
    <r>
      <t>p</t>
    </r>
    <r>
      <rPr>
        <vertAlign val="subscript"/>
        <sz val="8"/>
        <rFont val="Arial"/>
        <family val="2"/>
        <charset val="162"/>
      </rPr>
      <t>min</t>
    </r>
  </si>
  <si>
    <r>
      <t>p</t>
    </r>
    <r>
      <rPr>
        <vertAlign val="subscript"/>
        <sz val="8"/>
        <rFont val="Arial"/>
        <family val="2"/>
        <charset val="162"/>
      </rPr>
      <t>max</t>
    </r>
  </si>
  <si>
    <r>
      <t>A</t>
    </r>
    <r>
      <rPr>
        <vertAlign val="subscript"/>
        <sz val="8"/>
        <rFont val="Arial"/>
        <family val="2"/>
        <charset val="162"/>
      </rPr>
      <t>L</t>
    </r>
  </si>
  <si>
    <r>
      <t>A</t>
    </r>
    <r>
      <rPr>
        <vertAlign val="subscript"/>
        <sz val="8"/>
        <rFont val="Arial"/>
        <family val="2"/>
        <charset val="162"/>
      </rPr>
      <t>G</t>
    </r>
  </si>
  <si>
    <r>
      <t>I</t>
    </r>
    <r>
      <rPr>
        <vertAlign val="subscript"/>
        <sz val="8"/>
        <rFont val="Arial"/>
        <family val="2"/>
        <charset val="162"/>
      </rPr>
      <t>y</t>
    </r>
  </si>
  <si>
    <r>
      <t>i</t>
    </r>
    <r>
      <rPr>
        <vertAlign val="subscript"/>
        <sz val="8"/>
        <rFont val="Arial"/>
        <family val="2"/>
        <charset val="162"/>
      </rPr>
      <t>y</t>
    </r>
  </si>
  <si>
    <r>
      <t>A</t>
    </r>
    <r>
      <rPr>
        <vertAlign val="subscript"/>
        <sz val="8"/>
        <rFont val="Arial"/>
        <family val="2"/>
        <charset val="162"/>
      </rPr>
      <t>vz</t>
    </r>
  </si>
  <si>
    <r>
      <t>I</t>
    </r>
    <r>
      <rPr>
        <vertAlign val="subscript"/>
        <sz val="8"/>
        <rFont val="Arial"/>
        <family val="2"/>
        <charset val="162"/>
      </rPr>
      <t>z</t>
    </r>
  </si>
  <si>
    <r>
      <t xml:space="preserve"> i</t>
    </r>
    <r>
      <rPr>
        <vertAlign val="subscript"/>
        <sz val="8"/>
        <rFont val="Arial"/>
        <family val="2"/>
        <charset val="162"/>
      </rPr>
      <t>z</t>
    </r>
  </si>
  <si>
    <r>
      <t>s</t>
    </r>
    <r>
      <rPr>
        <vertAlign val="subscript"/>
        <sz val="8"/>
        <rFont val="Arial"/>
        <family val="2"/>
        <charset val="162"/>
      </rPr>
      <t>s</t>
    </r>
  </si>
  <si>
    <r>
      <t>I</t>
    </r>
    <r>
      <rPr>
        <vertAlign val="subscript"/>
        <sz val="8"/>
        <color indexed="8"/>
        <rFont val="Arial"/>
        <family val="2"/>
        <charset val="162"/>
      </rPr>
      <t>t</t>
    </r>
  </si>
  <si>
    <r>
      <t>I</t>
    </r>
    <r>
      <rPr>
        <vertAlign val="subscript"/>
        <sz val="8"/>
        <color indexed="8"/>
        <rFont val="Arial"/>
        <family val="2"/>
        <charset val="162"/>
      </rPr>
      <t>w</t>
    </r>
    <r>
      <rPr>
        <sz val="8"/>
        <color indexed="8"/>
        <rFont val="Arial"/>
        <family val="2"/>
        <charset val="162"/>
      </rPr>
      <t>x10</t>
    </r>
    <r>
      <rPr>
        <vertAlign val="superscript"/>
        <sz val="8"/>
        <color indexed="8"/>
        <rFont val="Arial"/>
        <family val="2"/>
        <charset val="162"/>
      </rPr>
      <t>-3</t>
    </r>
  </si>
  <si>
    <r>
      <t>cm</t>
    </r>
    <r>
      <rPr>
        <vertAlign val="superscript"/>
        <sz val="8"/>
        <rFont val="Arial"/>
        <family val="2"/>
        <charset val="162"/>
      </rPr>
      <t xml:space="preserve">4 </t>
    </r>
  </si>
  <si>
    <t>HD 260 x 54.1</t>
  </si>
  <si>
    <t>HD 260 x 68.2</t>
  </si>
  <si>
    <t>HD 260 x 93.0</t>
  </si>
  <si>
    <t>HD 260 x 114</t>
  </si>
  <si>
    <t>HD 260 x 142</t>
  </si>
  <si>
    <t>HD 260 x 172</t>
  </si>
  <si>
    <t>HD 320 x 74.2</t>
  </si>
  <si>
    <t>HD 320 x 97.6</t>
  </si>
  <si>
    <t>HD 320 x 127</t>
  </si>
  <si>
    <t>HD 320 x 158</t>
  </si>
  <si>
    <t>HD 320 x 198</t>
  </si>
  <si>
    <t>HD 320 x 245</t>
  </si>
  <si>
    <t>HD 320 x 300</t>
  </si>
  <si>
    <t>HD 360 x 134</t>
  </si>
  <si>
    <t>HD 360 x 147</t>
  </si>
  <si>
    <t>HD 360 x 162</t>
  </si>
  <si>
    <t>HD 360 x 179</t>
  </si>
  <si>
    <t>HD 360 x 196</t>
  </si>
  <si>
    <t>HD 400 x 187</t>
  </si>
  <si>
    <t>HD 400 x 216</t>
  </si>
  <si>
    <t>HD 400 x 237</t>
  </si>
  <si>
    <t>HD 400 x 262</t>
  </si>
  <si>
    <t>HD 400 x 287</t>
  </si>
  <si>
    <t>HD 400 x 314</t>
  </si>
  <si>
    <t>HD 400 x 347</t>
  </si>
  <si>
    <t>HD 400 x 382</t>
  </si>
  <si>
    <t>HD 400 x 421</t>
  </si>
  <si>
    <t>HD 400 x 463</t>
  </si>
  <si>
    <t>HD 400 x 509</t>
  </si>
  <si>
    <t>HD 400 x 551</t>
  </si>
  <si>
    <t>HD 400 x 592</t>
  </si>
  <si>
    <t>HD 400 x 634</t>
  </si>
  <si>
    <t>HD 400 x 677</t>
  </si>
  <si>
    <t>HD 400 x 744</t>
  </si>
  <si>
    <t>HD 400 x 818</t>
  </si>
  <si>
    <t>HD 400 x 900</t>
  </si>
  <si>
    <t>HD 400 x 990</t>
  </si>
  <si>
    <t>HD 400 x 1086</t>
  </si>
  <si>
    <r>
      <t>t</t>
    </r>
    <r>
      <rPr>
        <vertAlign val="subscript"/>
        <sz val="12"/>
        <color indexed="8"/>
        <rFont val="Arial"/>
        <family val="2"/>
        <charset val="162"/>
      </rPr>
      <t>w</t>
    </r>
  </si>
  <si>
    <r>
      <t>t</t>
    </r>
    <r>
      <rPr>
        <vertAlign val="subscript"/>
        <sz val="12"/>
        <color indexed="8"/>
        <rFont val="Arial"/>
        <family val="2"/>
        <charset val="162"/>
      </rPr>
      <t>f</t>
    </r>
  </si>
  <si>
    <r>
      <t>h</t>
    </r>
    <r>
      <rPr>
        <vertAlign val="subscript"/>
        <sz val="12"/>
        <color indexed="8"/>
        <rFont val="Arial"/>
        <family val="2"/>
        <charset val="162"/>
      </rPr>
      <t>i</t>
    </r>
  </si>
  <si>
    <r>
      <t>p</t>
    </r>
    <r>
      <rPr>
        <vertAlign val="subscript"/>
        <sz val="12"/>
        <color indexed="8"/>
        <rFont val="Arial"/>
        <family val="2"/>
        <charset val="162"/>
      </rPr>
      <t>min</t>
    </r>
  </si>
  <si>
    <r>
      <t>p</t>
    </r>
    <r>
      <rPr>
        <vertAlign val="subscript"/>
        <sz val="12"/>
        <color indexed="8"/>
        <rFont val="Arial"/>
        <family val="2"/>
        <charset val="162"/>
      </rPr>
      <t>max</t>
    </r>
  </si>
  <si>
    <r>
      <t>A</t>
    </r>
    <r>
      <rPr>
        <vertAlign val="subscript"/>
        <sz val="12"/>
        <color indexed="8"/>
        <rFont val="Arial"/>
        <family val="2"/>
        <charset val="162"/>
      </rPr>
      <t>L</t>
    </r>
  </si>
  <si>
    <r>
      <t>A</t>
    </r>
    <r>
      <rPr>
        <vertAlign val="subscript"/>
        <sz val="12"/>
        <color indexed="8"/>
        <rFont val="Arial"/>
        <family val="2"/>
        <charset val="162"/>
      </rPr>
      <t>G</t>
    </r>
  </si>
  <si>
    <r>
      <t>I</t>
    </r>
    <r>
      <rPr>
        <vertAlign val="subscript"/>
        <sz val="12"/>
        <color indexed="8"/>
        <rFont val="Arial"/>
        <family val="2"/>
        <charset val="162"/>
      </rPr>
      <t>y</t>
    </r>
  </si>
  <si>
    <r>
      <t>i</t>
    </r>
    <r>
      <rPr>
        <vertAlign val="subscript"/>
        <sz val="12"/>
        <color indexed="8"/>
        <rFont val="Arial"/>
        <family val="2"/>
        <charset val="162"/>
      </rPr>
      <t>y</t>
    </r>
  </si>
  <si>
    <r>
      <t>A</t>
    </r>
    <r>
      <rPr>
        <vertAlign val="subscript"/>
        <sz val="12"/>
        <color indexed="8"/>
        <rFont val="Arial"/>
        <family val="2"/>
        <charset val="162"/>
      </rPr>
      <t>vz</t>
    </r>
  </si>
  <si>
    <r>
      <t>I</t>
    </r>
    <r>
      <rPr>
        <vertAlign val="subscript"/>
        <sz val="12"/>
        <color indexed="8"/>
        <rFont val="Arial"/>
        <family val="2"/>
        <charset val="162"/>
      </rPr>
      <t>z</t>
    </r>
  </si>
  <si>
    <r>
      <t xml:space="preserve"> i</t>
    </r>
    <r>
      <rPr>
        <vertAlign val="subscript"/>
        <sz val="12"/>
        <color indexed="8"/>
        <rFont val="Arial"/>
        <family val="2"/>
        <charset val="162"/>
      </rPr>
      <t>z</t>
    </r>
  </si>
  <si>
    <r>
      <t>s</t>
    </r>
    <r>
      <rPr>
        <vertAlign val="subscript"/>
        <sz val="12"/>
        <color indexed="8"/>
        <rFont val="Arial"/>
        <family val="2"/>
        <charset val="162"/>
      </rPr>
      <t>s</t>
    </r>
  </si>
  <si>
    <r>
      <t>I</t>
    </r>
    <r>
      <rPr>
        <vertAlign val="subscript"/>
        <sz val="10"/>
        <color indexed="8"/>
        <rFont val="Arial"/>
        <family val="2"/>
        <charset val="162"/>
      </rPr>
      <t>w</t>
    </r>
    <r>
      <rPr>
        <sz val="7"/>
        <color indexed="8"/>
        <rFont val="Arial"/>
        <family val="2"/>
        <charset val="162"/>
      </rPr>
      <t>x10</t>
    </r>
    <r>
      <rPr>
        <vertAlign val="superscript"/>
        <sz val="8"/>
        <color indexed="8"/>
        <rFont val="Arial"/>
        <family val="2"/>
        <charset val="162"/>
      </rPr>
      <t>-3</t>
    </r>
  </si>
  <si>
    <r>
      <t>cm</t>
    </r>
    <r>
      <rPr>
        <vertAlign val="superscript"/>
        <sz val="9"/>
        <color indexed="8"/>
        <rFont val="Arial"/>
        <family val="2"/>
        <charset val="162"/>
      </rPr>
      <t>2</t>
    </r>
  </si>
  <si>
    <r>
      <t>m</t>
    </r>
    <r>
      <rPr>
        <vertAlign val="superscript"/>
        <sz val="8"/>
        <color indexed="8"/>
        <rFont val="Arial"/>
        <family val="2"/>
        <charset val="162"/>
      </rPr>
      <t>2</t>
    </r>
    <r>
      <rPr>
        <sz val="8"/>
        <color indexed="8"/>
        <rFont val="Arial"/>
        <family val="2"/>
        <charset val="162"/>
      </rPr>
      <t>/m</t>
    </r>
  </si>
  <si>
    <r>
      <t xml:space="preserve"> m</t>
    </r>
    <r>
      <rPr>
        <vertAlign val="superscript"/>
        <sz val="8"/>
        <color indexed="8"/>
        <rFont val="Arial"/>
        <family val="2"/>
        <charset val="162"/>
      </rPr>
      <t>2</t>
    </r>
    <r>
      <rPr>
        <sz val="8"/>
        <color indexed="8"/>
        <rFont val="Arial"/>
        <family val="2"/>
        <charset val="162"/>
      </rPr>
      <t>/t</t>
    </r>
  </si>
  <si>
    <r>
      <t>cm</t>
    </r>
    <r>
      <rPr>
        <vertAlign val="superscript"/>
        <sz val="9"/>
        <color indexed="8"/>
        <rFont val="Arial"/>
        <family val="2"/>
        <charset val="162"/>
      </rPr>
      <t>4</t>
    </r>
    <r>
      <rPr>
        <vertAlign val="superscript"/>
        <sz val="12"/>
        <color indexed="8"/>
        <rFont val="Arial"/>
        <family val="2"/>
        <charset val="162"/>
      </rPr>
      <t xml:space="preserve"> </t>
    </r>
  </si>
  <si>
    <r>
      <t>cm</t>
    </r>
    <r>
      <rPr>
        <vertAlign val="superscript"/>
        <sz val="9"/>
        <color indexed="8"/>
        <rFont val="Arial"/>
        <family val="2"/>
        <charset val="162"/>
      </rPr>
      <t>3</t>
    </r>
  </si>
  <si>
    <r>
      <t>cm</t>
    </r>
    <r>
      <rPr>
        <vertAlign val="superscript"/>
        <sz val="8"/>
        <color indexed="8"/>
        <rFont val="Arial"/>
        <family val="2"/>
        <charset val="162"/>
      </rPr>
      <t>2</t>
    </r>
  </si>
  <si>
    <r>
      <t>cm</t>
    </r>
    <r>
      <rPr>
        <vertAlign val="superscript"/>
        <sz val="8"/>
        <color indexed="8"/>
        <rFont val="Arial"/>
        <family val="2"/>
        <charset val="162"/>
      </rPr>
      <t>3</t>
    </r>
  </si>
  <si>
    <t>HP 200 x 43</t>
  </si>
  <si>
    <t>HP 200 x 53</t>
  </si>
  <si>
    <t>HP 220 x 57</t>
  </si>
  <si>
    <t>HP 260 x 75</t>
  </si>
  <si>
    <t>HP 260 x 87</t>
  </si>
  <si>
    <t>HP 305 x 79</t>
  </si>
  <si>
    <t>HP 305 x 88</t>
  </si>
  <si>
    <t>HP 305 x 95</t>
  </si>
  <si>
    <t>HP 305 x 110</t>
  </si>
  <si>
    <t>HP 305 x 126</t>
  </si>
  <si>
    <t>HP 305 x 149</t>
  </si>
  <si>
    <t>HP 305 x 180</t>
  </si>
  <si>
    <t>HP 305 x 186</t>
  </si>
  <si>
    <t>HP 305 x 223</t>
  </si>
  <si>
    <t>HP 320 x 88</t>
  </si>
  <si>
    <t>HP 320 x 103</t>
  </si>
  <si>
    <t>HP 320 x 117</t>
  </si>
  <si>
    <t>HP 320 x 147</t>
  </si>
  <si>
    <t>HP 320 x 184</t>
  </si>
  <si>
    <t>HP 360 x 84</t>
  </si>
  <si>
    <t>HP 360 x 109</t>
  </si>
  <si>
    <t>HP 360 x 133</t>
  </si>
  <si>
    <t>HP 360 x 152</t>
  </si>
  <si>
    <t>HP 360 x 174</t>
  </si>
  <si>
    <t>HP 360 x 180</t>
  </si>
  <si>
    <t>HP 400 x 122</t>
  </si>
  <si>
    <t>HP 400 x 140</t>
  </si>
  <si>
    <t>HP 400 x 158</t>
  </si>
  <si>
    <t>HP 400 x 176</t>
  </si>
  <si>
    <t>HP 400 x 194</t>
  </si>
  <si>
    <t>HP 400 x 213</t>
  </si>
  <si>
    <t>HP 400 x 231</t>
  </si>
  <si>
    <t>flange slope: 14%</t>
  </si>
  <si>
    <r>
      <t>r</t>
    </r>
    <r>
      <rPr>
        <vertAlign val="subscript"/>
        <sz val="12"/>
        <rFont val="Arial"/>
        <family val="2"/>
        <charset val="162"/>
      </rPr>
      <t>1</t>
    </r>
  </si>
  <si>
    <r>
      <t>r</t>
    </r>
    <r>
      <rPr>
        <vertAlign val="subscript"/>
        <sz val="12"/>
        <rFont val="Arial"/>
        <family val="2"/>
        <charset val="162"/>
      </rPr>
      <t>2</t>
    </r>
  </si>
  <si>
    <r>
      <t>cm</t>
    </r>
    <r>
      <rPr>
        <vertAlign val="superscript"/>
        <sz val="10"/>
        <rFont val="Arial"/>
        <family val="2"/>
        <charset val="162"/>
      </rPr>
      <t>2</t>
    </r>
  </si>
  <si>
    <r>
      <t>m</t>
    </r>
    <r>
      <rPr>
        <vertAlign val="superscript"/>
        <sz val="10"/>
        <rFont val="Arial"/>
        <family val="2"/>
        <charset val="162"/>
      </rPr>
      <t>2</t>
    </r>
    <r>
      <rPr>
        <sz val="8"/>
        <rFont val="Arial"/>
        <family val="2"/>
        <charset val="162"/>
      </rPr>
      <t>/m</t>
    </r>
  </si>
  <si>
    <r>
      <t xml:space="preserve"> m</t>
    </r>
    <r>
      <rPr>
        <vertAlign val="superscript"/>
        <sz val="10"/>
        <rFont val="Arial"/>
        <family val="2"/>
        <charset val="162"/>
      </rPr>
      <t>2</t>
    </r>
    <r>
      <rPr>
        <sz val="8"/>
        <rFont val="Arial"/>
        <family val="2"/>
        <charset val="162"/>
      </rPr>
      <t>/t</t>
    </r>
  </si>
  <si>
    <r>
      <t>cm</t>
    </r>
    <r>
      <rPr>
        <vertAlign val="superscript"/>
        <sz val="10"/>
        <rFont val="Arial"/>
        <family val="2"/>
        <charset val="162"/>
      </rPr>
      <t xml:space="preserve">4 </t>
    </r>
  </si>
  <si>
    <r>
      <t>cm</t>
    </r>
    <r>
      <rPr>
        <vertAlign val="superscript"/>
        <sz val="10"/>
        <rFont val="Arial"/>
        <family val="2"/>
        <charset val="162"/>
      </rPr>
      <t>3</t>
    </r>
  </si>
  <si>
    <r>
      <t>cm</t>
    </r>
    <r>
      <rPr>
        <vertAlign val="superscript"/>
        <sz val="10"/>
        <rFont val="Arial"/>
        <family val="2"/>
        <charset val="162"/>
      </rPr>
      <t>4</t>
    </r>
  </si>
  <si>
    <r>
      <t>cm</t>
    </r>
    <r>
      <rPr>
        <vertAlign val="superscript"/>
        <sz val="9"/>
        <color indexed="8"/>
        <rFont val="Arial"/>
        <family val="2"/>
        <charset val="162"/>
      </rPr>
      <t>4</t>
    </r>
  </si>
  <si>
    <r>
      <t>cm</t>
    </r>
    <r>
      <rPr>
        <vertAlign val="superscript"/>
        <sz val="9"/>
        <color indexed="8"/>
        <rFont val="Arial"/>
        <family val="2"/>
        <charset val="162"/>
      </rPr>
      <t>6</t>
    </r>
  </si>
  <si>
    <t>IPN 120</t>
  </si>
  <si>
    <t>IPN 140</t>
  </si>
  <si>
    <t>IPN 160</t>
  </si>
  <si>
    <t>IPN 180</t>
  </si>
  <si>
    <t>IPN 200</t>
  </si>
  <si>
    <t>IPN 220</t>
  </si>
  <si>
    <t>IPN 240</t>
  </si>
  <si>
    <t>IPN 260</t>
  </si>
  <si>
    <t>IPN 280</t>
  </si>
  <si>
    <t>IPN 300</t>
  </si>
  <si>
    <t>IPN 320</t>
  </si>
  <si>
    <t>IPN 340</t>
  </si>
  <si>
    <t>IPN 360</t>
  </si>
  <si>
    <t>IPN 380</t>
  </si>
  <si>
    <t>IPN 400</t>
  </si>
  <si>
    <t>IPN 450</t>
  </si>
  <si>
    <t>IPN 500</t>
  </si>
  <si>
    <t>IPN 550</t>
  </si>
  <si>
    <t>(metric)</t>
  </si>
  <si>
    <t>(imperial)</t>
  </si>
  <si>
    <r>
      <t>I</t>
    </r>
    <r>
      <rPr>
        <vertAlign val="subscript"/>
        <sz val="10"/>
        <color indexed="8"/>
        <rFont val="Arial"/>
        <family val="2"/>
        <charset val="162"/>
      </rPr>
      <t>w</t>
    </r>
    <r>
      <rPr>
        <sz val="10"/>
        <color indexed="8"/>
        <rFont val="Arial"/>
        <family val="2"/>
        <charset val="162"/>
      </rPr>
      <t>x</t>
    </r>
    <r>
      <rPr>
        <sz val="8"/>
        <color indexed="8"/>
        <rFont val="Arial"/>
        <family val="2"/>
        <charset val="162"/>
      </rPr>
      <t>10</t>
    </r>
    <r>
      <rPr>
        <vertAlign val="superscript"/>
        <sz val="8"/>
        <color indexed="8"/>
        <rFont val="Arial"/>
        <family val="2"/>
        <charset val="162"/>
      </rPr>
      <t>-3</t>
    </r>
  </si>
  <si>
    <t>lbs/ft</t>
  </si>
  <si>
    <t>W 100 x 100 x 19.3</t>
  </si>
  <si>
    <t>W 4 x 4 x 13</t>
  </si>
  <si>
    <t>W 130 x 130 x 23.8</t>
  </si>
  <si>
    <t>W 5 x 5 x 16</t>
  </si>
  <si>
    <t>W 130 x 130 x 28.1</t>
  </si>
  <si>
    <t>W 5 x 5 x 19</t>
  </si>
  <si>
    <t>W 150 x 100 x 13.5</t>
  </si>
  <si>
    <t>W 6 x 4 x 9</t>
  </si>
  <si>
    <t>W 150 x 100 x 18.0</t>
  </si>
  <si>
    <t>W 6 x 4 x 12</t>
  </si>
  <si>
    <t>W 150 x 100 x 24.0</t>
  </si>
  <si>
    <t>W 6 x 4 x 16</t>
  </si>
  <si>
    <t>W 150 x 150 x 22.5</t>
  </si>
  <si>
    <t>W 6 x 6 x 15</t>
  </si>
  <si>
    <t>W 150 x 150 x 29.8</t>
  </si>
  <si>
    <t>W 6 x 6 x 20</t>
  </si>
  <si>
    <t>W 150 x 150 x 37.1</t>
  </si>
  <si>
    <t>W 6 x 6 x 25</t>
  </si>
  <si>
    <t>W 200 x 100 x 15.0</t>
  </si>
  <si>
    <t>W 8 x 4 x 10</t>
  </si>
  <si>
    <t>W 200 x 100 x 19.3</t>
  </si>
  <si>
    <t>W 8 x 4 x 13</t>
  </si>
  <si>
    <t>W 200 x 100 x 22.5</t>
  </si>
  <si>
    <t>W 8 x 4 x 15</t>
  </si>
  <si>
    <t>W 200 x 135 x 21</t>
  </si>
  <si>
    <t>W 8 x 5.25 x 14</t>
  </si>
  <si>
    <t>W 200 x 135 x 26.6</t>
  </si>
  <si>
    <t>W 8 x 5.25 x 18</t>
  </si>
  <si>
    <t>W 200 x 135 x 31.3</t>
  </si>
  <si>
    <t>W 8 x 5.25 x 21</t>
  </si>
  <si>
    <t>W 200 x 165 x 35.9</t>
  </si>
  <si>
    <t>W 8 x 6.5 x 24</t>
  </si>
  <si>
    <t>W 200 x 165 x 41.7</t>
  </si>
  <si>
    <t>W 8 x 6.5 x 28</t>
  </si>
  <si>
    <t>W 200 x 200 x 46.1</t>
  </si>
  <si>
    <t>W 8 x 8 x 31</t>
  </si>
  <si>
    <t>W 200 x 200 x 52</t>
  </si>
  <si>
    <t>W 8 x 8 x 35</t>
  </si>
  <si>
    <t>W 200 x 200 x 59</t>
  </si>
  <si>
    <t>W 8 x 8 x 40</t>
  </si>
  <si>
    <t>W 200 x 200 x 71</t>
  </si>
  <si>
    <t>W 8 x 8 x 48</t>
  </si>
  <si>
    <t>W 200 x 200 x 86</t>
  </si>
  <si>
    <t>W 8 x 8 x 58</t>
  </si>
  <si>
    <t>W 200 x 200 x 100</t>
  </si>
  <si>
    <t>W 8 x 8 x 67</t>
  </si>
  <si>
    <t>W 250 x 100 x 17.9</t>
  </si>
  <si>
    <t>W 10 x 4 x 12</t>
  </si>
  <si>
    <t>W 250 x 100 x 22.3</t>
  </si>
  <si>
    <t>W 10 x 4 x 15</t>
  </si>
  <si>
    <t>W 250 x 100 x 25.3</t>
  </si>
  <si>
    <t>W 10 x 4 x 17</t>
  </si>
  <si>
    <t>W 250 x 100 x 28.4</t>
  </si>
  <si>
    <t>W 10 x 4 x 19</t>
  </si>
  <si>
    <t>W 250 x 145 x 24</t>
  </si>
  <si>
    <t>W 10 x 5.75 x 16</t>
  </si>
  <si>
    <t>W 250 x 145 x 32.7</t>
  </si>
  <si>
    <t>W 10 x 5.75 x 22</t>
  </si>
  <si>
    <t>W 250 x 145 x 38.5</t>
  </si>
  <si>
    <t>W 10 x 5.75 x 26</t>
  </si>
  <si>
    <t>W 250 x 145 x 44.8</t>
  </si>
  <si>
    <t>W 10 x 5.75 x 30</t>
  </si>
  <si>
    <t>W 250 x 250 x 73</t>
  </si>
  <si>
    <t>W 10 x 10 x 49</t>
  </si>
  <si>
    <t>W 250 x 250 x 80</t>
  </si>
  <si>
    <t>W 10 x 10 x 54</t>
  </si>
  <si>
    <t>W 250 x 250 x 89</t>
  </si>
  <si>
    <t>W 10 x 10 x 60</t>
  </si>
  <si>
    <t>W 250 x 250 x 101</t>
  </si>
  <si>
    <t>W 10 x 10 x 68</t>
  </si>
  <si>
    <t>W 250 x 250 x 115</t>
  </si>
  <si>
    <t>W 10 x 10 x 77</t>
  </si>
  <si>
    <t>W 250 x 250 x 131</t>
  </si>
  <si>
    <t>W 10 x 10 x 88</t>
  </si>
  <si>
    <t>W 250 x 250 x 149</t>
  </si>
  <si>
    <t>W 10 x 10 x 100</t>
  </si>
  <si>
    <t>W 250 x 250 x 167</t>
  </si>
  <si>
    <t>W 10 x 10 x 112</t>
  </si>
  <si>
    <t>W 310 x 100 x 21.0</t>
  </si>
  <si>
    <t>W 12 x 4 x 14</t>
  </si>
  <si>
    <t>W 310 x 100 x 23.8</t>
  </si>
  <si>
    <t>W 12 x 4 x 16</t>
  </si>
  <si>
    <t>W 310 x 100 x 28.3</t>
  </si>
  <si>
    <t>W 12 x 4 x 19</t>
  </si>
  <si>
    <t>W 310 x 100 x 32.7</t>
  </si>
  <si>
    <t>W 12 x 4 x 22</t>
  </si>
  <si>
    <t>W 310 x 165 x 31</t>
  </si>
  <si>
    <t>W 12 x 6.5 x 21</t>
  </si>
  <si>
    <t>W 310 x 165 x 38.7</t>
  </si>
  <si>
    <t>W 12 x 6.5 x 26</t>
  </si>
  <si>
    <t>W 310 x 165 x 44.5</t>
  </si>
  <si>
    <t>W 12 x 6.5 x 30</t>
  </si>
  <si>
    <t>W 310 x 165 x 52</t>
  </si>
  <si>
    <t>W 12 x 6.5 x 35</t>
  </si>
  <si>
    <t>W 310 x 310 x 97</t>
  </si>
  <si>
    <t>W 12 x 12 x 65</t>
  </si>
  <si>
    <t>W 310 x 310 x 107</t>
  </si>
  <si>
    <t>W 12 x 12 x 72</t>
  </si>
  <si>
    <t>W 310 x 310 x 117</t>
  </si>
  <si>
    <t>W 12 x 12 x 79</t>
  </si>
  <si>
    <t>W 310 x 310 x 129</t>
  </si>
  <si>
    <t>W 12 x 12 x 87</t>
  </si>
  <si>
    <t>W 310 x 310 x 143</t>
  </si>
  <si>
    <t>W 12 x 12 x 96</t>
  </si>
  <si>
    <t>W 310 x 310 x 158</t>
  </si>
  <si>
    <t>W 12 x 12 x 106</t>
  </si>
  <si>
    <t>W 310 x 310 x 179</t>
  </si>
  <si>
    <t>W 12 x 12 x 120</t>
  </si>
  <si>
    <t>W 310 x 310 x 202</t>
  </si>
  <si>
    <t>W 12 x 12 x 136</t>
  </si>
  <si>
    <t>W 310 x 310 x 226</t>
  </si>
  <si>
    <t>W 12 x 12 x 152</t>
  </si>
  <si>
    <t>W 310 x 310 x 253</t>
  </si>
  <si>
    <t>W 12 x 12 x 170</t>
  </si>
  <si>
    <t>W 310 x 310 x 283</t>
  </si>
  <si>
    <t>W 12 x 12 x 190</t>
  </si>
  <si>
    <t>W 310 x 310 x 313</t>
  </si>
  <si>
    <t>W 12 x 12 x 210</t>
  </si>
  <si>
    <t>W 310 x 310 x 342</t>
  </si>
  <si>
    <t>W 12 x 12 x 230</t>
  </si>
  <si>
    <t>W 360 x 130 x 32.9</t>
  </si>
  <si>
    <t>W 14 x 5 x 22</t>
  </si>
  <si>
    <t>W 360 x 130 x 39.0</t>
  </si>
  <si>
    <t>W 14 x 5 x 26</t>
  </si>
  <si>
    <t>W 360 x 170 x 44</t>
  </si>
  <si>
    <t>W 14 x 6.75 x 30</t>
  </si>
  <si>
    <t>W 360 x 170 x 51</t>
  </si>
  <si>
    <t>W 14 x 6.75 x 34</t>
  </si>
  <si>
    <t>W 360 x 170 x 57.8</t>
  </si>
  <si>
    <t>W 14 x 6.75 x 38</t>
  </si>
  <si>
    <t>W 360 x 370 x 134</t>
  </si>
  <si>
    <t>W 14 x 14.5 x 90</t>
  </si>
  <si>
    <t>W 360 x 370 x 147</t>
  </si>
  <si>
    <t>W 14 x 14.5 x 99</t>
  </si>
  <si>
    <t>W 360 x 370 x 162</t>
  </si>
  <si>
    <t>W 14 x 14.5 x 109</t>
  </si>
  <si>
    <t>W 360 x 370 x 179</t>
  </si>
  <si>
    <t>W 14 x 14.5 x 120</t>
  </si>
  <si>
    <t>W 360 x 370 x 196</t>
  </si>
  <si>
    <t>W 14 x 14.5 x 132</t>
  </si>
  <si>
    <t>W 360 x 410 x 216</t>
  </si>
  <si>
    <t>W 14 x 16 x 145</t>
  </si>
  <si>
    <t>W 360 x 410 x 237</t>
  </si>
  <si>
    <t>W 14 x 16 x 159</t>
  </si>
  <si>
    <t>W 360 x 410 x 262</t>
  </si>
  <si>
    <t>W 14 x 16 x 176</t>
  </si>
  <si>
    <t>W 360 x 410 x 287</t>
  </si>
  <si>
    <t>W 14 x 16 x 193</t>
  </si>
  <si>
    <t>W 360 x 410 x 314</t>
  </si>
  <si>
    <t>W 14 x 16 x 211</t>
  </si>
  <si>
    <t>W 360 x 410 x 347</t>
  </si>
  <si>
    <t>W 14 x 16 x 233</t>
  </si>
  <si>
    <t>W 360 x 410 x 382</t>
  </si>
  <si>
    <t>W 14 x 16 x 257</t>
  </si>
  <si>
    <t>W 360 x 410 x 421</t>
  </si>
  <si>
    <t>W 14 x 16 x 283</t>
  </si>
  <si>
    <t>W 360 x 410 x 463</t>
  </si>
  <si>
    <t>W 14 x 16 x 311</t>
  </si>
  <si>
    <t>W 360 x 410 x 509</t>
  </si>
  <si>
    <t>W 14 x 16 x 342</t>
  </si>
  <si>
    <t>W 360 x 410 x 551</t>
  </si>
  <si>
    <t>W 14 x 16 x 370</t>
  </si>
  <si>
    <t>W 360 x 410 x 592</t>
  </si>
  <si>
    <t>W 14 x 16 x 398</t>
  </si>
  <si>
    <t>W 360 x 410 x 634</t>
  </si>
  <si>
    <t>W 14 x 16 x 426</t>
  </si>
  <si>
    <t>W 360 x 410 x 677</t>
  </si>
  <si>
    <t>W 14 x 16 x 455</t>
  </si>
  <si>
    <t>W 360 x 410 x 744</t>
  </si>
  <si>
    <t>W 14 x 16 x 500</t>
  </si>
  <si>
    <t>W 360 x 410 x 818</t>
  </si>
  <si>
    <t>W 14 x 16 x 550</t>
  </si>
  <si>
    <t>W 360 x 410 x 900</t>
  </si>
  <si>
    <t>W 14 x 16 x 605</t>
  </si>
  <si>
    <t>W 360 x 410 x 990</t>
  </si>
  <si>
    <t>W 14 x 16 x 665</t>
  </si>
  <si>
    <t xml:space="preserve">W 360 x 410 x 1086    </t>
  </si>
  <si>
    <t>W 14 x 16 x 730</t>
  </si>
  <si>
    <t>W 410 x 140 x 38.8</t>
  </si>
  <si>
    <t>W 16 x 5.5 x 26</t>
  </si>
  <si>
    <t>W 410 x 140 x 46.1</t>
  </si>
  <si>
    <t>W 16 x 5.5 x 31</t>
  </si>
  <si>
    <t>W 410 x 180 x 53</t>
  </si>
  <si>
    <t>W 16 x 7 x 36</t>
  </si>
  <si>
    <t>W 410 x 180 x 60</t>
  </si>
  <si>
    <t>W 16 x 7 x 40</t>
  </si>
  <si>
    <t>W 410 x 180 x 67</t>
  </si>
  <si>
    <t>W 16 x 7 x 45</t>
  </si>
  <si>
    <t>W 410 x 180 x 75</t>
  </si>
  <si>
    <t>W 16 x 7 x 50</t>
  </si>
  <si>
    <t>W 410 x 180 x 85</t>
  </si>
  <si>
    <t>W 16 x 7 x 57</t>
  </si>
  <si>
    <t>W 460 x 150 x 52</t>
  </si>
  <si>
    <t>W 18 x 6 x 35</t>
  </si>
  <si>
    <t>W 460 x 150 x 60</t>
  </si>
  <si>
    <t>W 18 x 6 x 40</t>
  </si>
  <si>
    <t>W 460 x 150 x 68</t>
  </si>
  <si>
    <t>W 18 x 6 x 46</t>
  </si>
  <si>
    <t>W 460 x 190 x 61</t>
  </si>
  <si>
    <t>W 18 x 7.5 x 41</t>
  </si>
  <si>
    <t>W 460 x 190 x 67</t>
  </si>
  <si>
    <t>W 18 x 7.5 x 45</t>
  </si>
  <si>
    <t>W 460 x 190 x 74</t>
  </si>
  <si>
    <t>W 18 x 7.5 x 50</t>
  </si>
  <si>
    <t>W 460 x 190 x 82</t>
  </si>
  <si>
    <t>W 18 x 7.5 x 55</t>
  </si>
  <si>
    <t>W 460 x 190 x 89</t>
  </si>
  <si>
    <t>W 18 x 7.5 x 60</t>
  </si>
  <si>
    <t>W 460 x 190 x 97</t>
  </si>
  <si>
    <t>W 18 x 7.5 x 65</t>
  </si>
  <si>
    <t>W 460 x 190 x 106</t>
  </si>
  <si>
    <t>W 18 x 7.5 x 71</t>
  </si>
  <si>
    <t>W 460 x 280 x 113</t>
  </si>
  <si>
    <t>W 18 x 11 x 76</t>
  </si>
  <si>
    <t>W 460 x 280 x 128</t>
  </si>
  <si>
    <t>W 18 x 11 x 86</t>
  </si>
  <si>
    <t>W 460 x 280 x 144</t>
  </si>
  <si>
    <t>W 18 x 11 x 97</t>
  </si>
  <si>
    <t>W 460 x 280 x 158</t>
  </si>
  <si>
    <t>W 18 x 11 x 106</t>
  </si>
  <si>
    <t>W 460 x 280 x 177</t>
  </si>
  <si>
    <t>W 18 x 11 x 119</t>
  </si>
  <si>
    <t>W 530 x 210 x 92</t>
  </si>
  <si>
    <t>W 21 x 8.25 x 62</t>
  </si>
  <si>
    <t>W 530 x 210 x 101</t>
  </si>
  <si>
    <t>W 21 x 8.25 x 68</t>
  </si>
  <si>
    <t>W 530 x 210 x 109</t>
  </si>
  <si>
    <t>W 21 x 8.25 x 73</t>
  </si>
  <si>
    <t>W 530 x 210 x 123</t>
  </si>
  <si>
    <t>W 21 x 8.25 x 83</t>
  </si>
  <si>
    <t>W 530 x 210 x 138</t>
  </si>
  <si>
    <t>W 21 x 8.25 x 93</t>
  </si>
  <si>
    <t>W 610 x 230 x 101</t>
  </si>
  <si>
    <t>W 24 x 9 x 68</t>
  </si>
  <si>
    <t>W 610 x 230 x 113</t>
  </si>
  <si>
    <t>W 24 x 9 x 76</t>
  </si>
  <si>
    <t>W 610 x 230 x 125</t>
  </si>
  <si>
    <t>W 24 x 9 x 84</t>
  </si>
  <si>
    <t>W 610 x 230 x 140</t>
  </si>
  <si>
    <t>W 24 x 9 x 94</t>
  </si>
  <si>
    <t>W 610 x 325 x 155</t>
  </si>
  <si>
    <t>W 24 x 12.75 x 104</t>
  </si>
  <si>
    <t>W 610 x 325 x 174</t>
  </si>
  <si>
    <t>W 24 x 12.75 x 117</t>
  </si>
  <si>
    <t>W 610 x 325 x 195</t>
  </si>
  <si>
    <t>W 24 x 12.75 x 131</t>
  </si>
  <si>
    <t>W 610 x 325 x 217</t>
  </si>
  <si>
    <t>W 24 x 12.75 x 146</t>
  </si>
  <si>
    <t>W 610 x 325 x 241</t>
  </si>
  <si>
    <t>W 24 x 12.75 x 162</t>
  </si>
  <si>
    <t>W 610 x 325 x 262</t>
  </si>
  <si>
    <t>W 24 x 12.75 x 176</t>
  </si>
  <si>
    <t>W 610 x 325 x 285</t>
  </si>
  <si>
    <t>W 24 x 12.75 x 192</t>
  </si>
  <si>
    <t>W 610 x 325 x 341</t>
  </si>
  <si>
    <t>W 24 x 12.75 x 229</t>
  </si>
  <si>
    <t>W 610 x 325 x 415</t>
  </si>
  <si>
    <t>W 24 x 12.75 x 279</t>
  </si>
  <si>
    <t>W 610 x 325 x 455</t>
  </si>
  <si>
    <t>W 24 x 12.75 x 306</t>
  </si>
  <si>
    <t>W 610 x 325 x 498</t>
  </si>
  <si>
    <t>W 24 x 12.75 x 335</t>
  </si>
  <si>
    <t>W 610 x 325 x 551</t>
  </si>
  <si>
    <t>W 24 x 12.75 x 370</t>
  </si>
  <si>
    <t>W 690 x 250 x 125</t>
  </si>
  <si>
    <t>W 27 x 10 x 84</t>
  </si>
  <si>
    <t>W 690 x 250 x 140</t>
  </si>
  <si>
    <t>W 27 x 10 x 94</t>
  </si>
  <si>
    <t>W 690 x 250 x 152</t>
  </si>
  <si>
    <t>W 27 x 10 x 102</t>
  </si>
  <si>
    <t>W 690 x 250 x 170</t>
  </si>
  <si>
    <t>W 27 x 10 x 114</t>
  </si>
  <si>
    <t>W 690 x 250 x 192</t>
  </si>
  <si>
    <t>W 27 x 10 x 129</t>
  </si>
  <si>
    <t>W 760 x 265 x 147</t>
  </si>
  <si>
    <t>W 30 x 10.5 x 99</t>
  </si>
  <si>
    <t>W 760 x 265 x 161</t>
  </si>
  <si>
    <t>W 30 x 10.5 x 108</t>
  </si>
  <si>
    <t>W 760 x 265 x 173</t>
  </si>
  <si>
    <t>W 30 x 10.5 x 116</t>
  </si>
  <si>
    <t>W 760 x 265 x 185</t>
  </si>
  <si>
    <t>W 30 x 10.5 x 124</t>
  </si>
  <si>
    <t>W 760 x 265 x 196</t>
  </si>
  <si>
    <t>W 30 x 10.5 x 132</t>
  </si>
  <si>
    <t>W 760 x 265 x 220</t>
  </si>
  <si>
    <t>W 30 x 10.5 x 148</t>
  </si>
  <si>
    <t>W 840 x 295 x 176</t>
  </si>
  <si>
    <t>W 33 x 11.5 x 118</t>
  </si>
  <si>
    <t>W 840 x 295 x 193</t>
  </si>
  <si>
    <t>W 33 x 11.5 x 130</t>
  </si>
  <si>
    <t>W 840 x 295 x 210</t>
  </si>
  <si>
    <t>W 33 x 11.5 x 141</t>
  </si>
  <si>
    <t>W 840 x 295 x 226</t>
  </si>
  <si>
    <t>W 33 x 11.5 x 152</t>
  </si>
  <si>
    <t>W 840 x 295 x 251</t>
  </si>
  <si>
    <t>W 33 x 11.5 x 169</t>
  </si>
  <si>
    <t>W 920 x 310 x 201</t>
  </si>
  <si>
    <t>W 36 x 12 x 135</t>
  </si>
  <si>
    <t>W 920 x 310 x 223</t>
  </si>
  <si>
    <t>W 36 x 12 x 150</t>
  </si>
  <si>
    <t>W 920 x 310 x 238</t>
  </si>
  <si>
    <t>W 36 x 12 x 160</t>
  </si>
  <si>
    <t>W 920 x 310 x 253</t>
  </si>
  <si>
    <t>W 36 x 12 x 170</t>
  </si>
  <si>
    <t>W 920 x 310 x 271</t>
  </si>
  <si>
    <t>W 36 x 12 x 182</t>
  </si>
  <si>
    <t>W 920 x 310 x 289</t>
  </si>
  <si>
    <t>W 36 x 12 x 194</t>
  </si>
  <si>
    <t>W 920 x 310 x 313</t>
  </si>
  <si>
    <t>W 36 x 12 x 210</t>
  </si>
  <si>
    <t>W 920 x 420 x 342</t>
  </si>
  <si>
    <t>W 36 x 16.5 x 230</t>
  </si>
  <si>
    <t>W 920 x 420 x 365</t>
  </si>
  <si>
    <t>W 36 x 16.5 x 245</t>
  </si>
  <si>
    <t>W 920 x 420 x 387</t>
  </si>
  <si>
    <t>W 36 x 16.5 x 260</t>
  </si>
  <si>
    <t>W 920 x 420 x 417</t>
  </si>
  <si>
    <t>W 36 x 16.5 x 280</t>
  </si>
  <si>
    <t>W 920 x 420 x 446</t>
  </si>
  <si>
    <t>W 36 x 16.5 x 300</t>
  </si>
  <si>
    <t>W 920 x 420 x 488</t>
  </si>
  <si>
    <t>W 36 x 16.5 x 328</t>
  </si>
  <si>
    <t>W 920 x 420 x 534</t>
  </si>
  <si>
    <t>W 36 x 16.5 x 359</t>
  </si>
  <si>
    <t>W 920 x 420 x 585</t>
  </si>
  <si>
    <t>W 36 x 16.5 x 393</t>
  </si>
  <si>
    <t>W 920 x 420 x 653</t>
  </si>
  <si>
    <t>W 36 x 16.5 x 439</t>
  </si>
  <si>
    <t>W 920 x 420 x 784</t>
  </si>
  <si>
    <t>W 36 x 16.5 x 527</t>
  </si>
  <si>
    <t>W 920 x 420 x 967</t>
  </si>
  <si>
    <t>W 36 x 16.5 x 650</t>
  </si>
  <si>
    <t>W 1000 x 300 x 222</t>
  </si>
  <si>
    <t>W 40 x 12 x 149</t>
  </si>
  <si>
    <t>W 1000 x 300 x 249</t>
  </si>
  <si>
    <t>W 40 x 12 x 167</t>
  </si>
  <si>
    <t>W 1000 x 300 x 272</t>
  </si>
  <si>
    <t>W 40 x 12 x 183</t>
  </si>
  <si>
    <t>W 1000 x 300 x 314</t>
  </si>
  <si>
    <t>W 40 x 12 x 211</t>
  </si>
  <si>
    <t>W 1000 x 300 x 350</t>
  </si>
  <si>
    <t>W 40 x 12 x 235</t>
  </si>
  <si>
    <t>W 1000 x 300 x 393</t>
  </si>
  <si>
    <t>W 40 x 12 x 264</t>
  </si>
  <si>
    <t>W 1000 x 300 x 415</t>
  </si>
  <si>
    <t>W 40 x 12 x 278</t>
  </si>
  <si>
    <t>W 1000 x 300 x 494</t>
  </si>
  <si>
    <t>W 40 x 12 x 331</t>
  </si>
  <si>
    <t>W 1000 x 300 x 584</t>
  </si>
  <si>
    <t>W 40 x 12 x 392</t>
  </si>
  <si>
    <t>W 1000 x 400 x 296</t>
  </si>
  <si>
    <t>W 40 x 16 x 199</t>
  </si>
  <si>
    <t>W 1000 x 400 x 321</t>
  </si>
  <si>
    <t>W 40 x 16 x 215</t>
  </si>
  <si>
    <t>W 1000 x 400 x 371</t>
  </si>
  <si>
    <t>W 40 x 16 x 249</t>
  </si>
  <si>
    <t>W 1000 x 400 x 412</t>
  </si>
  <si>
    <t>W 40 x 16 x 277</t>
  </si>
  <si>
    <t>W 1000 x 400 x 443</t>
  </si>
  <si>
    <t>W 40 x 16 x 297</t>
  </si>
  <si>
    <t>W 1000 x 400 x 483</t>
  </si>
  <si>
    <t>W 40 x 16 x 324</t>
  </si>
  <si>
    <t>W 1000 x 400 x 539</t>
  </si>
  <si>
    <t>W 40 x 16 x 362</t>
  </si>
  <si>
    <t>W 1000 x 400 x 591</t>
  </si>
  <si>
    <t>W 40 x 16 x 397</t>
  </si>
  <si>
    <t>W 1000 x 400 x 642</t>
  </si>
  <si>
    <t>W 40 x 16 x 431</t>
  </si>
  <si>
    <t>W 1000 x 400 x 748</t>
  </si>
  <si>
    <t>W 40 x 16 x 503</t>
  </si>
  <si>
    <t>W 1000 x 400 x 883</t>
  </si>
  <si>
    <t>W 40 x 16 x 593</t>
  </si>
  <si>
    <t>W 1100 x 400 x 343</t>
  </si>
  <si>
    <t>W 44 x 16 x 230</t>
  </si>
  <si>
    <t>W 1100 x 400 x 390</t>
  </si>
  <si>
    <t>W 44 x 16 x 262</t>
  </si>
  <si>
    <t>W 1100 x 400 x 433</t>
  </si>
  <si>
    <t>W 44 x 16 x 290</t>
  </si>
  <si>
    <t>W 1100 x 400 x 499</t>
  </si>
  <si>
    <t>W 44 x 16 x 335</t>
  </si>
  <si>
    <r>
      <t>I</t>
    </r>
    <r>
      <rPr>
        <vertAlign val="subscript"/>
        <sz val="12"/>
        <rFont val="Arial"/>
        <family val="2"/>
        <charset val="162"/>
      </rPr>
      <t>t</t>
    </r>
  </si>
  <si>
    <r>
      <t>I</t>
    </r>
    <r>
      <rPr>
        <vertAlign val="subscript"/>
        <sz val="10"/>
        <rFont val="Arial"/>
        <family val="2"/>
        <charset val="162"/>
      </rPr>
      <t>w</t>
    </r>
    <r>
      <rPr>
        <sz val="7"/>
        <rFont val="Arial"/>
        <family val="2"/>
        <charset val="162"/>
      </rPr>
      <t>x10</t>
    </r>
    <r>
      <rPr>
        <vertAlign val="superscript"/>
        <sz val="8"/>
        <rFont val="Arial"/>
        <family val="2"/>
        <charset val="162"/>
      </rPr>
      <t>-3</t>
    </r>
  </si>
  <si>
    <r>
      <t>cm</t>
    </r>
    <r>
      <rPr>
        <vertAlign val="superscript"/>
        <sz val="8"/>
        <rFont val="Arial"/>
        <family val="2"/>
        <charset val="162"/>
      </rPr>
      <t>6</t>
    </r>
  </si>
  <si>
    <t>HP 8 x 29</t>
  </si>
  <si>
    <t>HP 8 x 36</t>
  </si>
  <si>
    <t>HP 250 x 62</t>
  </si>
  <si>
    <t>HP 10 x 42</t>
  </si>
  <si>
    <t>HP 250 x 85</t>
  </si>
  <si>
    <t>HP 10 x 57</t>
  </si>
  <si>
    <t>HP 310 x 79</t>
  </si>
  <si>
    <t>HP 12 x 53</t>
  </si>
  <si>
    <t>HP 310 x 93</t>
  </si>
  <si>
    <t>HP 12 x 63</t>
  </si>
  <si>
    <t>HP 310 x 110</t>
  </si>
  <si>
    <t>HP 12 x 74</t>
  </si>
  <si>
    <t>HP 310 x 125</t>
  </si>
  <si>
    <t>HP 12 x 84</t>
  </si>
  <si>
    <t>HP 310 x 132</t>
  </si>
  <si>
    <t>HP 12 x 89</t>
  </si>
  <si>
    <t>HP 360 x 108</t>
  </si>
  <si>
    <t>HP 14 x 73</t>
  </si>
  <si>
    <t>HP 360 x 132</t>
  </si>
  <si>
    <t>HP 14 x 89</t>
  </si>
  <si>
    <t>HP 14 x 102</t>
  </si>
  <si>
    <t>HP 14 x 117</t>
  </si>
  <si>
    <t>UB 152 x 89 x 16</t>
  </si>
  <si>
    <t>UB 178 x 102 x 19</t>
  </si>
  <si>
    <t>UB 203 x 102 x 23</t>
  </si>
  <si>
    <t>UB 203 x 133 x 25</t>
  </si>
  <si>
    <t>UB 203 x 133 x 30</t>
  </si>
  <si>
    <t>UB 254 x 102 x 22</t>
  </si>
  <si>
    <t>UB 254 x 102 x 25</t>
  </si>
  <si>
    <t>UB 254 x 102 x 28</t>
  </si>
  <si>
    <t>UB 254 x 146 x 31</t>
  </si>
  <si>
    <t>UB 254 x 146 x 37</t>
  </si>
  <si>
    <t>UB 254 x 146 x 43</t>
  </si>
  <si>
    <t>UB 305 x 102 x 25</t>
  </si>
  <si>
    <t>UB 305 x 102 x 28</t>
  </si>
  <si>
    <t>UB 305 x 102 x 33</t>
  </si>
  <si>
    <t>UB 305 x 165 x 40</t>
  </si>
  <si>
    <t>UB 305 x 165 x 46</t>
  </si>
  <si>
    <t>UB 305 x 165 x 54</t>
  </si>
  <si>
    <t>UB 356 x 127 x 33</t>
  </si>
  <si>
    <t>UB 356 x 127 x 39</t>
  </si>
  <si>
    <t>UB 356 x 171 x 45</t>
  </si>
  <si>
    <t>UB 356 x 171 x 51</t>
  </si>
  <si>
    <t>UB 356 x 171 x 57</t>
  </si>
  <si>
    <t>UB 356 x 171 x 67</t>
  </si>
  <si>
    <t>UB 406 x 140 x 39</t>
  </si>
  <si>
    <t>UB 406 x 140 x 46</t>
  </si>
  <si>
    <t>UB 406 x 178 x 54</t>
  </si>
  <si>
    <t>UB 406 x 178 x 60</t>
  </si>
  <si>
    <t>UB 406 x 178 x 67</t>
  </si>
  <si>
    <t>UB 406 x 178 x 74</t>
  </si>
  <si>
    <t>UB 457 x 152 x 52</t>
  </si>
  <si>
    <t>UB 457 x 152 x 60</t>
  </si>
  <si>
    <t>UB 457 x 152 x 67</t>
  </si>
  <si>
    <t>UB 457 x 152 x 74</t>
  </si>
  <si>
    <t>UB 457 x 152 x 82</t>
  </si>
  <si>
    <t>UB 457 x 191 x 67</t>
  </si>
  <si>
    <t>UB 457 x 191 x 74</t>
  </si>
  <si>
    <t>UB 457 x 191 x 82</t>
  </si>
  <si>
    <t>UB 457 x 191 x 89</t>
  </si>
  <si>
    <t>UB 457 x 191 x 98</t>
  </si>
  <si>
    <t>UB 533 x 210 x 82</t>
  </si>
  <si>
    <t>UB 533 x 210 x 92</t>
  </si>
  <si>
    <t>UB 533 x 210 x 101</t>
  </si>
  <si>
    <t>UB 533 x 210 x 109</t>
  </si>
  <si>
    <t>UB 533 x 210 x 122</t>
  </si>
  <si>
    <t>UB 610 x 229 x 101</t>
  </si>
  <si>
    <t>UB 610 x 229 x 113</t>
  </si>
  <si>
    <t>UB 610 x 229 x 125</t>
  </si>
  <si>
    <t>UB 610 x 229 x 140</t>
  </si>
  <si>
    <t>UB 610 x 305 x 149</t>
  </si>
  <si>
    <t>UB 610 x 305 x 179</t>
  </si>
  <si>
    <t>UB 610 x 305 x 238</t>
  </si>
  <si>
    <t>UB 686 x 254 x 125</t>
  </si>
  <si>
    <t>UB 686 x 254 x 140</t>
  </si>
  <si>
    <t>UB 686 x 254 x 152</t>
  </si>
  <si>
    <t>UB 686 x 254 x 170</t>
  </si>
  <si>
    <t>UB 762 x 267 x 147</t>
  </si>
  <si>
    <t>UB 762 x 267 x 173</t>
  </si>
  <si>
    <t>UB 762 x 267 x 197</t>
  </si>
  <si>
    <t>UB 838 x 292 x 176</t>
  </si>
  <si>
    <t>UB 838 x 292 x 194</t>
  </si>
  <si>
    <t>UB 838 x 292 x 226</t>
  </si>
  <si>
    <t>UB 914 x 305 x 201</t>
  </si>
  <si>
    <t>UB 914 x 305 x 224</t>
  </si>
  <si>
    <t>UB 914 x 305 x 253</t>
  </si>
  <si>
    <t>UB 914 x 305 x 289</t>
  </si>
  <si>
    <t>UB 914 x 419 x 343</t>
  </si>
  <si>
    <t>UB 914 x 419 x 388</t>
  </si>
  <si>
    <t>UBP 203 x 203 x 45</t>
  </si>
  <si>
    <t>UBP 203 x 203 x 54</t>
  </si>
  <si>
    <t>UBP 254 x 254 x 63</t>
  </si>
  <si>
    <t>UBP 254 x 254 x 71</t>
  </si>
  <si>
    <t>UBP 254 x 254 x 85</t>
  </si>
  <si>
    <t>UBP 305 x 305 x 79</t>
  </si>
  <si>
    <t>UBP 305 x 305 x 88</t>
  </si>
  <si>
    <t>UBP 305 x 305 x 95</t>
  </si>
  <si>
    <t>UBP 305 x 305 x 110</t>
  </si>
  <si>
    <t>UBP 305 x 305 x 126</t>
  </si>
  <si>
    <t>UBP 305 x 305 x 149</t>
  </si>
  <si>
    <t>UBP 305 x 305 x 186</t>
  </si>
  <si>
    <t>UBP 305 x 305 x 223</t>
  </si>
  <si>
    <t>UBP 356 x 368 x 109</t>
  </si>
  <si>
    <t>UBP 356 x 368 x 133</t>
  </si>
  <si>
    <t>UBP 356 x 368 x 152</t>
  </si>
  <si>
    <t>UBP 356 x 368 x 174</t>
  </si>
  <si>
    <r>
      <t>I</t>
    </r>
    <r>
      <rPr>
        <vertAlign val="subscript"/>
        <sz val="10"/>
        <color indexed="8"/>
        <rFont val="Arial"/>
        <family val="2"/>
        <charset val="162"/>
      </rPr>
      <t>w</t>
    </r>
    <r>
      <rPr>
        <sz val="8"/>
        <color indexed="8"/>
        <rFont val="Arial"/>
        <family val="2"/>
        <charset val="162"/>
      </rPr>
      <t>x10</t>
    </r>
    <r>
      <rPr>
        <vertAlign val="superscript"/>
        <sz val="8"/>
        <color indexed="8"/>
        <rFont val="Arial"/>
        <family val="2"/>
        <charset val="162"/>
      </rPr>
      <t>-3</t>
    </r>
  </si>
  <si>
    <t>UC 152 x 152 x 23</t>
  </si>
  <si>
    <t>UC 152 x 152 x 30</t>
  </si>
  <si>
    <t>UC 152 x 152 x 37</t>
  </si>
  <si>
    <t>UC 203 x 203 x 46</t>
  </si>
  <si>
    <t>UC 203 x 203 x 52</t>
  </si>
  <si>
    <t>UC 203 x 203 x 60</t>
  </si>
  <si>
    <t>UC 203 x 203 x 71</t>
  </si>
  <si>
    <t>UC 203 x 203 x 86</t>
  </si>
  <si>
    <t>UC 254 x 254 x 73</t>
  </si>
  <si>
    <t>UC 254 x 254 x 89</t>
  </si>
  <si>
    <t>UC 254 x 254 x 107</t>
  </si>
  <si>
    <t>UC 254 x 254 x 132</t>
  </si>
  <si>
    <t>UC 254 x 254 x 167</t>
  </si>
  <si>
    <t>UC 305 x 305 x 97</t>
  </si>
  <si>
    <t>UC 305 x 305 x 118</t>
  </si>
  <si>
    <t>UC 305 x 305 x 137</t>
  </si>
  <si>
    <t>UC 305 x 305 x 158</t>
  </si>
  <si>
    <t>UC 305 x 305 x 198</t>
  </si>
  <si>
    <t>UC 305 x 305 x 240</t>
  </si>
  <si>
    <t>UC 305 x 305 x 283</t>
  </si>
  <si>
    <t>UC 356 x 368 x 129</t>
  </si>
  <si>
    <t>UC 356 x 368 x 153</t>
  </si>
  <si>
    <t>UC 356 x 368 x 177</t>
  </si>
  <si>
    <t>UC 356 x 368 x 202</t>
  </si>
  <si>
    <t>UC 356 x 406 x 235</t>
  </si>
  <si>
    <t>UC 356 x 406 x 287</t>
  </si>
  <si>
    <t>UC 356 x 406 x 340</t>
  </si>
  <si>
    <t>UC 356 x 406 x 393</t>
  </si>
  <si>
    <t>UC 356 x 406 x 467</t>
  </si>
  <si>
    <t>UC 356 x 406 x 551</t>
  </si>
  <si>
    <t>UC 356 x 406 x 634</t>
  </si>
  <si>
    <r>
      <t>e</t>
    </r>
    <r>
      <rPr>
        <vertAlign val="subscript"/>
        <sz val="12"/>
        <rFont val="Arial"/>
        <family val="2"/>
        <charset val="162"/>
      </rPr>
      <t>min</t>
    </r>
  </si>
  <si>
    <r>
      <t>e</t>
    </r>
    <r>
      <rPr>
        <vertAlign val="subscript"/>
        <sz val="12"/>
        <rFont val="Arial"/>
        <family val="2"/>
        <charset val="162"/>
      </rPr>
      <t>max</t>
    </r>
  </si>
  <si>
    <r>
      <t>I</t>
    </r>
    <r>
      <rPr>
        <vertAlign val="subscript"/>
        <sz val="10"/>
        <color indexed="8"/>
        <rFont val="Arial"/>
        <family val="2"/>
        <charset val="162"/>
      </rPr>
      <t>w</t>
    </r>
    <r>
      <rPr>
        <sz val="8"/>
        <color indexed="8"/>
        <rFont val="Arial"/>
        <family val="2"/>
        <charset val="162"/>
      </rPr>
      <t>x10</t>
    </r>
    <r>
      <rPr>
        <vertAlign val="superscript"/>
        <sz val="10"/>
        <color indexed="8"/>
        <rFont val="Arial"/>
        <family val="2"/>
        <charset val="162"/>
      </rPr>
      <t>-3</t>
    </r>
  </si>
  <si>
    <r>
      <t>y</t>
    </r>
    <r>
      <rPr>
        <vertAlign val="subscript"/>
        <sz val="12"/>
        <color indexed="8"/>
        <rFont val="Arial"/>
        <family val="2"/>
        <charset val="162"/>
      </rPr>
      <t>s</t>
    </r>
  </si>
  <si>
    <r>
      <t>y</t>
    </r>
    <r>
      <rPr>
        <vertAlign val="subscript"/>
        <sz val="12"/>
        <color indexed="8"/>
        <rFont val="Arial"/>
        <family val="2"/>
        <charset val="162"/>
      </rPr>
      <t>m</t>
    </r>
  </si>
  <si>
    <r>
      <t>m</t>
    </r>
    <r>
      <rPr>
        <vertAlign val="superscript"/>
        <sz val="9"/>
        <rFont val="Arial"/>
        <family val="2"/>
        <charset val="162"/>
      </rPr>
      <t>2</t>
    </r>
    <r>
      <rPr>
        <sz val="8"/>
        <rFont val="Arial"/>
        <family val="2"/>
        <charset val="162"/>
      </rPr>
      <t>/m</t>
    </r>
  </si>
  <si>
    <r>
      <t xml:space="preserve"> m</t>
    </r>
    <r>
      <rPr>
        <vertAlign val="superscript"/>
        <sz val="9"/>
        <rFont val="Arial"/>
        <family val="2"/>
        <charset val="162"/>
      </rPr>
      <t>2</t>
    </r>
    <r>
      <rPr>
        <sz val="8"/>
        <rFont val="Arial"/>
        <family val="2"/>
        <charset val="162"/>
      </rPr>
      <t>/t</t>
    </r>
  </si>
  <si>
    <r>
      <t>cm</t>
    </r>
    <r>
      <rPr>
        <vertAlign val="superscript"/>
        <sz val="10"/>
        <color indexed="8"/>
        <rFont val="Arial"/>
        <family val="2"/>
        <charset val="162"/>
      </rPr>
      <t>4</t>
    </r>
  </si>
  <si>
    <r>
      <t>cm</t>
    </r>
    <r>
      <rPr>
        <vertAlign val="superscript"/>
        <sz val="10"/>
        <color indexed="8"/>
        <rFont val="Arial"/>
        <family val="2"/>
        <charset val="162"/>
      </rPr>
      <t>6</t>
    </r>
  </si>
  <si>
    <t>UAP 80</t>
  </si>
  <si>
    <t>UAP 100</t>
  </si>
  <si>
    <t>UAP 130</t>
  </si>
  <si>
    <t>UAP 150</t>
  </si>
  <si>
    <t>UAP 175</t>
  </si>
  <si>
    <t>UAP 200</t>
  </si>
  <si>
    <t>UAP 220</t>
  </si>
  <si>
    <t>UAP 250</t>
  </si>
  <si>
    <t>UAP 300</t>
  </si>
  <si>
    <r>
      <t>cm</t>
    </r>
    <r>
      <rPr>
        <vertAlign val="superscript"/>
        <sz val="9"/>
        <rFont val="Arial"/>
        <family val="2"/>
        <charset val="162"/>
      </rPr>
      <t>4</t>
    </r>
  </si>
  <si>
    <t>UPN 100</t>
  </si>
  <si>
    <t>UPN 120</t>
  </si>
  <si>
    <t>UPN 140</t>
  </si>
  <si>
    <t>UPN 160</t>
  </si>
  <si>
    <t>UPN 180</t>
  </si>
  <si>
    <t>UPN 200</t>
  </si>
  <si>
    <t>UPN 220</t>
  </si>
  <si>
    <t>UPN 240</t>
  </si>
  <si>
    <t>UPN 260</t>
  </si>
  <si>
    <t>UPN 280</t>
  </si>
  <si>
    <t>UPN 300</t>
  </si>
  <si>
    <t>UPN 320</t>
  </si>
  <si>
    <t>UPN 350</t>
  </si>
  <si>
    <t>UPN 380</t>
  </si>
  <si>
    <t>UPN 400</t>
  </si>
  <si>
    <t>h = b</t>
  </si>
  <si>
    <t>t</t>
  </si>
  <si>
    <r>
      <t>r</t>
    </r>
    <r>
      <rPr>
        <vertAlign val="subscript"/>
        <sz val="8"/>
        <color indexed="8"/>
        <rFont val="Arial"/>
        <family val="2"/>
        <charset val="162"/>
      </rPr>
      <t>1</t>
    </r>
  </si>
  <si>
    <r>
      <t>r</t>
    </r>
    <r>
      <rPr>
        <vertAlign val="subscript"/>
        <sz val="8"/>
        <color indexed="8"/>
        <rFont val="Arial"/>
        <family val="2"/>
        <charset val="162"/>
      </rPr>
      <t>2</t>
    </r>
  </si>
  <si>
    <t>f</t>
  </si>
  <si>
    <r>
      <t xml:space="preserve">e </t>
    </r>
    <r>
      <rPr>
        <vertAlign val="subscript"/>
        <sz val="8"/>
        <color indexed="8"/>
        <rFont val="Arial"/>
        <family val="2"/>
        <charset val="162"/>
      </rPr>
      <t>min</t>
    </r>
  </si>
  <si>
    <r>
      <t>e</t>
    </r>
    <r>
      <rPr>
        <vertAlign val="subscript"/>
        <sz val="8"/>
        <color indexed="8"/>
        <rFont val="Arial"/>
        <family val="2"/>
        <charset val="162"/>
      </rPr>
      <t xml:space="preserve"> max</t>
    </r>
  </si>
  <si>
    <r>
      <t>A</t>
    </r>
    <r>
      <rPr>
        <vertAlign val="subscript"/>
        <sz val="8"/>
        <color indexed="8"/>
        <rFont val="Arial"/>
        <family val="2"/>
        <charset val="162"/>
      </rPr>
      <t xml:space="preserve"> net</t>
    </r>
  </si>
  <si>
    <r>
      <t>cm</t>
    </r>
    <r>
      <rPr>
        <vertAlign val="superscript"/>
        <sz val="8"/>
        <color indexed="8"/>
        <rFont val="Arial"/>
        <family val="2"/>
        <charset val="162"/>
      </rPr>
      <t>4</t>
    </r>
    <r>
      <rPr>
        <sz val="8"/>
        <color indexed="8"/>
        <rFont val="Arial"/>
        <family val="2"/>
        <charset val="162"/>
      </rPr>
      <t xml:space="preserve"> </t>
    </r>
  </si>
  <si>
    <t>L 100 x 100 x 8</t>
  </si>
  <si>
    <t>L 100 x 100 x 10</t>
  </si>
  <si>
    <t>L 100 x 100 x 12</t>
  </si>
  <si>
    <t>L 110 x 110 x 10</t>
  </si>
  <si>
    <t>L 110 x 110 x 12</t>
  </si>
  <si>
    <t>L 120 x 120 x 10</t>
  </si>
  <si>
    <t>L 120 x 120 x 11</t>
  </si>
  <si>
    <t>L 120 x 120 x 12</t>
  </si>
  <si>
    <t>L 120 x 120 x 13</t>
  </si>
  <si>
    <t>L 120 x 120 x 15</t>
  </si>
  <si>
    <t>L 130 x 130 x 12</t>
  </si>
  <si>
    <t>L 140 x 140 x 10</t>
  </si>
  <si>
    <t>L 140 x 140 x 13</t>
  </si>
  <si>
    <t>L 150 x 150 x 10</t>
  </si>
  <si>
    <t>L 150 x 150 x 12</t>
  </si>
  <si>
    <t>L 150 x 150 x 14</t>
  </si>
  <si>
    <t>L 150 x 150 x 15</t>
  </si>
  <si>
    <t>L 150 x 150 x 18</t>
  </si>
  <si>
    <t>L 160 x 160 x 14</t>
  </si>
  <si>
    <t>L 160 x 160 x 15</t>
  </si>
  <si>
    <t>L 160 x 160 x 16</t>
  </si>
  <si>
    <t>L 160 x 160 x 17</t>
  </si>
  <si>
    <t>L 180 x 180 x 13</t>
  </si>
  <si>
    <t>L 180 x 180 x 14</t>
  </si>
  <si>
    <t>L 180 x 180 x 15</t>
  </si>
  <si>
    <t>L 180 x 180 x 16</t>
  </si>
  <si>
    <t>L 180 x 180 x 17</t>
  </si>
  <si>
    <t>L 180 x 180 x 18</t>
  </si>
  <si>
    <t>L 180 x 180 x 19</t>
  </si>
  <si>
    <t>L 180 x 180 x 20</t>
  </si>
  <si>
    <t>L 200 x 200 x 15</t>
  </si>
  <si>
    <t>L 200 x 200 x 16</t>
  </si>
  <si>
    <t>L 200 x 200 x 17</t>
  </si>
  <si>
    <t>L 200 x 200 x 18</t>
  </si>
  <si>
    <t>L 200 x 200 x 19</t>
  </si>
  <si>
    <t>L 200 x 200 x 20</t>
  </si>
  <si>
    <t>L 200 x 200 x 21</t>
  </si>
  <si>
    <t>L 200 x 200 x 22</t>
  </si>
  <si>
    <t>L 200 x 200 x 23</t>
  </si>
  <si>
    <t>L 200 x 200 x 24</t>
  </si>
  <si>
    <t>L 200 x 200 x 25</t>
  </si>
  <si>
    <t>L 200 x 200 x 26</t>
  </si>
  <si>
    <t>L 250 x 250 x 20</t>
  </si>
  <si>
    <t>L 250 x 250 x 21</t>
  </si>
  <si>
    <t>L 250 x 250 x 22</t>
  </si>
  <si>
    <t>L 250 x 250 x 23</t>
  </si>
  <si>
    <t>L 250 x 250 x 24</t>
  </si>
  <si>
    <t>L 250 x 250 x 25</t>
  </si>
  <si>
    <t>L 250 x 250 x 26</t>
  </si>
  <si>
    <t>L 250 x 250 x 27</t>
  </si>
  <si>
    <t>L 250 x 250 x 28</t>
  </si>
  <si>
    <t>L 203 x 203 x 19</t>
  </si>
  <si>
    <t>L 203 x 203 x 22.2</t>
  </si>
  <si>
    <t>L 203 x 203 x 25.4</t>
  </si>
  <si>
    <t>L 203 x 203 x 28.6</t>
  </si>
  <si>
    <r>
      <t>r</t>
    </r>
    <r>
      <rPr>
        <vertAlign val="subscript"/>
        <sz val="14"/>
        <rFont val="Arial"/>
        <family val="2"/>
        <charset val="162"/>
      </rPr>
      <t>1</t>
    </r>
  </si>
  <si>
    <r>
      <t>r</t>
    </r>
    <r>
      <rPr>
        <vertAlign val="subscript"/>
        <sz val="14"/>
        <rFont val="Arial"/>
        <family val="2"/>
        <charset val="162"/>
      </rPr>
      <t>2</t>
    </r>
  </si>
  <si>
    <r>
      <t>z</t>
    </r>
    <r>
      <rPr>
        <vertAlign val="subscript"/>
        <sz val="14"/>
        <rFont val="Arial"/>
        <family val="2"/>
        <charset val="162"/>
      </rPr>
      <t>s</t>
    </r>
    <r>
      <rPr>
        <sz val="8"/>
        <rFont val="Helv"/>
        <charset val="162"/>
      </rPr>
      <t/>
    </r>
  </si>
  <si>
    <r>
      <t>y</t>
    </r>
    <r>
      <rPr>
        <vertAlign val="subscript"/>
        <sz val="14"/>
        <rFont val="Arial"/>
        <family val="2"/>
        <charset val="162"/>
      </rPr>
      <t>s</t>
    </r>
  </si>
  <si>
    <r>
      <t>v</t>
    </r>
    <r>
      <rPr>
        <vertAlign val="subscript"/>
        <sz val="14"/>
        <rFont val="Arial"/>
        <family val="2"/>
        <charset val="162"/>
      </rPr>
      <t>1</t>
    </r>
  </si>
  <si>
    <r>
      <t>v</t>
    </r>
    <r>
      <rPr>
        <vertAlign val="subscript"/>
        <sz val="14"/>
        <rFont val="Arial"/>
        <family val="2"/>
        <charset val="162"/>
      </rPr>
      <t>2</t>
    </r>
  </si>
  <si>
    <r>
      <t>u</t>
    </r>
    <r>
      <rPr>
        <vertAlign val="subscript"/>
        <sz val="14"/>
        <rFont val="Arial"/>
        <family val="2"/>
        <charset val="162"/>
      </rPr>
      <t>1</t>
    </r>
  </si>
  <si>
    <r>
      <t>u</t>
    </r>
    <r>
      <rPr>
        <vertAlign val="subscript"/>
        <sz val="14"/>
        <rFont val="Arial"/>
        <family val="2"/>
        <charset val="162"/>
      </rPr>
      <t>2</t>
    </r>
  </si>
  <si>
    <r>
      <t xml:space="preserve">u </t>
    </r>
    <r>
      <rPr>
        <vertAlign val="subscript"/>
        <sz val="14"/>
        <rFont val="Arial"/>
        <family val="2"/>
        <charset val="162"/>
      </rPr>
      <t>3</t>
    </r>
  </si>
  <si>
    <r>
      <t>A</t>
    </r>
    <r>
      <rPr>
        <vertAlign val="subscript"/>
        <sz val="14"/>
        <rFont val="Arial"/>
        <family val="2"/>
        <charset val="162"/>
      </rPr>
      <t>L</t>
    </r>
  </si>
  <si>
    <r>
      <t>A</t>
    </r>
    <r>
      <rPr>
        <vertAlign val="subscript"/>
        <sz val="14"/>
        <rFont val="Arial"/>
        <family val="2"/>
        <charset val="162"/>
      </rPr>
      <t>G</t>
    </r>
  </si>
  <si>
    <r>
      <t>I</t>
    </r>
    <r>
      <rPr>
        <vertAlign val="subscript"/>
        <sz val="14"/>
        <rFont val="Arial"/>
        <family val="2"/>
        <charset val="162"/>
      </rPr>
      <t>y</t>
    </r>
    <r>
      <rPr>
        <sz val="8"/>
        <rFont val="Helv"/>
        <charset val="162"/>
      </rPr>
      <t/>
    </r>
  </si>
  <si>
    <r>
      <t>i</t>
    </r>
    <r>
      <rPr>
        <vertAlign val="subscript"/>
        <sz val="14"/>
        <rFont val="Arial"/>
        <family val="2"/>
        <charset val="162"/>
      </rPr>
      <t>y</t>
    </r>
    <r>
      <rPr>
        <sz val="8"/>
        <rFont val="Helv"/>
        <charset val="162"/>
      </rPr>
      <t/>
    </r>
  </si>
  <si>
    <r>
      <t>I</t>
    </r>
    <r>
      <rPr>
        <vertAlign val="subscript"/>
        <sz val="14"/>
        <rFont val="Arial"/>
        <family val="2"/>
        <charset val="162"/>
      </rPr>
      <t>z</t>
    </r>
  </si>
  <si>
    <r>
      <t>i</t>
    </r>
    <r>
      <rPr>
        <vertAlign val="subscript"/>
        <sz val="14"/>
        <rFont val="Arial"/>
        <family val="2"/>
        <charset val="162"/>
      </rPr>
      <t>z</t>
    </r>
  </si>
  <si>
    <r>
      <t>I</t>
    </r>
    <r>
      <rPr>
        <vertAlign val="subscript"/>
        <sz val="14"/>
        <rFont val="Arial"/>
        <family val="2"/>
        <charset val="162"/>
      </rPr>
      <t>u</t>
    </r>
  </si>
  <si>
    <r>
      <t>i</t>
    </r>
    <r>
      <rPr>
        <vertAlign val="subscript"/>
        <sz val="14"/>
        <rFont val="Arial"/>
        <family val="2"/>
        <charset val="162"/>
      </rPr>
      <t>u</t>
    </r>
  </si>
  <si>
    <r>
      <t>I</t>
    </r>
    <r>
      <rPr>
        <vertAlign val="subscript"/>
        <sz val="14"/>
        <rFont val="Arial"/>
        <family val="2"/>
        <charset val="162"/>
      </rPr>
      <t>v</t>
    </r>
  </si>
  <si>
    <r>
      <t>i</t>
    </r>
    <r>
      <rPr>
        <vertAlign val="subscript"/>
        <sz val="14"/>
        <rFont val="Arial"/>
        <family val="2"/>
        <charset val="162"/>
      </rPr>
      <t>v</t>
    </r>
  </si>
  <si>
    <r>
      <t xml:space="preserve"> I</t>
    </r>
    <r>
      <rPr>
        <vertAlign val="subscript"/>
        <sz val="14"/>
        <rFont val="Arial"/>
        <family val="2"/>
        <charset val="162"/>
      </rPr>
      <t>yz</t>
    </r>
  </si>
  <si>
    <t>a</t>
  </si>
  <si>
    <r>
      <t>f</t>
    </r>
    <r>
      <rPr>
        <vertAlign val="subscript"/>
        <sz val="14"/>
        <rFont val="Arial"/>
        <family val="2"/>
        <charset val="162"/>
      </rPr>
      <t>z</t>
    </r>
  </si>
  <si>
    <r>
      <t>e</t>
    </r>
    <r>
      <rPr>
        <vertAlign val="subscript"/>
        <sz val="10"/>
        <rFont val="Arial"/>
        <family val="2"/>
        <charset val="162"/>
      </rPr>
      <t>z.min</t>
    </r>
  </si>
  <si>
    <r>
      <t>e</t>
    </r>
    <r>
      <rPr>
        <vertAlign val="subscript"/>
        <sz val="10"/>
        <rFont val="Arial"/>
        <family val="2"/>
        <charset val="162"/>
      </rPr>
      <t>z.max</t>
    </r>
  </si>
  <si>
    <r>
      <t>A</t>
    </r>
    <r>
      <rPr>
        <vertAlign val="subscript"/>
        <sz val="10"/>
        <rFont val="Arial"/>
        <family val="2"/>
        <charset val="162"/>
      </rPr>
      <t>z.net</t>
    </r>
  </si>
  <si>
    <r>
      <t>f</t>
    </r>
    <r>
      <rPr>
        <vertAlign val="subscript"/>
        <sz val="14"/>
        <rFont val="Arial"/>
        <family val="2"/>
        <charset val="162"/>
      </rPr>
      <t>y</t>
    </r>
  </si>
  <si>
    <r>
      <t>e</t>
    </r>
    <r>
      <rPr>
        <vertAlign val="subscript"/>
        <sz val="10"/>
        <rFont val="Arial"/>
        <family val="2"/>
        <charset val="162"/>
      </rPr>
      <t>y.min</t>
    </r>
  </si>
  <si>
    <r>
      <t>e</t>
    </r>
    <r>
      <rPr>
        <vertAlign val="subscript"/>
        <sz val="10"/>
        <rFont val="Arial"/>
        <family val="2"/>
        <charset val="162"/>
      </rPr>
      <t>y.max</t>
    </r>
  </si>
  <si>
    <r>
      <t>A</t>
    </r>
    <r>
      <rPr>
        <vertAlign val="subscript"/>
        <sz val="10"/>
        <rFont val="Arial"/>
        <family val="2"/>
        <charset val="162"/>
      </rPr>
      <t>y.net</t>
    </r>
  </si>
  <si>
    <r>
      <t>cm</t>
    </r>
    <r>
      <rPr>
        <vertAlign val="superscript"/>
        <sz val="12"/>
        <rFont val="Arial"/>
        <family val="2"/>
        <charset val="162"/>
      </rPr>
      <t>2</t>
    </r>
  </si>
  <si>
    <r>
      <t>m</t>
    </r>
    <r>
      <rPr>
        <vertAlign val="superscript"/>
        <sz val="12"/>
        <rFont val="Arial"/>
        <family val="2"/>
        <charset val="162"/>
      </rPr>
      <t>2</t>
    </r>
    <r>
      <rPr>
        <sz val="8"/>
        <rFont val="Arial"/>
        <family val="2"/>
        <charset val="162"/>
      </rPr>
      <t>/m</t>
    </r>
  </si>
  <si>
    <r>
      <t xml:space="preserve"> m</t>
    </r>
    <r>
      <rPr>
        <vertAlign val="superscript"/>
        <sz val="12"/>
        <rFont val="Arial"/>
        <family val="2"/>
        <charset val="162"/>
      </rPr>
      <t>2</t>
    </r>
    <r>
      <rPr>
        <sz val="8"/>
        <rFont val="Arial"/>
        <family val="2"/>
        <charset val="162"/>
      </rPr>
      <t>/t</t>
    </r>
  </si>
  <si>
    <r>
      <t>cm</t>
    </r>
    <r>
      <rPr>
        <vertAlign val="superscript"/>
        <sz val="12"/>
        <rFont val="Arial"/>
        <family val="2"/>
        <charset val="162"/>
      </rPr>
      <t>4</t>
    </r>
    <r>
      <rPr>
        <sz val="8"/>
        <rFont val="Arial"/>
        <family val="2"/>
        <charset val="162"/>
      </rPr>
      <t xml:space="preserve"> </t>
    </r>
  </si>
  <si>
    <r>
      <t>cm</t>
    </r>
    <r>
      <rPr>
        <vertAlign val="superscript"/>
        <sz val="12"/>
        <rFont val="Arial"/>
        <family val="2"/>
        <charset val="162"/>
      </rPr>
      <t>3</t>
    </r>
  </si>
  <si>
    <r>
      <t>cm</t>
    </r>
    <r>
      <rPr>
        <vertAlign val="superscript"/>
        <sz val="12"/>
        <rFont val="Arial"/>
        <family val="2"/>
        <charset val="162"/>
      </rPr>
      <t>4</t>
    </r>
  </si>
  <si>
    <t>°</t>
  </si>
  <si>
    <t>L 120 x 80 x 8</t>
  </si>
  <si>
    <t>L 120 x 80 x 10</t>
  </si>
  <si>
    <t>L 120 x 80 x 12</t>
  </si>
  <si>
    <t>L 130 x 65 x 8</t>
  </si>
  <si>
    <t>L 130 x 65 x 10</t>
  </si>
  <si>
    <t>L 150 x 90 x 10</t>
  </si>
  <si>
    <t>L 150 x 90 x 11</t>
  </si>
  <si>
    <t>L 150 x 100 x 10</t>
  </si>
  <si>
    <t>L 150 x 100 x 12</t>
  </si>
  <si>
    <t>L 150 x 100 x 14</t>
  </si>
  <si>
    <t>L 160 x 80 x 10</t>
  </si>
  <si>
    <t>L 160 x 80 x 12</t>
  </si>
  <si>
    <t>L 200 x 100 x 10</t>
  </si>
  <si>
    <t>L 200 x 100 x 12</t>
  </si>
  <si>
    <t>L 200 x 100 x 14</t>
  </si>
  <si>
    <t>C 200 x 17.1</t>
  </si>
  <si>
    <t>C 8 x 11.5</t>
  </si>
  <si>
    <t>C 200 x 20.5</t>
  </si>
  <si>
    <t>C 8 x 13.75</t>
  </si>
  <si>
    <t>C 200 x 27.9</t>
  </si>
  <si>
    <t>C 8 x 18.75</t>
  </si>
  <si>
    <t>C 250 x 22.8</t>
  </si>
  <si>
    <t>C 10 x 15.3</t>
  </si>
  <si>
    <t>C 250 x 30</t>
  </si>
  <si>
    <t>C 10 x 20</t>
  </si>
  <si>
    <t>C 250 x 37</t>
  </si>
  <si>
    <t>C 10 x 25</t>
  </si>
  <si>
    <t>C 250 x 45</t>
  </si>
  <si>
    <t>C 10 x 30</t>
  </si>
  <si>
    <t>C 310 x 30.8</t>
  </si>
  <si>
    <t>C 12 x 20.7</t>
  </si>
  <si>
    <t>C 310 x 37</t>
  </si>
  <si>
    <t>C 12 x 25</t>
  </si>
  <si>
    <t>C 310 x 45</t>
  </si>
  <si>
    <t>C 12 x 30</t>
  </si>
  <si>
    <t>C 380 x 50.4</t>
  </si>
  <si>
    <t>C 15 x 33.9</t>
  </si>
  <si>
    <t>C 380 x 60</t>
  </si>
  <si>
    <t>C 15 x 40</t>
  </si>
  <si>
    <t>C 380 x 74</t>
  </si>
  <si>
    <t>C 15 x 50</t>
  </si>
  <si>
    <r>
      <t>I</t>
    </r>
    <r>
      <rPr>
        <vertAlign val="subscript"/>
        <sz val="8"/>
        <rFont val="Arial"/>
        <family val="2"/>
        <charset val="162"/>
      </rPr>
      <t>t</t>
    </r>
  </si>
  <si>
    <r>
      <t>I</t>
    </r>
    <r>
      <rPr>
        <vertAlign val="subscript"/>
        <sz val="8"/>
        <rFont val="Arial"/>
        <family val="2"/>
        <charset val="162"/>
      </rPr>
      <t>w</t>
    </r>
    <r>
      <rPr>
        <sz val="8"/>
        <rFont val="Arial"/>
        <family val="2"/>
        <charset val="162"/>
      </rPr>
      <t>x10</t>
    </r>
    <r>
      <rPr>
        <vertAlign val="superscript"/>
        <sz val="8"/>
        <rFont val="Arial"/>
        <family val="2"/>
        <charset val="162"/>
      </rPr>
      <t>-3</t>
    </r>
  </si>
  <si>
    <t>H 100 x 100 x 6 x 8</t>
  </si>
  <si>
    <t>H 125 x 125 x 6.5 x 9</t>
  </si>
  <si>
    <t>H 150 x 75 x 5 x 7</t>
  </si>
  <si>
    <t>H 150 x 150 x 7 x 10</t>
  </si>
  <si>
    <t>H 175 x 175 x 7.5 x 11</t>
  </si>
  <si>
    <t>H 200 x 100 x 4.5 x 7</t>
  </si>
  <si>
    <t>H 200 x 100 x 5.5 x 8</t>
  </si>
  <si>
    <t>H 200 x 200 x 8 x 12</t>
  </si>
  <si>
    <t>H 200 x 200 x 12 x 12</t>
  </si>
  <si>
    <t>H 250 x 125 x 5 x 8</t>
  </si>
  <si>
    <t>H 250 x 125 x 6 x 9</t>
  </si>
  <si>
    <t>H 250 x 250 x 11 x 11</t>
  </si>
  <si>
    <t>H 250 x 250 x 9 x 14</t>
  </si>
  <si>
    <t>H 250 x 250 x 14 x 14</t>
  </si>
  <si>
    <t>H 300 x 150 x 5.5 x 8</t>
  </si>
  <si>
    <t>H 300 x 150 x 6.5 x 9</t>
  </si>
  <si>
    <t>H 300 x 300 x 12 x 12</t>
  </si>
  <si>
    <t>H 300 x 300 x 10 x 15</t>
  </si>
  <si>
    <t>H 300 x 300 x 15 x 15</t>
  </si>
  <si>
    <t>H 350 x 175 x 6 x 9</t>
  </si>
  <si>
    <t>H 350 x 175 x 7 x 11</t>
  </si>
  <si>
    <t>H 350 x 350 x 13 x 13</t>
  </si>
  <si>
    <t>H 350 x 350 x 10 x 16</t>
  </si>
  <si>
    <t>H 350 x 350 x 16 x 16</t>
  </si>
  <si>
    <t>H 350 x 350 x 12 x 19</t>
  </si>
  <si>
    <t>H 350 x 350 x 19 x 19</t>
  </si>
  <si>
    <t>H 400 x 300 x 10 x 16</t>
  </si>
  <si>
    <t>H 400 x 400 x 15 x 15</t>
  </si>
  <si>
    <t>H 400 x 400 x 11 x 18</t>
  </si>
  <si>
    <t>H 400 x 400 x 18 x 18</t>
  </si>
  <si>
    <t>H 400 x 400 x 13 x 21</t>
  </si>
  <si>
    <t>H 400 x 400 x 21 x 21</t>
  </si>
  <si>
    <t>H 400 x 400 x 18 x 28</t>
  </si>
  <si>
    <t>H 400 x 400 x 20 x 35</t>
  </si>
  <si>
    <t>H 400 x 400 x 30 x 50</t>
  </si>
  <si>
    <t>H 500 x 200 x 9 x 14</t>
  </si>
  <si>
    <t>H 500 x 200 x 10 x 16</t>
  </si>
  <si>
    <t>H 500 x 200 x 11 x 19</t>
  </si>
  <si>
    <t>H 500 x 300 x 11 x 15</t>
  </si>
  <si>
    <t>H 500 x 300 x 11 x 18</t>
  </si>
  <si>
    <t>H 600 x 300 x 12 x 17</t>
  </si>
  <si>
    <t>H 600 x 300 x 12 x 20</t>
  </si>
  <si>
    <t>H 600 x 300 x 14 x 23</t>
  </si>
  <si>
    <t>H 700 x 300 x 13 x 20</t>
  </si>
  <si>
    <t>H 700 x 300 x 13 x 24</t>
  </si>
  <si>
    <t>H 800 x 300 x 14 x 22</t>
  </si>
  <si>
    <t>H 800 x 300 x 14 x 26</t>
  </si>
  <si>
    <t>H 900 x 300 x 15 x 23</t>
  </si>
  <si>
    <t>H 900 x 300 x 16 x 28</t>
  </si>
  <si>
    <t>H 900 x 300 x 18 x 34</t>
  </si>
  <si>
    <r>
      <t>b</t>
    </r>
    <r>
      <rPr>
        <vertAlign val="subscript"/>
        <sz val="8"/>
        <rFont val="Arial"/>
        <family val="2"/>
        <charset val="162"/>
      </rPr>
      <t>p</t>
    </r>
    <r>
      <rPr>
        <sz val="8"/>
        <rFont val="Arial"/>
        <family val="2"/>
        <charset val="162"/>
      </rPr>
      <t xml:space="preserve"> x t</t>
    </r>
    <r>
      <rPr>
        <vertAlign val="subscript"/>
        <sz val="8"/>
        <rFont val="Arial"/>
        <family val="2"/>
        <charset val="162"/>
      </rPr>
      <t>p</t>
    </r>
  </si>
  <si>
    <t>Type</t>
  </si>
  <si>
    <r>
      <t>h</t>
    </r>
    <r>
      <rPr>
        <vertAlign val="subscript"/>
        <sz val="8"/>
        <rFont val="Arial"/>
        <family val="2"/>
        <charset val="162"/>
      </rPr>
      <t>eff</t>
    </r>
  </si>
  <si>
    <r>
      <t>z</t>
    </r>
    <r>
      <rPr>
        <vertAlign val="subscript"/>
        <sz val="8"/>
        <rFont val="Arial"/>
        <family val="2"/>
        <charset val="162"/>
      </rPr>
      <t>1</t>
    </r>
  </si>
  <si>
    <r>
      <t>z</t>
    </r>
    <r>
      <rPr>
        <vertAlign val="subscript"/>
        <sz val="8"/>
        <rFont val="Arial"/>
        <family val="2"/>
        <charset val="162"/>
      </rPr>
      <t>2</t>
    </r>
  </si>
  <si>
    <t>1/2 IPE 400</t>
  </si>
  <si>
    <t>x</t>
  </si>
  <si>
    <t>1/2 IPE O 400</t>
  </si>
  <si>
    <t>1/2 IPE 450</t>
  </si>
  <si>
    <t>1/2 IPE O 450</t>
  </si>
  <si>
    <t>1/2 IPE 500</t>
  </si>
  <si>
    <t>1/2 IPE O 500</t>
  </si>
  <si>
    <t>1/2 IPE 550</t>
  </si>
  <si>
    <t>1/2 IPE O 550</t>
  </si>
  <si>
    <t>1/2 IPE 600</t>
  </si>
  <si>
    <t>1/2 IPE O 600</t>
  </si>
  <si>
    <t xml:space="preserve"> </t>
  </si>
  <si>
    <t>1/2 HE 220 M</t>
  </si>
  <si>
    <t>1/2 HE 240 M</t>
  </si>
  <si>
    <t>1/2 HE 260 B</t>
  </si>
  <si>
    <t>1/2 HE 260 M</t>
  </si>
  <si>
    <t>1/2 HE 280 M</t>
  </si>
  <si>
    <t>1/2 HE 300 B</t>
  </si>
  <si>
    <t>1/2 HE 300 M</t>
  </si>
  <si>
    <t>1/2 HE 320 B</t>
  </si>
  <si>
    <t>1/2 HE 320 M</t>
  </si>
  <si>
    <t>1/2 HE 340 B</t>
  </si>
  <si>
    <t>1/2 HE 340 M</t>
  </si>
  <si>
    <t>1/2 HE 360 B</t>
  </si>
  <si>
    <t>1/2 HE 360 M</t>
  </si>
  <si>
    <t>1/2 HE 400 B</t>
  </si>
  <si>
    <t>1/2 HE 400 M</t>
  </si>
  <si>
    <t>1/2 HE 450 B</t>
  </si>
  <si>
    <t>1/2 HE 450 M</t>
  </si>
  <si>
    <t>1/2 HE 500 A</t>
  </si>
  <si>
    <t>1/2 HE 500 B</t>
  </si>
  <si>
    <t>1/2 HE 500 M</t>
  </si>
  <si>
    <t>1/2 HE 550 A</t>
  </si>
  <si>
    <t>1/2 HE 550 B</t>
  </si>
  <si>
    <t>1/2 HE 550 M</t>
  </si>
  <si>
    <t>1/2 HE 600 A</t>
  </si>
  <si>
    <t>1/2 HE 600 B</t>
  </si>
  <si>
    <t>1/2 HE 600 M</t>
  </si>
  <si>
    <t>1/2 HE 650 A</t>
  </si>
  <si>
    <t>1/2 HE 650 B</t>
  </si>
  <si>
    <t>1/2 HE 650 M</t>
  </si>
  <si>
    <t>1/2 HE 280 A</t>
  </si>
  <si>
    <t>B</t>
  </si>
  <si>
    <t>1/2 HE 300 A</t>
  </si>
  <si>
    <t>1/2 HP 360x109</t>
  </si>
  <si>
    <t>1/2 HP 360x133</t>
  </si>
  <si>
    <t>1/2 HP 360x152</t>
  </si>
  <si>
    <t>1/2 HP 400x122</t>
  </si>
  <si>
    <t>1/2 HP 400x140</t>
  </si>
  <si>
    <t>1/2 HP 400x158</t>
  </si>
  <si>
    <t>1/2 HP 400x176</t>
  </si>
  <si>
    <t>1/2 HP 400x194</t>
  </si>
  <si>
    <t>HEB 140</t>
  </si>
  <si>
    <t>HEM 140</t>
  </si>
  <si>
    <t>HEB 160</t>
  </si>
  <si>
    <t>HEM 160</t>
  </si>
  <si>
    <t>HEB 180</t>
  </si>
  <si>
    <t>HEM 180</t>
  </si>
  <si>
    <t>HEB 200</t>
  </si>
  <si>
    <t>HEM 200</t>
  </si>
  <si>
    <t>HEB 220</t>
  </si>
  <si>
    <t>HEM 220</t>
  </si>
  <si>
    <t>HEB 240</t>
  </si>
  <si>
    <t>HEM 240</t>
  </si>
  <si>
    <t>HEB 260</t>
  </si>
  <si>
    <t>HEM 260</t>
  </si>
  <si>
    <t>HEB 280</t>
  </si>
  <si>
    <t>HEM 280</t>
  </si>
  <si>
    <t>HEB 300</t>
  </si>
  <si>
    <t>HEM 300</t>
  </si>
  <si>
    <t>HEB 320</t>
  </si>
  <si>
    <t>IPE</t>
  </si>
  <si>
    <t>HE</t>
  </si>
  <si>
    <t>HD</t>
  </si>
  <si>
    <t>HP</t>
  </si>
  <si>
    <t>IPN</t>
  </si>
  <si>
    <t>W</t>
  </si>
  <si>
    <t>BP</t>
  </si>
  <si>
    <t>UB</t>
  </si>
  <si>
    <t>UBP</t>
  </si>
  <si>
    <t>UC</t>
  </si>
  <si>
    <t>UAP</t>
  </si>
  <si>
    <t>UPN</t>
  </si>
  <si>
    <t>U</t>
  </si>
  <si>
    <t>HJ</t>
  </si>
  <si>
    <t>HD 260 x 54,1</t>
  </si>
  <si>
    <t xml:space="preserve">UPN </t>
  </si>
  <si>
    <t>HD 260 x 68,2</t>
  </si>
  <si>
    <t>HD 260 x 93</t>
  </si>
  <si>
    <t>HP 220 x 57,2</t>
  </si>
  <si>
    <t>HP 260 x 87,3</t>
  </si>
  <si>
    <t>HD 320 x 74,2</t>
  </si>
  <si>
    <t>HD 320 x 97,6</t>
  </si>
  <si>
    <t>HP 320 x 88,5</t>
  </si>
  <si>
    <t>HP 360 x 84,3</t>
  </si>
  <si>
    <t>KESİT</t>
  </si>
  <si>
    <t>ÖLÇÜLER</t>
  </si>
  <si>
    <t>ALANI</t>
  </si>
  <si>
    <t>TASARIM ÖLÇÜLERİ</t>
  </si>
  <si>
    <t>YÜZEY ALANI</t>
  </si>
  <si>
    <t>STATİK DEĞERLER</t>
  </si>
  <si>
    <t>Euronorm 19-57</t>
  </si>
  <si>
    <t>SINIFLAMA</t>
  </si>
  <si>
    <t>ENV 1993 1-1</t>
  </si>
  <si>
    <t>EĞİLME</t>
  </si>
  <si>
    <t>BASINÇ</t>
  </si>
  <si>
    <t>Euronorm 53-62</t>
  </si>
  <si>
    <t>Geniş başlıklı</t>
  </si>
  <si>
    <t xml:space="preserve">Avrupa kesit profiller </t>
  </si>
  <si>
    <t xml:space="preserve">Geniş başlıklı </t>
  </si>
  <si>
    <t>kolonlar</t>
  </si>
  <si>
    <t>HD 360 ve HD 400x216 to 1086</t>
  </si>
  <si>
    <t>ASTM A6 / A 6M</t>
  </si>
  <si>
    <t>Avrupa kesit</t>
  </si>
  <si>
    <t>I-profiller</t>
  </si>
  <si>
    <t>standart profiller</t>
  </si>
  <si>
    <t xml:space="preserve">Amerikan kesit </t>
  </si>
  <si>
    <t xml:space="preserve">profiller </t>
  </si>
  <si>
    <t xml:space="preserve"> ASTM A6 / A 6M</t>
  </si>
  <si>
    <t>(metrik)</t>
  </si>
  <si>
    <t>Amerikan kesit</t>
  </si>
  <si>
    <t>İngiliz kesit</t>
  </si>
  <si>
    <t>üniversal</t>
  </si>
  <si>
    <t>BS 4 part 1 - 1993</t>
  </si>
  <si>
    <t>BS 4-1: 1993</t>
  </si>
  <si>
    <t>geniş başlıklı</t>
  </si>
  <si>
    <t>Paralel</t>
  </si>
  <si>
    <t>başlıklı</t>
  </si>
  <si>
    <t>U- profiller</t>
  </si>
  <si>
    <t>NF A 45-255</t>
  </si>
  <si>
    <t xml:space="preserve">Avrupa </t>
  </si>
  <si>
    <t>kesit</t>
  </si>
  <si>
    <t>DIN 1026-1, 2000, NF A 45-202 (1983)</t>
  </si>
  <si>
    <t>Eşit kenarlı</t>
  </si>
  <si>
    <t>EKSEN y-y / z -z</t>
  </si>
  <si>
    <t>EKSEN u-u</t>
  </si>
  <si>
    <t>EKSEN v -v</t>
  </si>
  <si>
    <t>EKSEN ÖLÇÜLERİ</t>
  </si>
  <si>
    <t>Euronorm 10056-1</t>
  </si>
  <si>
    <t>EKSEN y-y</t>
  </si>
  <si>
    <t>EKSEN z - z</t>
  </si>
  <si>
    <t>EKSEN u - u</t>
  </si>
  <si>
    <t>EKSEN v - v</t>
  </si>
  <si>
    <t>Uzun kenar</t>
  </si>
  <si>
    <t>Kısa kenar</t>
  </si>
  <si>
    <t>TASARIM</t>
  </si>
  <si>
    <t xml:space="preserve"> ÖLÇÜLERİ</t>
  </si>
  <si>
    <t>Japon kesit</t>
  </si>
  <si>
    <t>H- profiller</t>
  </si>
  <si>
    <t>JIS G 3192</t>
  </si>
  <si>
    <t xml:space="preserve">IFB Entegre </t>
  </si>
  <si>
    <t>döşeme</t>
  </si>
  <si>
    <t>profilleri</t>
  </si>
  <si>
    <t>SFB İnce</t>
  </si>
  <si>
    <t xml:space="preserve">ENV 1993 1-2 </t>
  </si>
  <si>
    <t>KUVVETLİ EKSEN y-y</t>
  </si>
  <si>
    <t>ZAYIF EKSEN z-z</t>
  </si>
  <si>
    <t>döşeme kirişleri</t>
  </si>
  <si>
    <t>kirişler</t>
  </si>
  <si>
    <t>köşebentler</t>
  </si>
  <si>
    <t>Çeşit</t>
  </si>
  <si>
    <t>kenar</t>
  </si>
  <si>
    <r>
      <t>Kesit oranları (Yangın dayanımı) A</t>
    </r>
    <r>
      <rPr>
        <vertAlign val="subscript"/>
        <sz val="14"/>
        <rFont val="Arial"/>
        <family val="2"/>
      </rPr>
      <t>m</t>
    </r>
    <r>
      <rPr>
        <sz val="14"/>
        <rFont val="Arial"/>
        <family val="2"/>
      </rPr>
      <t xml:space="preserve"> / V ve A</t>
    </r>
    <r>
      <rPr>
        <vertAlign val="subscript"/>
        <sz val="14"/>
        <rFont val="Arial"/>
        <family val="2"/>
      </rPr>
      <t>p</t>
    </r>
    <r>
      <rPr>
        <sz val="14"/>
        <rFont val="Arial"/>
        <family val="2"/>
      </rPr>
      <t xml:space="preserve"> / V (m</t>
    </r>
    <r>
      <rPr>
        <vertAlign val="superscript"/>
        <sz val="14"/>
        <rFont val="Arial"/>
        <family val="2"/>
      </rPr>
      <t>-1</t>
    </r>
    <r>
      <rPr>
        <sz val="14"/>
        <rFont val="Arial"/>
        <family val="2"/>
      </rPr>
      <t>)</t>
    </r>
  </si>
  <si>
    <t>l1</t>
  </si>
  <si>
    <t>By</t>
  </si>
  <si>
    <t>Ay</t>
  </si>
  <si>
    <t>l2</t>
  </si>
  <si>
    <t>l1 (m)</t>
  </si>
  <si>
    <t>l2 (m)</t>
  </si>
  <si>
    <t>G (kg/m)</t>
  </si>
  <si>
    <t>A (cm2)</t>
  </si>
  <si>
    <t>ix (cm)</t>
  </si>
  <si>
    <t>iy (cm)</t>
  </si>
  <si>
    <t xml:space="preserve">lamda max </t>
  </si>
  <si>
    <t>St 37=1or St52=2</t>
  </si>
  <si>
    <t>w omega</t>
  </si>
  <si>
    <t>sigma t/cm2</t>
  </si>
  <si>
    <t>l</t>
  </si>
  <si>
    <t>st37 w</t>
  </si>
  <si>
    <t>st52 w</t>
  </si>
  <si>
    <t>lamda</t>
  </si>
  <si>
    <t>Ghe</t>
  </si>
  <si>
    <t>hhe</t>
  </si>
  <si>
    <t>bhe</t>
  </si>
  <si>
    <r>
      <t>t</t>
    </r>
    <r>
      <rPr>
        <vertAlign val="subscript"/>
        <sz val="12"/>
        <rFont val="Arial"/>
        <family val="2"/>
        <charset val="162"/>
      </rPr>
      <t>whe</t>
    </r>
  </si>
  <si>
    <r>
      <t>t</t>
    </r>
    <r>
      <rPr>
        <vertAlign val="subscript"/>
        <sz val="12"/>
        <rFont val="Arial"/>
        <family val="2"/>
        <charset val="162"/>
      </rPr>
      <t>fhe</t>
    </r>
  </si>
  <si>
    <t>rhe</t>
  </si>
  <si>
    <t>Ahe</t>
  </si>
  <si>
    <r>
      <t>h</t>
    </r>
    <r>
      <rPr>
        <vertAlign val="subscript"/>
        <sz val="12"/>
        <rFont val="Arial"/>
        <family val="2"/>
        <charset val="162"/>
      </rPr>
      <t>ihe</t>
    </r>
  </si>
  <si>
    <t>dhe</t>
  </si>
  <si>
    <t>Øhe</t>
  </si>
  <si>
    <r>
      <t>p</t>
    </r>
    <r>
      <rPr>
        <vertAlign val="subscript"/>
        <sz val="12"/>
        <rFont val="Arial"/>
        <family val="2"/>
        <charset val="162"/>
      </rPr>
      <t>minhe</t>
    </r>
  </si>
  <si>
    <r>
      <t>p</t>
    </r>
    <r>
      <rPr>
        <vertAlign val="subscript"/>
        <sz val="12"/>
        <rFont val="Arial"/>
        <family val="2"/>
        <charset val="162"/>
      </rPr>
      <t>maxhe</t>
    </r>
  </si>
  <si>
    <t>Alhe</t>
  </si>
  <si>
    <t>Aghe</t>
  </si>
  <si>
    <r>
      <t>W</t>
    </r>
    <r>
      <rPr>
        <vertAlign val="subscript"/>
        <sz val="12"/>
        <rFont val="Arial"/>
        <family val="2"/>
        <charset val="162"/>
      </rPr>
      <t>el.yhe</t>
    </r>
  </si>
  <si>
    <r>
      <t>W</t>
    </r>
    <r>
      <rPr>
        <vertAlign val="subscript"/>
        <sz val="12"/>
        <rFont val="Arial"/>
        <family val="2"/>
        <charset val="162"/>
      </rPr>
      <t>pl.yhe</t>
    </r>
  </si>
  <si>
    <r>
      <t>i</t>
    </r>
    <r>
      <rPr>
        <vertAlign val="subscript"/>
        <sz val="12"/>
        <rFont val="Arial"/>
        <family val="2"/>
        <charset val="162"/>
      </rPr>
      <t>yhe</t>
    </r>
  </si>
  <si>
    <r>
      <t>A</t>
    </r>
    <r>
      <rPr>
        <vertAlign val="subscript"/>
        <sz val="12"/>
        <rFont val="Arial"/>
        <family val="2"/>
        <charset val="162"/>
      </rPr>
      <t>vzhe</t>
    </r>
  </si>
  <si>
    <r>
      <t>W</t>
    </r>
    <r>
      <rPr>
        <vertAlign val="subscript"/>
        <sz val="12"/>
        <rFont val="Arial"/>
        <family val="2"/>
        <charset val="162"/>
      </rPr>
      <t>el.zhe</t>
    </r>
  </si>
  <si>
    <r>
      <t>W</t>
    </r>
    <r>
      <rPr>
        <vertAlign val="subscript"/>
        <sz val="12"/>
        <rFont val="Arial"/>
        <family val="2"/>
        <charset val="162"/>
      </rPr>
      <t>pl.zhe</t>
    </r>
  </si>
  <si>
    <r>
      <t xml:space="preserve"> i</t>
    </r>
    <r>
      <rPr>
        <vertAlign val="subscript"/>
        <sz val="12"/>
        <rFont val="Arial"/>
        <family val="2"/>
        <charset val="162"/>
      </rPr>
      <t>zhe</t>
    </r>
  </si>
  <si>
    <r>
      <t>s</t>
    </r>
    <r>
      <rPr>
        <vertAlign val="subscript"/>
        <sz val="12"/>
        <rFont val="Arial"/>
        <family val="2"/>
        <charset val="162"/>
      </rPr>
      <t>she</t>
    </r>
  </si>
  <si>
    <r>
      <t>I</t>
    </r>
    <r>
      <rPr>
        <vertAlign val="subscript"/>
        <sz val="12"/>
        <color indexed="8"/>
        <rFont val="Arial"/>
        <family val="2"/>
        <charset val="162"/>
      </rPr>
      <t>the</t>
    </r>
  </si>
  <si>
    <r>
      <t>I</t>
    </r>
    <r>
      <rPr>
        <vertAlign val="subscript"/>
        <sz val="12"/>
        <color indexed="8"/>
        <rFont val="Arial"/>
        <family val="2"/>
        <charset val="162"/>
      </rPr>
      <t>w</t>
    </r>
    <r>
      <rPr>
        <sz val="7"/>
        <color indexed="8"/>
        <rFont val="Arial"/>
        <family val="2"/>
        <charset val="162"/>
      </rPr>
      <t>x10</t>
    </r>
    <r>
      <rPr>
        <vertAlign val="superscript"/>
        <sz val="7"/>
        <color indexed="8"/>
        <rFont val="Arial"/>
        <family val="2"/>
        <charset val="162"/>
      </rPr>
      <t>-</t>
    </r>
    <r>
      <rPr>
        <vertAlign val="superscript"/>
        <sz val="8"/>
        <color indexed="8"/>
        <rFont val="Arial"/>
        <family val="2"/>
        <charset val="162"/>
      </rPr>
      <t>3he</t>
    </r>
  </si>
  <si>
    <r>
      <t>II</t>
    </r>
    <r>
      <rPr>
        <vertAlign val="subscript"/>
        <sz val="12"/>
        <rFont val="Arial"/>
        <family val="2"/>
        <charset val="162"/>
      </rPr>
      <t>yhe</t>
    </r>
  </si>
  <si>
    <r>
      <t>II</t>
    </r>
    <r>
      <rPr>
        <vertAlign val="subscript"/>
        <sz val="12"/>
        <rFont val="Arial"/>
        <family val="2"/>
        <charset val="162"/>
      </rPr>
      <t>zhe</t>
    </r>
  </si>
  <si>
    <t>Gn</t>
  </si>
  <si>
    <t>hn</t>
  </si>
  <si>
    <t>bn</t>
  </si>
  <si>
    <r>
      <t>t</t>
    </r>
    <r>
      <rPr>
        <vertAlign val="subscript"/>
        <sz val="12"/>
        <rFont val="Arial"/>
        <family val="2"/>
        <charset val="162"/>
      </rPr>
      <t>wn</t>
    </r>
  </si>
  <si>
    <r>
      <t>t</t>
    </r>
    <r>
      <rPr>
        <vertAlign val="subscript"/>
        <sz val="12"/>
        <rFont val="Arial"/>
        <family val="2"/>
        <charset val="162"/>
      </rPr>
      <t>fn</t>
    </r>
  </si>
  <si>
    <r>
      <t>r</t>
    </r>
    <r>
      <rPr>
        <vertAlign val="subscript"/>
        <sz val="12"/>
        <rFont val="Arial"/>
        <family val="2"/>
        <charset val="162"/>
      </rPr>
      <t>1n</t>
    </r>
  </si>
  <si>
    <r>
      <t>r</t>
    </r>
    <r>
      <rPr>
        <vertAlign val="subscript"/>
        <sz val="12"/>
        <rFont val="Arial"/>
        <family val="2"/>
        <charset val="162"/>
      </rPr>
      <t>2n</t>
    </r>
  </si>
  <si>
    <t>An</t>
  </si>
  <si>
    <t>dn</t>
  </si>
  <si>
    <t>Øn</t>
  </si>
  <si>
    <r>
      <t>p</t>
    </r>
    <r>
      <rPr>
        <vertAlign val="subscript"/>
        <sz val="12"/>
        <rFont val="Arial"/>
        <family val="2"/>
        <charset val="162"/>
      </rPr>
      <t>minn</t>
    </r>
  </si>
  <si>
    <r>
      <t>p</t>
    </r>
    <r>
      <rPr>
        <vertAlign val="subscript"/>
        <sz val="12"/>
        <rFont val="Arial"/>
        <family val="2"/>
        <charset val="162"/>
      </rPr>
      <t>maxn</t>
    </r>
  </si>
  <si>
    <t>Aln</t>
  </si>
  <si>
    <t>Agn</t>
  </si>
  <si>
    <r>
      <t>W</t>
    </r>
    <r>
      <rPr>
        <vertAlign val="subscript"/>
        <sz val="12"/>
        <rFont val="Arial"/>
        <family val="2"/>
        <charset val="162"/>
      </rPr>
      <t>el.yn</t>
    </r>
  </si>
  <si>
    <r>
      <t>W</t>
    </r>
    <r>
      <rPr>
        <vertAlign val="subscript"/>
        <sz val="12"/>
        <rFont val="Arial"/>
        <family val="2"/>
        <charset val="162"/>
      </rPr>
      <t>pl.yn</t>
    </r>
  </si>
  <si>
    <r>
      <t>i</t>
    </r>
    <r>
      <rPr>
        <vertAlign val="subscript"/>
        <sz val="12"/>
        <rFont val="Arial"/>
        <family val="2"/>
        <charset val="162"/>
      </rPr>
      <t>yn</t>
    </r>
  </si>
  <si>
    <r>
      <t>A</t>
    </r>
    <r>
      <rPr>
        <vertAlign val="subscript"/>
        <sz val="12"/>
        <rFont val="Arial"/>
        <family val="2"/>
        <charset val="162"/>
      </rPr>
      <t>vzn</t>
    </r>
  </si>
  <si>
    <r>
      <t>W</t>
    </r>
    <r>
      <rPr>
        <vertAlign val="subscript"/>
        <sz val="12"/>
        <rFont val="Arial"/>
        <family val="2"/>
        <charset val="162"/>
      </rPr>
      <t>el.zn</t>
    </r>
  </si>
  <si>
    <r>
      <t>W</t>
    </r>
    <r>
      <rPr>
        <vertAlign val="subscript"/>
        <sz val="12"/>
        <rFont val="Arial"/>
        <family val="2"/>
        <charset val="162"/>
      </rPr>
      <t>pl.zn</t>
    </r>
  </si>
  <si>
    <r>
      <t xml:space="preserve"> i</t>
    </r>
    <r>
      <rPr>
        <vertAlign val="subscript"/>
        <sz val="12"/>
        <rFont val="Arial"/>
        <family val="2"/>
        <charset val="162"/>
      </rPr>
      <t>zn</t>
    </r>
  </si>
  <si>
    <r>
      <t>s</t>
    </r>
    <r>
      <rPr>
        <vertAlign val="subscript"/>
        <sz val="12"/>
        <rFont val="Arial"/>
        <family val="2"/>
        <charset val="162"/>
      </rPr>
      <t>sn</t>
    </r>
  </si>
  <si>
    <r>
      <t>I</t>
    </r>
    <r>
      <rPr>
        <vertAlign val="subscript"/>
        <sz val="12"/>
        <color indexed="8"/>
        <rFont val="Arial"/>
        <family val="2"/>
        <charset val="162"/>
      </rPr>
      <t>tn</t>
    </r>
  </si>
  <si>
    <r>
      <t>I</t>
    </r>
    <r>
      <rPr>
        <vertAlign val="subscript"/>
        <sz val="10"/>
        <color indexed="8"/>
        <rFont val="Arial"/>
        <family val="2"/>
        <charset val="162"/>
      </rPr>
      <t>w</t>
    </r>
    <r>
      <rPr>
        <sz val="8"/>
        <color indexed="8"/>
        <rFont val="Arial"/>
        <family val="2"/>
        <charset val="162"/>
      </rPr>
      <t>x10</t>
    </r>
    <r>
      <rPr>
        <vertAlign val="superscript"/>
        <sz val="9"/>
        <color indexed="8"/>
        <rFont val="Arial"/>
        <family val="2"/>
        <charset val="162"/>
      </rPr>
      <t>-3n</t>
    </r>
  </si>
  <si>
    <r>
      <t>II</t>
    </r>
    <r>
      <rPr>
        <vertAlign val="subscript"/>
        <sz val="12"/>
        <rFont val="Arial"/>
        <family val="2"/>
        <charset val="162"/>
      </rPr>
      <t>zn</t>
    </r>
  </si>
  <si>
    <r>
      <t>II</t>
    </r>
    <r>
      <rPr>
        <vertAlign val="subscript"/>
        <sz val="12"/>
        <rFont val="Arial"/>
        <family val="2"/>
        <charset val="162"/>
      </rPr>
      <t>yn</t>
    </r>
  </si>
  <si>
    <t>Asiklar</t>
  </si>
  <si>
    <t>cati acisi</t>
  </si>
  <si>
    <t>Mx</t>
  </si>
  <si>
    <t>My</t>
  </si>
  <si>
    <t>α</t>
  </si>
  <si>
    <t>Asik uzunlugu,,,m</t>
  </si>
  <si>
    <t>Asiklar  aralik..m</t>
  </si>
  <si>
    <t>W(cm^3)</t>
  </si>
  <si>
    <t>cati kaplama+Asik.. kg/m2</t>
  </si>
  <si>
    <t>kar.. kg/m2</t>
  </si>
  <si>
    <t>kg.m</t>
  </si>
  <si>
    <t>kg/cm2</t>
  </si>
  <si>
    <t>Sehım</t>
  </si>
  <si>
    <t>cm &lt;l/200</t>
  </si>
  <si>
    <t>I cm^4</t>
  </si>
  <si>
    <t>Wx</t>
  </si>
  <si>
    <t>qy</t>
  </si>
  <si>
    <t>B1</t>
  </si>
  <si>
    <t>B2</t>
  </si>
  <si>
    <t>strong axis</t>
  </si>
  <si>
    <t>weak axis</t>
  </si>
  <si>
    <t>Size</t>
  </si>
  <si>
    <t>H
(mm)</t>
  </si>
  <si>
    <t xml:space="preserve"> B
(mm)</t>
  </si>
  <si>
    <t>tw</t>
  </si>
  <si>
    <r>
      <t>I</t>
    </r>
    <r>
      <rPr>
        <b/>
        <sz val="9"/>
        <rFont val="Geneva"/>
        <charset val="162"/>
      </rPr>
      <t xml:space="preserve"> (c4)</t>
    </r>
  </si>
  <si>
    <t>Wel (cm3)</t>
  </si>
  <si>
    <t>HW</t>
  </si>
  <si>
    <t>100 x 100</t>
  </si>
  <si>
    <t>125 x 125</t>
  </si>
  <si>
    <t xml:space="preserve">150 x 150 </t>
  </si>
  <si>
    <t>175 x 175</t>
  </si>
  <si>
    <t>200 x 200</t>
  </si>
  <si>
    <t>250 x 250</t>
  </si>
  <si>
    <t>300 x 300</t>
  </si>
  <si>
    <t>350 x 350</t>
  </si>
  <si>
    <t>400 x 400</t>
  </si>
  <si>
    <t>HM</t>
  </si>
  <si>
    <t>150 x 100</t>
  </si>
  <si>
    <t>200 x 150</t>
  </si>
  <si>
    <t>250 x 175</t>
  </si>
  <si>
    <t>300 x 200</t>
  </si>
  <si>
    <t>350 x 250</t>
  </si>
  <si>
    <t>400 x 300</t>
  </si>
  <si>
    <t>450 x 300</t>
  </si>
  <si>
    <t>500 x 300</t>
  </si>
  <si>
    <t>600 x 300</t>
  </si>
  <si>
    <t>HN  (IPE)</t>
  </si>
  <si>
    <t>100 x 60</t>
  </si>
  <si>
    <t>125 x 60</t>
  </si>
  <si>
    <t>150 x 75</t>
  </si>
  <si>
    <t>175 x 90</t>
  </si>
  <si>
    <t>200 x 100</t>
  </si>
  <si>
    <t>250 x 125</t>
  </si>
  <si>
    <t>300 x 150</t>
  </si>
  <si>
    <t>350 x 173</t>
  </si>
  <si>
    <t>400 x 150</t>
  </si>
  <si>
    <t>400 x 200</t>
  </si>
  <si>
    <t>450 x 150</t>
  </si>
  <si>
    <t>450 x 200</t>
  </si>
  <si>
    <t>500 x 150</t>
  </si>
  <si>
    <t>500 x 200</t>
  </si>
  <si>
    <t>600 x 200</t>
  </si>
  <si>
    <t>700 x 300</t>
  </si>
  <si>
    <t>800 x 300</t>
  </si>
  <si>
    <t>900 x 300</t>
  </si>
  <si>
    <t>Двутавры с параллельными гранями полок. СТО АСЧМ 20-93</t>
  </si>
  <si>
    <t>Сортамент профилей</t>
  </si>
  <si>
    <t>Обозначение профиля</t>
  </si>
  <si>
    <t>Размеры профеля, мм</t>
  </si>
  <si>
    <r>
      <t>Площадь сечения F, см</t>
    </r>
    <r>
      <rPr>
        <vertAlign val="superscript"/>
        <sz val="7.5"/>
        <color indexed="8"/>
        <rFont val="Tahoma"/>
        <family val="2"/>
        <charset val="162"/>
      </rPr>
      <t>2</t>
    </r>
  </si>
  <si>
    <t>Масса 1 м, кг</t>
  </si>
  <si>
    <t>Справочные величины для осей</t>
  </si>
  <si>
    <t>s</t>
  </si>
  <si>
    <r>
      <t>I</t>
    </r>
    <r>
      <rPr>
        <vertAlign val="subscript"/>
        <sz val="7.5"/>
        <color indexed="8"/>
        <rFont val="Tahoma"/>
        <family val="2"/>
        <charset val="162"/>
      </rPr>
      <t>x,</t>
    </r>
    <r>
      <rPr>
        <sz val="7.5"/>
        <color indexed="8"/>
        <rFont val="Tahoma"/>
        <family val="2"/>
        <charset val="162"/>
      </rPr>
      <t xml:space="preserve"> см</t>
    </r>
    <r>
      <rPr>
        <vertAlign val="superscript"/>
        <sz val="7.5"/>
        <color indexed="8"/>
        <rFont val="Tahoma"/>
        <family val="2"/>
        <charset val="162"/>
      </rPr>
      <t>4</t>
    </r>
  </si>
  <si>
    <r>
      <t>W</t>
    </r>
    <r>
      <rPr>
        <vertAlign val="subscript"/>
        <sz val="7.5"/>
        <color indexed="8"/>
        <rFont val="Tahoma"/>
        <family val="2"/>
        <charset val="162"/>
      </rPr>
      <t>x,</t>
    </r>
    <r>
      <rPr>
        <sz val="7.5"/>
        <color indexed="8"/>
        <rFont val="Tahoma"/>
        <family val="2"/>
        <charset val="162"/>
      </rPr>
      <t xml:space="preserve"> см</t>
    </r>
    <r>
      <rPr>
        <vertAlign val="superscript"/>
        <sz val="7.5"/>
        <color indexed="8"/>
        <rFont val="Tahoma"/>
        <family val="2"/>
        <charset val="162"/>
      </rPr>
      <t>3</t>
    </r>
  </si>
  <si>
    <r>
      <t>S</t>
    </r>
    <r>
      <rPr>
        <vertAlign val="subscript"/>
        <sz val="7.5"/>
        <color indexed="8"/>
        <rFont val="Tahoma"/>
        <family val="2"/>
        <charset val="162"/>
      </rPr>
      <t>x,</t>
    </r>
    <r>
      <rPr>
        <sz val="7.5"/>
        <color indexed="8"/>
        <rFont val="Tahoma"/>
        <family val="2"/>
        <charset val="162"/>
      </rPr>
      <t xml:space="preserve"> см</t>
    </r>
    <r>
      <rPr>
        <vertAlign val="superscript"/>
        <sz val="7.5"/>
        <color indexed="8"/>
        <rFont val="Tahoma"/>
        <family val="2"/>
        <charset val="162"/>
      </rPr>
      <t>3</t>
    </r>
  </si>
  <si>
    <r>
      <t>i</t>
    </r>
    <r>
      <rPr>
        <vertAlign val="subscript"/>
        <sz val="7.5"/>
        <color indexed="8"/>
        <rFont val="Tahoma"/>
        <family val="2"/>
        <charset val="162"/>
      </rPr>
      <t>x,</t>
    </r>
    <r>
      <rPr>
        <sz val="7.5"/>
        <color indexed="8"/>
        <rFont val="Tahoma"/>
        <family val="2"/>
        <charset val="162"/>
      </rPr>
      <t xml:space="preserve"> см</t>
    </r>
  </si>
  <si>
    <r>
      <t>I</t>
    </r>
    <r>
      <rPr>
        <vertAlign val="subscript"/>
        <sz val="7.5"/>
        <color indexed="8"/>
        <rFont val="Tahoma"/>
        <family val="2"/>
        <charset val="162"/>
      </rPr>
      <t>y,</t>
    </r>
    <r>
      <rPr>
        <sz val="7.5"/>
        <color indexed="8"/>
        <rFont val="Tahoma"/>
        <family val="2"/>
        <charset val="162"/>
      </rPr>
      <t xml:space="preserve"> см</t>
    </r>
    <r>
      <rPr>
        <vertAlign val="superscript"/>
        <sz val="7.5"/>
        <color indexed="8"/>
        <rFont val="Tahoma"/>
        <family val="2"/>
        <charset val="162"/>
      </rPr>
      <t>4</t>
    </r>
  </si>
  <si>
    <r>
      <t>W</t>
    </r>
    <r>
      <rPr>
        <vertAlign val="subscript"/>
        <sz val="7.5"/>
        <color indexed="8"/>
        <rFont val="Tahoma"/>
        <family val="2"/>
        <charset val="162"/>
      </rPr>
      <t>y,</t>
    </r>
    <r>
      <rPr>
        <sz val="7.5"/>
        <color indexed="8"/>
        <rFont val="Tahoma"/>
        <family val="2"/>
        <charset val="162"/>
      </rPr>
      <t xml:space="preserve"> см</t>
    </r>
    <r>
      <rPr>
        <vertAlign val="superscript"/>
        <sz val="7.5"/>
        <color indexed="8"/>
        <rFont val="Tahoma"/>
        <family val="2"/>
        <charset val="162"/>
      </rPr>
      <t>3</t>
    </r>
  </si>
  <si>
    <t>iy, см</t>
  </si>
  <si>
    <t>Нормальные двутавры</t>
  </si>
  <si>
    <t>20 Б1</t>
  </si>
  <si>
    <t>25 Б1</t>
  </si>
  <si>
    <t>25 Б2</t>
  </si>
  <si>
    <t>30 Б1</t>
  </si>
  <si>
    <t>30 Б2</t>
  </si>
  <si>
    <t>35 Б1</t>
  </si>
  <si>
    <t>35 Б2</t>
  </si>
  <si>
    <t>&gt;49,6</t>
  </si>
  <si>
    <t>40 Б1</t>
  </si>
  <si>
    <t>40 Б2</t>
  </si>
  <si>
    <t>45 Б1</t>
  </si>
  <si>
    <t>45 Б2</t>
  </si>
  <si>
    <t>50 Б1</t>
  </si>
  <si>
    <t>50 Б2</t>
  </si>
  <si>
    <t>50 Б3</t>
  </si>
  <si>
    <t>55 Б1</t>
  </si>
  <si>
    <t>55 Б2</t>
  </si>
  <si>
    <t>60 Б1</t>
  </si>
  <si>
    <t>60 Б2</t>
  </si>
  <si>
    <t>Широкополочные двутавры</t>
  </si>
  <si>
    <t>20 Ш1</t>
  </si>
  <si>
    <t>25 Ш2</t>
  </si>
  <si>
    <t>30 Ш1</t>
  </si>
  <si>
    <t>30 Ш2</t>
  </si>
  <si>
    <t>35 Ш1</t>
  </si>
  <si>
    <t>35 Ш2</t>
  </si>
  <si>
    <t>40 Ш1</t>
  </si>
  <si>
    <t>40 Ш2</t>
  </si>
  <si>
    <t>45 Ш1</t>
  </si>
  <si>
    <t>50 Ш1</t>
  </si>
  <si>
    <t>50 Ш2</t>
  </si>
  <si>
    <t>50 Ш3</t>
  </si>
  <si>
    <t>50 Ш4</t>
  </si>
  <si>
    <t>Колонные двутавры</t>
  </si>
  <si>
    <t>20 К1</t>
  </si>
  <si>
    <t>20 К2</t>
  </si>
  <si>
    <t>25 К1</t>
  </si>
  <si>
    <t>25 К2</t>
  </si>
  <si>
    <t>25 К3</t>
  </si>
  <si>
    <t>30 К1</t>
  </si>
  <si>
    <t>30 К2</t>
  </si>
  <si>
    <t>30 К3</t>
  </si>
  <si>
    <t>30 К4</t>
  </si>
  <si>
    <t>35 К1</t>
  </si>
  <si>
    <t>35 К2</t>
  </si>
  <si>
    <t>40 К1</t>
  </si>
  <si>
    <t>40 К2</t>
  </si>
  <si>
    <t>40 К3</t>
  </si>
  <si>
    <t>40 К4</t>
  </si>
  <si>
    <t>40 К5</t>
  </si>
  <si>
    <t>Двутавры с параллельными гранями полок изготавливаются мерной длины 9, 10, 12 м, ограниченной длины и немерной длины.</t>
  </si>
  <si>
    <t>По согласованию двутавры могут быть изготовлены мерной длины в пределах 8-24 м с интервалом промежуточных размеров 0,1 м.</t>
  </si>
  <si>
    <t>Двутавры с параллельными гранями полок нестандартных размеров (по ASTM A6, Jis G 3192, BS4 и др. НД)</t>
  </si>
  <si>
    <t>Узкополочные двутавры</t>
  </si>
  <si>
    <t>31 У3А</t>
  </si>
  <si>
    <t>31 У4А</t>
  </si>
  <si>
    <t>10,/8</t>
  </si>
  <si>
    <t>36 У1А</t>
  </si>
  <si>
    <t>36 У2А</t>
  </si>
  <si>
    <t>41 У1А</t>
  </si>
  <si>
    <t>41 У2А</t>
  </si>
  <si>
    <t>46 У1А</t>
  </si>
  <si>
    <t>46 У2А</t>
  </si>
  <si>
    <t>46 У3А</t>
  </si>
  <si>
    <t>46 У1В</t>
  </si>
  <si>
    <t>46 У2В</t>
  </si>
  <si>
    <t>46 У3В</t>
  </si>
  <si>
    <t>46 У4В</t>
  </si>
  <si>
    <t>46 У5В</t>
  </si>
  <si>
    <t>61 У1А</t>
  </si>
  <si>
    <t>61 У2А</t>
  </si>
  <si>
    <t>31 Б1А</t>
  </si>
  <si>
    <t>31 Б2А</t>
  </si>
  <si>
    <t>31 Б3А</t>
  </si>
  <si>
    <t>31 Б1В</t>
  </si>
  <si>
    <t>31 Б2В</t>
  </si>
  <si>
    <t>31 Б3В</t>
  </si>
  <si>
    <t>36 Б1А</t>
  </si>
  <si>
    <t>36 Б2А</t>
  </si>
  <si>
    <t>36 Б3А</t>
  </si>
  <si>
    <t>41 Б1А</t>
  </si>
  <si>
    <t>41 Б2А</t>
  </si>
  <si>
    <t>41 Б3А</t>
  </si>
  <si>
    <t>41 Б4А</t>
  </si>
  <si>
    <t>41 Б5А</t>
  </si>
  <si>
    <t>46 Б1А</t>
  </si>
  <si>
    <t>46 Б2А</t>
  </si>
  <si>
    <t>46 Б3А</t>
  </si>
  <si>
    <t>46 Б4А</t>
  </si>
  <si>
    <t>46 Б5А</t>
  </si>
  <si>
    <t>46 Б1В</t>
  </si>
  <si>
    <t>46 Б2В</t>
  </si>
  <si>
    <t>46 Б3В</t>
  </si>
  <si>
    <t>46 Б4В</t>
  </si>
  <si>
    <t>46 Б5В</t>
  </si>
  <si>
    <t>61 Б1А</t>
  </si>
  <si>
    <t>61 Б2А</t>
  </si>
  <si>
    <t>Среднеполочные двутавры</t>
  </si>
  <si>
    <t>20 Д1А</t>
  </si>
  <si>
    <t>20 Д2А</t>
  </si>
  <si>
    <t>25 Д2А</t>
  </si>
  <si>
    <t>25 Д3А</t>
  </si>
  <si>
    <t>25 Д4А</t>
  </si>
  <si>
    <t>25 Д1В</t>
  </si>
  <si>
    <t>25 Д2В</t>
  </si>
  <si>
    <t>25 Д3В</t>
  </si>
  <si>
    <t>30 Ш2С</t>
  </si>
  <si>
    <t>50 Ш2С</t>
  </si>
  <si>
    <t>12 КС</t>
  </si>
  <si>
    <t>15 К1С</t>
  </si>
  <si>
    <t>15 К1А</t>
  </si>
  <si>
    <t>15 К2А</t>
  </si>
  <si>
    <t>15 К3А</t>
  </si>
  <si>
    <t>20 К2А</t>
  </si>
  <si>
    <t>20 К3А</t>
  </si>
  <si>
    <t>20 К4А</t>
  </si>
  <si>
    <t>20 К5А</t>
  </si>
  <si>
    <t>20 К6А</t>
  </si>
  <si>
    <t>20 К7А</t>
  </si>
  <si>
    <t>20 К4С</t>
  </si>
  <si>
    <t>25 К1АС</t>
  </si>
  <si>
    <t>25 К4С</t>
  </si>
  <si>
    <t>30 К3С</t>
  </si>
  <si>
    <t>31 К1АС</t>
  </si>
  <si>
    <t>31 К3АС</t>
  </si>
  <si>
    <t>35 К3С</t>
  </si>
  <si>
    <t>35 К4С</t>
  </si>
  <si>
    <t>40 К9С</t>
  </si>
  <si>
    <t>Двутавры с уклоном внутренних граней полок</t>
  </si>
  <si>
    <t>ГОСТ 19425-74 ГОСТ 8239-89</t>
  </si>
  <si>
    <t>24 М</t>
  </si>
  <si>
    <t>30 М</t>
  </si>
  <si>
    <t>36 М</t>
  </si>
  <si>
    <t>45 М</t>
  </si>
  <si>
    <t>Двутавры с уклоном внутренних граней полок изготавливаются мерной длины 9, 10, 12 м и немерной длины.</t>
  </si>
  <si>
    <t>По согласованию двутавры могут быть изготовлены другой мерной длины в пределах 8-24 м с интервалом промежуточных размеров 0,1 м.</t>
  </si>
  <si>
    <t>Швеллеры</t>
  </si>
  <si>
    <t>Номер швеллера</t>
  </si>
  <si>
    <t>Размеры, мм</t>
  </si>
  <si>
    <r>
      <t>Площадь поперечного сечения F, см</t>
    </r>
    <r>
      <rPr>
        <b/>
        <vertAlign val="superscript"/>
        <sz val="8.5"/>
        <color indexed="8"/>
        <rFont val="Tahoma"/>
        <family val="2"/>
        <charset val="162"/>
      </rPr>
      <t>2</t>
    </r>
  </si>
  <si>
    <t>Х-Х</t>
  </si>
  <si>
    <t>У-У</t>
  </si>
  <si>
    <r>
      <t>Х</t>
    </r>
    <r>
      <rPr>
        <b/>
        <vertAlign val="subscript"/>
        <sz val="8.5"/>
        <color indexed="8"/>
        <rFont val="Tahoma"/>
        <family val="2"/>
        <charset val="162"/>
      </rPr>
      <t>0</t>
    </r>
    <r>
      <rPr>
        <b/>
        <sz val="8.5"/>
        <color indexed="8"/>
        <rFont val="Tahoma"/>
        <family val="2"/>
        <charset val="162"/>
      </rPr>
      <t>, см</t>
    </r>
  </si>
  <si>
    <r>
      <t>I</t>
    </r>
    <r>
      <rPr>
        <b/>
        <vertAlign val="subscript"/>
        <sz val="8.5"/>
        <color indexed="8"/>
        <rFont val="Tahoma"/>
        <family val="2"/>
        <charset val="162"/>
      </rPr>
      <t>x</t>
    </r>
    <r>
      <rPr>
        <b/>
        <sz val="8.5"/>
        <color indexed="8"/>
        <rFont val="Tahoma"/>
        <family val="2"/>
        <charset val="162"/>
      </rPr>
      <t>, см</t>
    </r>
    <r>
      <rPr>
        <b/>
        <vertAlign val="superscript"/>
        <sz val="8.5"/>
        <color indexed="8"/>
        <rFont val="Tahoma"/>
        <family val="2"/>
        <charset val="162"/>
      </rPr>
      <t>4</t>
    </r>
  </si>
  <si>
    <r>
      <t>W</t>
    </r>
    <r>
      <rPr>
        <b/>
        <vertAlign val="subscript"/>
        <sz val="8.5"/>
        <color indexed="8"/>
        <rFont val="Tahoma"/>
        <family val="2"/>
        <charset val="162"/>
      </rPr>
      <t>x</t>
    </r>
    <r>
      <rPr>
        <b/>
        <sz val="8.5"/>
        <color indexed="8"/>
        <rFont val="Tahoma"/>
        <family val="2"/>
        <charset val="162"/>
      </rPr>
      <t>, см</t>
    </r>
    <r>
      <rPr>
        <b/>
        <vertAlign val="superscript"/>
        <sz val="8.5"/>
        <color indexed="8"/>
        <rFont val="Tahoma"/>
        <family val="2"/>
        <charset val="162"/>
      </rPr>
      <t>3</t>
    </r>
  </si>
  <si>
    <r>
      <t>i</t>
    </r>
    <r>
      <rPr>
        <b/>
        <vertAlign val="subscript"/>
        <sz val="8.5"/>
        <color indexed="8"/>
        <rFont val="Tahoma"/>
        <family val="2"/>
        <charset val="162"/>
      </rPr>
      <t>x</t>
    </r>
    <r>
      <rPr>
        <b/>
        <sz val="8.5"/>
        <color indexed="8"/>
        <rFont val="Tahoma"/>
        <family val="2"/>
        <charset val="162"/>
      </rPr>
      <t>, см</t>
    </r>
  </si>
  <si>
    <r>
      <t>S</t>
    </r>
    <r>
      <rPr>
        <b/>
        <vertAlign val="subscript"/>
        <sz val="8.5"/>
        <color indexed="8"/>
        <rFont val="Tahoma"/>
        <family val="2"/>
        <charset val="162"/>
      </rPr>
      <t>x</t>
    </r>
    <r>
      <rPr>
        <b/>
        <sz val="8.5"/>
        <color indexed="8"/>
        <rFont val="Tahoma"/>
        <family val="2"/>
        <charset val="162"/>
      </rPr>
      <t>, см</t>
    </r>
    <r>
      <rPr>
        <b/>
        <vertAlign val="superscript"/>
        <sz val="8.5"/>
        <color indexed="8"/>
        <rFont val="Tahoma"/>
        <family val="2"/>
        <charset val="162"/>
      </rPr>
      <t>3</t>
    </r>
  </si>
  <si>
    <r>
      <t>I</t>
    </r>
    <r>
      <rPr>
        <b/>
        <vertAlign val="subscript"/>
        <sz val="8.5"/>
        <color indexed="8"/>
        <rFont val="Tahoma"/>
        <family val="2"/>
        <charset val="162"/>
      </rPr>
      <t>y</t>
    </r>
    <r>
      <rPr>
        <b/>
        <sz val="8.5"/>
        <color indexed="8"/>
        <rFont val="Tahoma"/>
        <family val="2"/>
        <charset val="162"/>
      </rPr>
      <t>, см</t>
    </r>
    <r>
      <rPr>
        <b/>
        <vertAlign val="superscript"/>
        <sz val="8.5"/>
        <color indexed="8"/>
        <rFont val="Tahoma"/>
        <family val="2"/>
        <charset val="162"/>
      </rPr>
      <t>4</t>
    </r>
  </si>
  <si>
    <r>
      <t>W</t>
    </r>
    <r>
      <rPr>
        <b/>
        <vertAlign val="subscript"/>
        <sz val="8.5"/>
        <color indexed="8"/>
        <rFont val="Tahoma"/>
        <family val="2"/>
        <charset val="162"/>
      </rPr>
      <t>y</t>
    </r>
    <r>
      <rPr>
        <b/>
        <sz val="8.5"/>
        <color indexed="8"/>
        <rFont val="Tahoma"/>
        <family val="2"/>
        <charset val="162"/>
      </rPr>
      <t>, см</t>
    </r>
    <r>
      <rPr>
        <b/>
        <vertAlign val="superscript"/>
        <sz val="8.5"/>
        <color indexed="8"/>
        <rFont val="Tahoma"/>
        <family val="2"/>
        <charset val="162"/>
      </rPr>
      <t>3</t>
    </r>
  </si>
  <si>
    <r>
      <t>i</t>
    </r>
    <r>
      <rPr>
        <b/>
        <vertAlign val="subscript"/>
        <sz val="8.5"/>
        <color indexed="8"/>
        <rFont val="Tahoma"/>
        <family val="2"/>
        <charset val="162"/>
      </rPr>
      <t>y</t>
    </r>
    <r>
      <rPr>
        <b/>
        <sz val="8.5"/>
        <color indexed="8"/>
        <rFont val="Tahoma"/>
        <family val="2"/>
        <charset val="162"/>
      </rPr>
      <t>, см</t>
    </r>
  </si>
  <si>
    <t>TNG/ton</t>
  </si>
  <si>
    <t>USD/to+vat</t>
  </si>
  <si>
    <t>usd</t>
  </si>
  <si>
    <t>16У</t>
  </si>
  <si>
    <t>16аУ</t>
  </si>
  <si>
    <t>18У</t>
  </si>
  <si>
    <t>18аУ</t>
  </si>
  <si>
    <t>20У</t>
  </si>
  <si>
    <t>27У</t>
  </si>
  <si>
    <t>30У</t>
  </si>
  <si>
    <t>Уголки равнополочные ГОСТ 6509-93</t>
  </si>
  <si>
    <t>Марочный сортамент</t>
  </si>
  <si>
    <t>Обозначение стали</t>
  </si>
  <si>
    <t>Нормативный документ на химсостав</t>
  </si>
  <si>
    <t>Нормативный документ на техтребования</t>
  </si>
  <si>
    <t>Ст3пс, Ст3сп</t>
  </si>
  <si>
    <t>ГОСТ 380-94</t>
  </si>
  <si>
    <t>ГОСТ 535-88</t>
  </si>
  <si>
    <t>С245, С275</t>
  </si>
  <si>
    <t>ГОСТ 27772-88</t>
  </si>
  <si>
    <t>С255, С285</t>
  </si>
  <si>
    <t>С345, С375</t>
  </si>
  <si>
    <t>265-345</t>
  </si>
  <si>
    <t>ГОСТ 19281-89</t>
  </si>
  <si>
    <t>09Г2</t>
  </si>
  <si>
    <t>09Г2С</t>
  </si>
  <si>
    <t>Номер уголка</t>
  </si>
  <si>
    <r>
      <t>Площадь поперечного сечения, см</t>
    </r>
    <r>
      <rPr>
        <b/>
        <vertAlign val="superscript"/>
        <sz val="8.5"/>
        <color indexed="8"/>
        <rFont val="Tahoma"/>
        <family val="2"/>
        <charset val="162"/>
      </rPr>
      <t>2</t>
    </r>
  </si>
  <si>
    <t>t, мм</t>
  </si>
  <si>
    <t>X-X</t>
  </si>
  <si>
    <r>
      <t>X</t>
    </r>
    <r>
      <rPr>
        <b/>
        <vertAlign val="subscript"/>
        <sz val="8.5"/>
        <color indexed="8"/>
        <rFont val="Tahoma"/>
        <family val="2"/>
        <charset val="162"/>
      </rPr>
      <t>0</t>
    </r>
    <r>
      <rPr>
        <b/>
        <sz val="8.5"/>
        <color indexed="8"/>
        <rFont val="Tahoma"/>
        <family val="2"/>
        <charset val="162"/>
      </rPr>
      <t>-X</t>
    </r>
    <r>
      <rPr>
        <b/>
        <vertAlign val="subscript"/>
        <sz val="8.5"/>
        <color indexed="8"/>
        <rFont val="Tahoma"/>
        <family val="2"/>
        <charset val="162"/>
      </rPr>
      <t>0</t>
    </r>
  </si>
  <si>
    <r>
      <t>Y</t>
    </r>
    <r>
      <rPr>
        <b/>
        <vertAlign val="subscript"/>
        <sz val="8.5"/>
        <color indexed="8"/>
        <rFont val="Tahoma"/>
        <family val="2"/>
        <charset val="162"/>
      </rPr>
      <t>0</t>
    </r>
    <r>
      <rPr>
        <b/>
        <sz val="8.5"/>
        <color indexed="8"/>
        <rFont val="Tahoma"/>
        <family val="2"/>
        <charset val="162"/>
      </rPr>
      <t>-Y</t>
    </r>
    <r>
      <rPr>
        <b/>
        <vertAlign val="subscript"/>
        <sz val="8.5"/>
        <color indexed="8"/>
        <rFont val="Tahoma"/>
        <family val="2"/>
        <charset val="162"/>
      </rPr>
      <t>0</t>
    </r>
  </si>
  <si>
    <r>
      <t>I</t>
    </r>
    <r>
      <rPr>
        <b/>
        <vertAlign val="subscript"/>
        <sz val="8.5"/>
        <color indexed="8"/>
        <rFont val="Tahoma"/>
        <family val="2"/>
        <charset val="162"/>
      </rPr>
      <t>xy</t>
    </r>
    <r>
      <rPr>
        <b/>
        <sz val="8.5"/>
        <color indexed="8"/>
        <rFont val="Tahoma"/>
        <family val="2"/>
        <charset val="162"/>
      </rPr>
      <t>, см</t>
    </r>
    <r>
      <rPr>
        <b/>
        <vertAlign val="superscript"/>
        <sz val="8.5"/>
        <color indexed="8"/>
        <rFont val="Tahoma"/>
        <family val="2"/>
        <charset val="162"/>
      </rPr>
      <t>4</t>
    </r>
  </si>
  <si>
    <r>
      <t>X</t>
    </r>
    <r>
      <rPr>
        <b/>
        <vertAlign val="subscript"/>
        <sz val="8.5"/>
        <color indexed="8"/>
        <rFont val="Tahoma"/>
        <family val="2"/>
        <charset val="162"/>
      </rPr>
      <t>0</t>
    </r>
    <r>
      <rPr>
        <b/>
        <sz val="8.5"/>
        <color indexed="8"/>
        <rFont val="Tahoma"/>
        <family val="2"/>
        <charset val="162"/>
      </rPr>
      <t>, см</t>
    </r>
  </si>
  <si>
    <r>
      <t>I</t>
    </r>
    <r>
      <rPr>
        <b/>
        <vertAlign val="subscript"/>
        <sz val="8.5"/>
        <color indexed="8"/>
        <rFont val="Tahoma"/>
        <family val="2"/>
        <charset val="162"/>
      </rPr>
      <t>x0</t>
    </r>
    <r>
      <rPr>
        <b/>
        <sz val="8.5"/>
        <color indexed="8"/>
        <rFont val="Tahoma"/>
        <family val="2"/>
        <charset val="162"/>
      </rPr>
      <t>max, см</t>
    </r>
    <r>
      <rPr>
        <b/>
        <vertAlign val="superscript"/>
        <sz val="8.5"/>
        <color indexed="8"/>
        <rFont val="Tahoma"/>
        <family val="2"/>
        <charset val="162"/>
      </rPr>
      <t>4</t>
    </r>
  </si>
  <si>
    <r>
      <t>i</t>
    </r>
    <r>
      <rPr>
        <b/>
        <vertAlign val="subscript"/>
        <sz val="8.5"/>
        <color indexed="8"/>
        <rFont val="Tahoma"/>
        <family val="2"/>
        <charset val="162"/>
      </rPr>
      <t>x0</t>
    </r>
    <r>
      <rPr>
        <b/>
        <sz val="8.5"/>
        <color indexed="8"/>
        <rFont val="Tahoma"/>
        <family val="2"/>
        <charset val="162"/>
      </rPr>
      <t>max, см</t>
    </r>
  </si>
  <si>
    <r>
      <t>I</t>
    </r>
    <r>
      <rPr>
        <b/>
        <vertAlign val="subscript"/>
        <sz val="8.5"/>
        <color indexed="8"/>
        <rFont val="Tahoma"/>
        <family val="2"/>
        <charset val="162"/>
      </rPr>
      <t>y0</t>
    </r>
    <r>
      <rPr>
        <b/>
        <sz val="8.5"/>
        <color indexed="8"/>
        <rFont val="Tahoma"/>
        <family val="2"/>
        <charset val="162"/>
      </rPr>
      <t>max, см</t>
    </r>
    <r>
      <rPr>
        <b/>
        <vertAlign val="superscript"/>
        <sz val="8.5"/>
        <color indexed="8"/>
        <rFont val="Tahoma"/>
        <family val="2"/>
        <charset val="162"/>
      </rPr>
      <t>3</t>
    </r>
  </si>
  <si>
    <r>
      <t>18</t>
    </r>
    <r>
      <rPr>
        <vertAlign val="superscript"/>
        <sz val="9"/>
        <color indexed="8"/>
        <rFont val="Tahoma"/>
        <family val="2"/>
        <charset val="162"/>
      </rPr>
      <t>*</t>
    </r>
  </si>
  <si>
    <t>41,64,54</t>
  </si>
  <si>
    <t>Уголки неравнополочные ГОСТ 8510-86</t>
  </si>
  <si>
    <t>Площадь</t>
  </si>
  <si>
    <t>Угол наклона оси, tg a</t>
  </si>
  <si>
    <t>Y-Y</t>
  </si>
  <si>
    <t>U-U</t>
  </si>
  <si>
    <r>
      <t>Y</t>
    </r>
    <r>
      <rPr>
        <b/>
        <vertAlign val="subscript"/>
        <sz val="8.5"/>
        <color indexed="8"/>
        <rFont val="Tahoma"/>
        <family val="2"/>
        <charset val="162"/>
      </rPr>
      <t>0</t>
    </r>
    <r>
      <rPr>
        <b/>
        <sz val="8.5"/>
        <color indexed="8"/>
        <rFont val="Tahoma"/>
        <family val="2"/>
        <charset val="162"/>
      </rPr>
      <t>, см</t>
    </r>
  </si>
  <si>
    <r>
      <t>поперечного сечения, см</t>
    </r>
    <r>
      <rPr>
        <b/>
        <vertAlign val="superscript"/>
        <sz val="8.5"/>
        <color indexed="8"/>
        <rFont val="Tahoma"/>
        <family val="2"/>
        <charset val="162"/>
      </rPr>
      <t>2</t>
    </r>
  </si>
  <si>
    <r>
      <t>I</t>
    </r>
    <r>
      <rPr>
        <b/>
        <vertAlign val="subscript"/>
        <sz val="8.5"/>
        <color indexed="8"/>
        <rFont val="Tahoma"/>
        <family val="2"/>
        <charset val="162"/>
      </rPr>
      <t>u</t>
    </r>
    <r>
      <rPr>
        <b/>
        <sz val="8.5"/>
        <color indexed="8"/>
        <rFont val="Tahoma"/>
        <family val="2"/>
        <charset val="162"/>
      </rPr>
      <t xml:space="preserve"> min, см</t>
    </r>
    <r>
      <rPr>
        <b/>
        <vertAlign val="superscript"/>
        <sz val="8.5"/>
        <color indexed="8"/>
        <rFont val="Tahoma"/>
        <family val="2"/>
        <charset val="162"/>
      </rPr>
      <t>4</t>
    </r>
  </si>
  <si>
    <r>
      <t>W</t>
    </r>
    <r>
      <rPr>
        <b/>
        <vertAlign val="subscript"/>
        <sz val="8.5"/>
        <color indexed="8"/>
        <rFont val="Tahoma"/>
        <family val="2"/>
        <charset val="162"/>
      </rPr>
      <t>u</t>
    </r>
    <r>
      <rPr>
        <b/>
        <sz val="8.5"/>
        <color indexed="8"/>
        <rFont val="Tahoma"/>
        <family val="2"/>
        <charset val="162"/>
      </rPr>
      <t xml:space="preserve"> min, см</t>
    </r>
    <r>
      <rPr>
        <b/>
        <vertAlign val="superscript"/>
        <sz val="8.5"/>
        <color indexed="8"/>
        <rFont val="Tahoma"/>
        <family val="2"/>
        <charset val="162"/>
      </rPr>
      <t>3</t>
    </r>
  </si>
  <si>
    <r>
      <t>i</t>
    </r>
    <r>
      <rPr>
        <b/>
        <vertAlign val="subscript"/>
        <sz val="8.5"/>
        <color indexed="8"/>
        <rFont val="Tahoma"/>
        <family val="2"/>
        <charset val="162"/>
      </rPr>
      <t>u</t>
    </r>
    <r>
      <rPr>
        <b/>
        <sz val="8.5"/>
        <color indexed="8"/>
        <rFont val="Tahoma"/>
        <family val="2"/>
        <charset val="162"/>
      </rPr>
      <t>min, см</t>
    </r>
  </si>
  <si>
    <t>20/12,5</t>
  </si>
  <si>
    <t>Шахтная стойка</t>
  </si>
  <si>
    <t>Номер профиля</t>
  </si>
  <si>
    <t>Размеры профиля, мм</t>
  </si>
  <si>
    <t>СВП 22</t>
  </si>
  <si>
    <t>Ст5пс</t>
  </si>
  <si>
    <t>ТУ 14-102-126-91</t>
  </si>
  <si>
    <t>h1</t>
  </si>
  <si>
    <t>h2</t>
  </si>
  <si>
    <t>b1</t>
  </si>
  <si>
    <t>b2</t>
  </si>
  <si>
    <t>b3</t>
  </si>
  <si>
    <t>b4</t>
  </si>
  <si>
    <t>b5</t>
  </si>
  <si>
    <t>d1</t>
  </si>
  <si>
    <t>d2</t>
  </si>
  <si>
    <t>R1</t>
  </si>
  <si>
    <t>R2</t>
  </si>
  <si>
    <t>R3</t>
  </si>
  <si>
    <t>R4</t>
  </si>
  <si>
    <r>
      <t>W</t>
    </r>
    <r>
      <rPr>
        <b/>
        <vertAlign val="subscript"/>
        <sz val="8.5"/>
        <color indexed="8"/>
        <rFont val="Tahoma"/>
        <family val="2"/>
        <charset val="162"/>
      </rPr>
      <t>x</t>
    </r>
    <r>
      <rPr>
        <b/>
        <sz val="8.5"/>
        <color indexed="8"/>
        <rFont val="Tahoma"/>
        <family val="2"/>
        <charset val="162"/>
      </rPr>
      <t xml:space="preserve"> пл, см</t>
    </r>
    <r>
      <rPr>
        <b/>
        <vertAlign val="superscript"/>
        <sz val="8.5"/>
        <color indexed="8"/>
        <rFont val="Tahoma"/>
        <family val="2"/>
        <charset val="162"/>
      </rPr>
      <t>3</t>
    </r>
  </si>
  <si>
    <t>СВП 27</t>
  </si>
  <si>
    <t>Шпунт</t>
  </si>
  <si>
    <t>Характеристики профиля</t>
  </si>
  <si>
    <r>
      <t>Площадь поперечного сечения F</t>
    </r>
    <r>
      <rPr>
        <b/>
        <vertAlign val="subscript"/>
        <sz val="8.5"/>
        <color indexed="8"/>
        <rFont val="Tahoma"/>
        <family val="2"/>
        <charset val="162"/>
      </rPr>
      <t>n</t>
    </r>
    <r>
      <rPr>
        <b/>
        <sz val="8.5"/>
        <color indexed="8"/>
        <rFont val="Tahoma"/>
        <family val="2"/>
        <charset val="162"/>
      </rPr>
      <t>*, см</t>
    </r>
    <r>
      <rPr>
        <b/>
        <vertAlign val="superscript"/>
        <sz val="8.5"/>
        <color indexed="8"/>
        <rFont val="Tahoma"/>
        <family val="2"/>
        <charset val="162"/>
      </rPr>
      <t>2</t>
    </r>
  </si>
  <si>
    <r>
      <t>Масса профиля M</t>
    </r>
    <r>
      <rPr>
        <b/>
        <vertAlign val="subscript"/>
        <sz val="8.5"/>
        <color indexed="8"/>
        <rFont val="Tahoma"/>
        <family val="2"/>
        <charset val="162"/>
      </rPr>
      <t>n, кг/м</t>
    </r>
  </si>
  <si>
    <r>
      <t>Расчетный периметр P</t>
    </r>
    <r>
      <rPr>
        <b/>
        <vertAlign val="subscript"/>
        <sz val="8.5"/>
        <color indexed="8"/>
        <rFont val="Tahoma"/>
        <family val="2"/>
        <charset val="162"/>
      </rPr>
      <t>p</t>
    </r>
    <r>
      <rPr>
        <b/>
        <sz val="8.5"/>
        <color indexed="8"/>
        <rFont val="Tahoma"/>
        <family val="2"/>
        <charset val="162"/>
      </rPr>
      <t>**, см</t>
    </r>
  </si>
  <si>
    <t>Химический состав стали</t>
  </si>
  <si>
    <t>Механические свойства проката, не менее</t>
  </si>
  <si>
    <t>Массовая доля элемента, %</t>
  </si>
  <si>
    <t>Классы по EN 10248-1</t>
  </si>
  <si>
    <t>С</t>
  </si>
  <si>
    <t>Mn</t>
  </si>
  <si>
    <t>Si</t>
  </si>
  <si>
    <r>
      <t>Предел текучести, H/мм</t>
    </r>
    <r>
      <rPr>
        <b/>
        <vertAlign val="superscript"/>
        <sz val="8.5"/>
        <color indexed="8"/>
        <rFont val="Tahoma"/>
        <family val="2"/>
        <charset val="162"/>
      </rPr>
      <t>2</t>
    </r>
  </si>
  <si>
    <r>
      <t>Временное сопротивление, H/мм</t>
    </r>
    <r>
      <rPr>
        <b/>
        <vertAlign val="superscript"/>
        <sz val="8.5"/>
        <color indexed="8"/>
        <rFont val="Tahoma"/>
        <family val="2"/>
        <charset val="162"/>
      </rPr>
      <t>2</t>
    </r>
  </si>
  <si>
    <t>Относительное удлинение, %</t>
  </si>
  <si>
    <r>
      <t>Ударная вязкозть KCU, Дж/см</t>
    </r>
    <r>
      <rPr>
        <b/>
        <vertAlign val="superscript"/>
        <sz val="8.5"/>
        <color indexed="8"/>
        <rFont val="Tahoma"/>
        <family val="2"/>
        <charset val="162"/>
      </rPr>
      <t>2</t>
    </r>
  </si>
  <si>
    <t>Ударная вязкозть после мех. старения</t>
  </si>
  <si>
    <t>0.040</t>
  </si>
  <si>
    <t>C255</t>
  </si>
  <si>
    <t>0,22 max</t>
  </si>
  <si>
    <t>0,65 max</t>
  </si>
  <si>
    <t>0,15-0,30</t>
  </si>
  <si>
    <t>0,040x</t>
  </si>
  <si>
    <t>29*</t>
  </si>
  <si>
    <t>C285</t>
  </si>
  <si>
    <t>0,20 max</t>
  </si>
  <si>
    <t>S240GP</t>
  </si>
  <si>
    <t>0,24 max</t>
  </si>
  <si>
    <t>S270GP</t>
  </si>
  <si>
    <t>1,60 max</t>
  </si>
  <si>
    <t>1,55 max</t>
  </si>
  <si>
    <t>S320GP</t>
  </si>
  <si>
    <t>Профиль для боковины рештака</t>
  </si>
  <si>
    <t>Характеристики профиля и материала</t>
  </si>
  <si>
    <t>Шифр профиля</t>
  </si>
  <si>
    <t>Нормативный документ</t>
  </si>
  <si>
    <r>
      <t>Площадь сечения F, см</t>
    </r>
    <r>
      <rPr>
        <b/>
        <vertAlign val="superscript"/>
        <sz val="8.5"/>
        <color indexed="8"/>
        <rFont val="Tahoma"/>
        <family val="2"/>
        <charset val="162"/>
      </rPr>
      <t>2</t>
    </r>
  </si>
  <si>
    <t>Условия поставки по длине, длина проката, м</t>
  </si>
  <si>
    <t>ТУ 14-102-148-93</t>
  </si>
  <si>
    <t>40ГР</t>
  </si>
  <si>
    <t>мерная - 4,1-10,5</t>
  </si>
  <si>
    <t>30Г2Р</t>
  </si>
  <si>
    <t>кратная мерной</t>
  </si>
  <si>
    <t>немерная</t>
  </si>
  <si>
    <t>Профили для башмака гусениц</t>
  </si>
  <si>
    <t>Нормативный документ на профиль</t>
  </si>
  <si>
    <t>ГОСТ 5422-73</t>
  </si>
  <si>
    <t>мерная - 5,6-12</t>
  </si>
  <si>
    <t>Э</t>
  </si>
  <si>
    <t>ТУ 14-102-128-92</t>
  </si>
  <si>
    <t>40 ГР</t>
  </si>
  <si>
    <t>ГОСТ 4543-71</t>
  </si>
  <si>
    <t>ГОСТ 1050-88</t>
  </si>
  <si>
    <t>Полособульбы</t>
  </si>
  <si>
    <t>Нормативный документ на химсостав и техтребования</t>
  </si>
  <si>
    <t>Условия доставки по длине, длина проката, м</t>
  </si>
  <si>
    <t>А 32*</t>
  </si>
  <si>
    <t>ГОСТ 5521-93</t>
  </si>
  <si>
    <t>мерная - 5,6-13</t>
  </si>
  <si>
    <t>и др.</t>
  </si>
  <si>
    <t>Номер полосо-бульба</t>
  </si>
  <si>
    <r>
      <t>Площадь сечения, см</t>
    </r>
    <r>
      <rPr>
        <b/>
        <vertAlign val="superscript"/>
        <sz val="8.5"/>
        <color indexed="8"/>
        <rFont val="Tahoma"/>
        <family val="2"/>
        <charset val="162"/>
      </rPr>
      <t>2</t>
    </r>
  </si>
  <si>
    <t>Средняя толщина полки на расстоянии (b-s)/4</t>
  </si>
  <si>
    <r>
      <t>r</t>
    </r>
    <r>
      <rPr>
        <b/>
        <vertAlign val="subscript"/>
        <sz val="8.5"/>
        <color indexed="8"/>
        <rFont val="Tahoma"/>
        <family val="2"/>
        <charset val="162"/>
      </rPr>
      <t>1</t>
    </r>
  </si>
  <si>
    <r>
      <t>r</t>
    </r>
    <r>
      <rPr>
        <b/>
        <vertAlign val="subscript"/>
        <sz val="8.5"/>
        <color indexed="8"/>
        <rFont val="Tahoma"/>
        <family val="2"/>
        <charset val="162"/>
      </rPr>
      <t>2</t>
    </r>
  </si>
  <si>
    <t>Прокат круглый</t>
  </si>
  <si>
    <t>Диаметр, мм</t>
  </si>
  <si>
    <t>70, 75, 80, 85, 90,</t>
  </si>
  <si>
    <t>ГОСТ 2590-88</t>
  </si>
  <si>
    <t>мерная - 4,1-8*</t>
  </si>
  <si>
    <t>100, 105, 110, 115,</t>
  </si>
  <si>
    <t>120, 130, 140, 150</t>
  </si>
  <si>
    <t>Назначение</t>
  </si>
  <si>
    <t>Общее</t>
  </si>
  <si>
    <t>Ст3 - Ст6</t>
  </si>
  <si>
    <t>15Г - 50Г</t>
  </si>
  <si>
    <t>65, 70, 60Г - 70Г</t>
  </si>
  <si>
    <t>ГОСТ 14959-79</t>
  </si>
  <si>
    <t>265, 295</t>
  </si>
  <si>
    <t>ГОСТ 19281-89*</t>
  </si>
  <si>
    <t>09Г2С, 10Г2С1</t>
  </si>
  <si>
    <t>Для стержней мельниц</t>
  </si>
  <si>
    <t>ТУ 14-1-1586-76</t>
  </si>
  <si>
    <t>65 - 85</t>
  </si>
  <si>
    <t>60Г, 65Г, 70Г</t>
  </si>
  <si>
    <t>Шары</t>
  </si>
  <si>
    <t>Условный диаметр шара, мм</t>
  </si>
  <si>
    <t>Номинальный диаметр шара, мм</t>
  </si>
  <si>
    <t>Нормативный документ на сортамент и техтребования</t>
  </si>
  <si>
    <t>Группа твердости</t>
  </si>
  <si>
    <t>ГОСТ 7524-89</t>
  </si>
  <si>
    <t>1, 2, 3</t>
  </si>
  <si>
    <t>Заготовка трубная</t>
  </si>
  <si>
    <t>Наименование продукции</t>
  </si>
  <si>
    <t>Заготовка трубная круглая</t>
  </si>
  <si>
    <t>90, 100, 105, 115, 120, 130, 140, 150, 210</t>
  </si>
  <si>
    <t>ОСТ 14-21-77</t>
  </si>
  <si>
    <t>мерная - 4,1-12</t>
  </si>
  <si>
    <t>Заготовка квадратная</t>
  </si>
  <si>
    <t>Сортамент проката</t>
  </si>
  <si>
    <t>Сторона квадрата, мм</t>
  </si>
  <si>
    <t>Нормативный документ на профиль и техтребования</t>
  </si>
  <si>
    <t>80, 100, 110, 115, 120, 125, 130, 140, 150, 160, 180, 200, 215, 220</t>
  </si>
  <si>
    <t>ТУ 14-1-5237-93</t>
  </si>
  <si>
    <t>Ст2 - Ст16</t>
  </si>
  <si>
    <t>мерная - 6-12</t>
  </si>
  <si>
    <t>ТУ14-1-4492-88</t>
  </si>
  <si>
    <t>20Г - 35Г</t>
  </si>
  <si>
    <t>30Г2 - 35Г2</t>
  </si>
  <si>
    <t>ГОСТ 5781-82</t>
  </si>
  <si>
    <t>ограниченная</t>
  </si>
  <si>
    <t>35ГС</t>
  </si>
  <si>
    <t>18Г2С, 25Г2С</t>
  </si>
  <si>
    <t>Блюмы</t>
  </si>
  <si>
    <t>Сечение заготовки, мм</t>
  </si>
  <si>
    <t>250-425х250-500</t>
  </si>
  <si>
    <t>СТО 17-94</t>
  </si>
  <si>
    <t>Ст0, Ст1-Ст6</t>
  </si>
  <si>
    <t>мерная 2,4-6</t>
  </si>
  <si>
    <t>СТО 18-94</t>
  </si>
  <si>
    <t>ТУ 14-1-4492-88</t>
  </si>
  <si>
    <t>65-85, 60Г - 70Г</t>
  </si>
  <si>
    <t>09Г2С, 14Г2</t>
  </si>
  <si>
    <t>ГОСТ 19281-88</t>
  </si>
  <si>
    <t>Непрерывно-литая заготовка</t>
  </si>
  <si>
    <t>Характеристики заготовок</t>
  </si>
  <si>
    <t>Масса 1 м заготовки, кг</t>
  </si>
  <si>
    <t>Длина, мм</t>
  </si>
  <si>
    <t>Предельное отклонение</t>
  </si>
  <si>
    <t>МНАЗ №1</t>
  </si>
  <si>
    <t>круг 430</t>
  </si>
  <si>
    <t>2800-6200</t>
  </si>
  <si>
    <t>±5 мм</t>
  </si>
  <si>
    <t>±25 мм</t>
  </si>
  <si>
    <t>300х360</t>
  </si>
  <si>
    <t>±3 %</t>
  </si>
  <si>
    <t>±100 мм</t>
  </si>
  <si>
    <t>240х440</t>
  </si>
  <si>
    <t>3700-11400</t>
  </si>
  <si>
    <t>МНАЗ №2</t>
  </si>
  <si>
    <t>240-1250</t>
  </si>
  <si>
    <t>4500-5700</t>
  </si>
  <si>
    <t>+10 мм</t>
  </si>
  <si>
    <t>±1%</t>
  </si>
  <si>
    <t>±100мм</t>
  </si>
  <si>
    <t>240х1515</t>
  </si>
  <si>
    <t>-5мм</t>
  </si>
  <si>
    <t>МНАЗ №3</t>
  </si>
  <si>
    <t>200х527</t>
  </si>
  <si>
    <t>3600-11500</t>
  </si>
  <si>
    <t>165/395х530</t>
  </si>
  <si>
    <t>±6 мм</t>
  </si>
  <si>
    <t>±8 мм</t>
  </si>
  <si>
    <t>±60 мм</t>
  </si>
  <si>
    <r>
      <t>SIZES AND STATICAL VALUES OF</t>
    </r>
    <r>
      <rPr>
        <b/>
        <sz val="16"/>
        <rFont val="Times New Roman"/>
        <family val="1"/>
        <charset val="162"/>
      </rPr>
      <t xml:space="preserve"> I </t>
    </r>
    <r>
      <rPr>
        <b/>
        <sz val="14"/>
        <rFont val="Arial"/>
        <family val="2"/>
        <charset val="162"/>
      </rPr>
      <t>BEAMS AS PER GOST IN RUSSIAN FEDERATION</t>
    </r>
  </si>
  <si>
    <t>GOST</t>
  </si>
  <si>
    <t>r1</t>
  </si>
  <si>
    <t>r2</t>
  </si>
  <si>
    <t>Sy</t>
  </si>
  <si>
    <t>Iz</t>
  </si>
  <si>
    <t>Wz</t>
  </si>
  <si>
    <t>iz</t>
  </si>
  <si>
    <t>26020-83</t>
  </si>
  <si>
    <t>20К1</t>
  </si>
  <si>
    <t>20К2</t>
  </si>
  <si>
    <t>23К1</t>
  </si>
  <si>
    <t>23К2</t>
  </si>
  <si>
    <t>26К1</t>
  </si>
  <si>
    <t>26К2</t>
  </si>
  <si>
    <t>26К3</t>
  </si>
  <si>
    <t>30К1</t>
  </si>
  <si>
    <t>30К2</t>
  </si>
  <si>
    <t>30К3</t>
  </si>
  <si>
    <t>35К1</t>
  </si>
  <si>
    <t>35К2</t>
  </si>
  <si>
    <t>35К3</t>
  </si>
  <si>
    <t>40К1</t>
  </si>
  <si>
    <t>40К2</t>
  </si>
  <si>
    <t>40К3</t>
  </si>
  <si>
    <t>40К4</t>
  </si>
  <si>
    <t>40К5</t>
  </si>
  <si>
    <t>8239-89</t>
  </si>
  <si>
    <t>24ДБ1</t>
  </si>
  <si>
    <t>27ДБ1</t>
  </si>
  <si>
    <t>36ДБ1</t>
  </si>
  <si>
    <t>35ДБ1</t>
  </si>
  <si>
    <t>40ДБ1</t>
  </si>
  <si>
    <t>45ДБ1</t>
  </si>
  <si>
    <t>45ДБ2</t>
  </si>
  <si>
    <t>30ДШ1</t>
  </si>
  <si>
    <t>40ДШ1</t>
  </si>
  <si>
    <t>50ДШ1</t>
  </si>
  <si>
    <t>10Б1</t>
  </si>
  <si>
    <t>12Б1</t>
  </si>
  <si>
    <t>12Б2</t>
  </si>
  <si>
    <t>14Б1</t>
  </si>
  <si>
    <t>14Б2</t>
  </si>
  <si>
    <t>16Б1</t>
  </si>
  <si>
    <t>16Б2</t>
  </si>
  <si>
    <t>18Б1</t>
  </si>
  <si>
    <t>18Б2</t>
  </si>
  <si>
    <t>20Б1</t>
  </si>
  <si>
    <t>23Б1</t>
  </si>
  <si>
    <t>26Б1</t>
  </si>
  <si>
    <t>26Б2</t>
  </si>
  <si>
    <t>30Б1</t>
  </si>
  <si>
    <t>30Б2</t>
  </si>
  <si>
    <t>41,4- 29 ton</t>
  </si>
  <si>
    <t>35Б1</t>
  </si>
  <si>
    <t>35Б2</t>
  </si>
  <si>
    <t>12.000 mm/bar</t>
  </si>
  <si>
    <t>40Б1</t>
  </si>
  <si>
    <t>235 N/mm2</t>
  </si>
  <si>
    <t>40Б2</t>
  </si>
  <si>
    <t>66,2-12 ton</t>
  </si>
  <si>
    <t>45Б1</t>
  </si>
  <si>
    <t>45Б2</t>
  </si>
  <si>
    <t>50Б1</t>
  </si>
  <si>
    <t>50Б2</t>
  </si>
  <si>
    <t>55Б1</t>
  </si>
  <si>
    <t>55Б2</t>
  </si>
  <si>
    <t>60Б1</t>
  </si>
  <si>
    <t>60Б2</t>
  </si>
  <si>
    <t>70Б1</t>
  </si>
  <si>
    <t>70Б2</t>
  </si>
  <si>
    <t>80Б1</t>
  </si>
  <si>
    <t>80Б2</t>
  </si>
  <si>
    <t>90Б1</t>
  </si>
  <si>
    <t>90Б2</t>
  </si>
  <si>
    <t>100Б1</t>
  </si>
  <si>
    <t>100Б2</t>
  </si>
  <si>
    <t>100Б3</t>
  </si>
  <si>
    <t>100Б4</t>
  </si>
  <si>
    <t>20Ш1</t>
  </si>
  <si>
    <t>23Ш1</t>
  </si>
  <si>
    <t>26Ш1</t>
  </si>
  <si>
    <t>26Ш2</t>
  </si>
  <si>
    <t>30Ш1</t>
  </si>
  <si>
    <t>30Ш2</t>
  </si>
  <si>
    <t>30Ш3</t>
  </si>
  <si>
    <t>35Ш1</t>
  </si>
  <si>
    <t>35Ш2</t>
  </si>
  <si>
    <t>35Ш3</t>
  </si>
  <si>
    <t>40Ш1</t>
  </si>
  <si>
    <t>40Ш2</t>
  </si>
  <si>
    <t>40Ш3</t>
  </si>
  <si>
    <t>50Ш1</t>
  </si>
  <si>
    <t>50Ш2</t>
  </si>
  <si>
    <t>50Ш3</t>
  </si>
  <si>
    <t>50Ш4</t>
  </si>
  <si>
    <t>60Ш1</t>
  </si>
  <si>
    <t>60Ш2</t>
  </si>
  <si>
    <t>60Ш3</t>
  </si>
  <si>
    <t>60Ш4</t>
  </si>
  <si>
    <t>70Ш1</t>
  </si>
  <si>
    <t>70Ш2</t>
  </si>
  <si>
    <t>70Ш3</t>
  </si>
  <si>
    <t>70Ш4</t>
  </si>
  <si>
    <t>70Ш5</t>
  </si>
  <si>
    <t>degrees</t>
  </si>
  <si>
    <r>
      <rPr>
        <sz val="9"/>
        <rFont val="Arial"/>
        <family val="2"/>
        <charset val="162"/>
      </rPr>
      <t>roof slope</t>
    </r>
    <r>
      <rPr>
        <sz val="9"/>
        <rFont val="Symbol"/>
        <family val="1"/>
        <charset val="2"/>
      </rPr>
      <t xml:space="preserve"> (a )</t>
    </r>
  </si>
  <si>
    <t>q wind</t>
  </si>
  <si>
    <t>pe</t>
  </si>
  <si>
    <t>pf</t>
  </si>
  <si>
    <t>N=</t>
  </si>
  <si>
    <t>1/m</t>
  </si>
  <si>
    <t>CM2</t>
  </si>
  <si>
    <t>Amin=</t>
  </si>
  <si>
    <t>sigma max=</t>
  </si>
  <si>
    <t>kg/ea</t>
  </si>
  <si>
    <t>qv t/m</t>
  </si>
  <si>
    <t>Pv ton</t>
  </si>
  <si>
    <t>L m</t>
  </si>
  <si>
    <t>iy cm</t>
  </si>
  <si>
    <t>basınç ger t/cm2</t>
  </si>
  <si>
    <t>M max kg.m</t>
  </si>
  <si>
    <t>Wx cm3</t>
  </si>
  <si>
    <t>eğ ger t/cm2</t>
  </si>
  <si>
    <t>topl  ger t/cm2</t>
  </si>
  <si>
    <t>A cm2</t>
  </si>
  <si>
    <r>
      <t xml:space="preserve">DÜZGÜN YAYILI YÜK TAŞIYAN </t>
    </r>
    <r>
      <rPr>
        <b/>
        <sz val="9"/>
        <color indexed="10"/>
        <rFont val="Arial Tur"/>
        <charset val="162"/>
      </rPr>
      <t xml:space="preserve">DÖRT </t>
    </r>
    <r>
      <rPr>
        <b/>
        <sz val="9"/>
        <rFont val="Arial Tur"/>
        <charset val="162"/>
      </rPr>
      <t>AÇIKLIKLI BASİT MESNETLİ EĞİLME KİRİŞLERİNİN STATİK HESABI</t>
    </r>
  </si>
  <si>
    <r>
      <t>"</t>
    </r>
    <r>
      <rPr>
        <b/>
        <u/>
        <sz val="9"/>
        <rFont val="Arial Tur"/>
        <charset val="162"/>
      </rPr>
      <t>mukavemet</t>
    </r>
    <r>
      <rPr>
        <b/>
        <sz val="9"/>
        <rFont val="Arial Tur"/>
        <charset val="162"/>
      </rPr>
      <t>" kriterine göre kesit hesabı</t>
    </r>
  </si>
  <si>
    <r>
      <t xml:space="preserve">DÜZGÜN YAYILI YÜK TAŞIYAN </t>
    </r>
    <r>
      <rPr>
        <b/>
        <sz val="9"/>
        <color indexed="10"/>
        <rFont val="Arial Tur"/>
        <charset val="162"/>
      </rPr>
      <t>ÜÇ</t>
    </r>
    <r>
      <rPr>
        <b/>
        <sz val="9"/>
        <rFont val="Arial Tur"/>
        <charset val="162"/>
      </rPr>
      <t xml:space="preserve"> AÇIKLIKLI BASİT MESNETLİ EĞİLME KİRİŞLERİNİN STATİK HESABI</t>
    </r>
  </si>
  <si>
    <r>
      <t>DÜZGÜN YAYILI YÜK TAŞIYAN</t>
    </r>
    <r>
      <rPr>
        <sz val="9"/>
        <color indexed="10"/>
        <rFont val="Arial Tur"/>
        <charset val="162"/>
      </rPr>
      <t xml:space="preserve"> </t>
    </r>
    <r>
      <rPr>
        <b/>
        <sz val="9"/>
        <color indexed="10"/>
        <rFont val="Arial Tur"/>
        <charset val="162"/>
      </rPr>
      <t xml:space="preserve">İKİ </t>
    </r>
    <r>
      <rPr>
        <b/>
        <sz val="9"/>
        <rFont val="Arial Tur"/>
        <charset val="162"/>
      </rPr>
      <t>AÇIKLIKLI BASİT MESNETLİ EĞİLME KİRİŞLERİNİN STATİK HESABI</t>
    </r>
  </si>
  <si>
    <t>t.cm</t>
  </si>
  <si>
    <t>Hp</t>
  </si>
  <si>
    <t>(m-1)</t>
  </si>
  <si>
    <t>kg/parça</t>
  </si>
  <si>
    <t>USD/ton</t>
  </si>
  <si>
    <t>USD/parça</t>
  </si>
  <si>
    <t>usd/kg</t>
  </si>
  <si>
    <t>usd/m</t>
  </si>
  <si>
    <t>TL/m</t>
  </si>
  <si>
    <t>TL/usd</t>
  </si>
  <si>
    <t>kg basınç</t>
  </si>
  <si>
    <t>cm boy</t>
  </si>
  <si>
    <t>ton basınç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</si>
</sst>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4">
    <numFmt numFmtId="164" formatCode="_-* #,##0_-;\-* #,##0_-;_-* &quot;-&quot;_-;_-@_-"/>
    <numFmt numFmtId="165" formatCode="_-* #,##0.00_-;\-* #,##0.00_-;_-* &quot;-&quot;??_-;_-@_-"/>
    <numFmt numFmtId="166" formatCode="0.0"/>
    <numFmt numFmtId="167" formatCode="0.000"/>
    <numFmt numFmtId="168" formatCode="000.0"/>
    <numFmt numFmtId="169" formatCode="000"/>
    <numFmt numFmtId="170" formatCode="0000"/>
    <numFmt numFmtId="171" formatCode="0.0000"/>
    <numFmt numFmtId="172" formatCode="#,##0.0"/>
    <numFmt numFmtId="173" formatCode="_-* #,##0\ _$_-;\-* #,##0\ _$_-;_-* &quot;-&quot;\ _$_-;_-@_-"/>
    <numFmt numFmtId="174" formatCode="_-* #,##0.00\ &quot;$&quot;_-;\-* #,##0.00\ &quot;$&quot;_-;_-* &quot;-&quot;??\ &quot;$&quot;_-;_-@_-"/>
    <numFmt numFmtId="175" formatCode="&quot;$&quot;#,##0.00;[Red]\-&quot;$&quot;#,##0.00"/>
    <numFmt numFmtId="176" formatCode="_-&quot;$&quot;* #,##0_-;\-&quot;$&quot;* #,##0_-;_-&quot;$&quot;* &quot;-&quot;_-;_-@_-"/>
    <numFmt numFmtId="177" formatCode="&quot;$&quot;#,##0.00;[Red]&quot;$&quot;#,##0.00"/>
    <numFmt numFmtId="178" formatCode="#,##0.0_);\(#,##0.0\)"/>
    <numFmt numFmtId="179" formatCode="0.0%;\(0.0%\)"/>
    <numFmt numFmtId="180" formatCode="_(* #,##0.0000_);_(* \(#,##0.0000\);_(* &quot;-&quot;??_);_(@_)"/>
    <numFmt numFmtId="181" formatCode="_ * #,##0_)&quot;?&quot;_ ;_ * \(#,##0\)&quot;?&quot;_ ;_ * &quot;-&quot;_)&quot;?&quot;_ ;_ @_ "/>
    <numFmt numFmtId="182" formatCode="_ * #,##0_)_?_ ;_ * \(#,##0\)_?_ ;_ * &quot;-&quot;_)_?_ ;_ @_ "/>
    <numFmt numFmtId="183" formatCode="#,##0.00\ &quot;F&quot;;[Red]\-#,##0.00\ &quot;F&quot;"/>
    <numFmt numFmtId="184" formatCode="0.00000"/>
    <numFmt numFmtId="185" formatCode="#,##0.000"/>
    <numFmt numFmtId="186" formatCode="0.00000000"/>
    <numFmt numFmtId="187" formatCode="\M0"/>
  </numFmts>
  <fonts count="181">
    <font>
      <sz val="9"/>
      <name val="Geneva"/>
      <charset val="162"/>
    </font>
    <font>
      <b/>
      <sz val="9"/>
      <name val="Geneva"/>
      <charset val="162"/>
    </font>
    <font>
      <b/>
      <i/>
      <sz val="9"/>
      <name val="Geneva"/>
      <charset val="162"/>
    </font>
    <font>
      <sz val="9"/>
      <name val="Geneva"/>
      <charset val="162"/>
    </font>
    <font>
      <b/>
      <sz val="12"/>
      <color indexed="8"/>
      <name val="Arial"/>
      <family val="2"/>
      <charset val="162"/>
    </font>
    <font>
      <sz val="8"/>
      <color indexed="8"/>
      <name val="Arial"/>
      <family val="2"/>
      <charset val="162"/>
    </font>
    <font>
      <sz val="10"/>
      <color indexed="8"/>
      <name val="Geneva"/>
      <charset val="162"/>
    </font>
    <font>
      <sz val="8"/>
      <color indexed="8"/>
      <name val="Univers (W1)"/>
      <family val="2"/>
      <charset val="162"/>
    </font>
    <font>
      <sz val="7"/>
      <color indexed="8"/>
      <name val="Univers (W1)"/>
      <family val="2"/>
      <charset val="162"/>
    </font>
    <font>
      <vertAlign val="subscript"/>
      <sz val="12"/>
      <color indexed="8"/>
      <name val="Arial"/>
      <family val="2"/>
      <charset val="162"/>
    </font>
    <font>
      <sz val="8"/>
      <name val="Arial"/>
      <family val="2"/>
      <charset val="162"/>
    </font>
    <font>
      <vertAlign val="subscript"/>
      <sz val="12"/>
      <name val="Arial"/>
      <family val="2"/>
      <charset val="162"/>
    </font>
    <font>
      <vertAlign val="subscript"/>
      <sz val="10"/>
      <color indexed="8"/>
      <name val="Arial"/>
      <family val="2"/>
      <charset val="162"/>
    </font>
    <font>
      <sz val="10"/>
      <color indexed="8"/>
      <name val="Arial"/>
      <family val="2"/>
      <charset val="162"/>
    </font>
    <font>
      <vertAlign val="superscript"/>
      <sz val="8"/>
      <color indexed="8"/>
      <name val="Arial"/>
      <family val="2"/>
      <charset val="162"/>
    </font>
    <font>
      <vertAlign val="superscript"/>
      <sz val="9"/>
      <color indexed="8"/>
      <name val="Arial"/>
      <family val="2"/>
      <charset val="162"/>
    </font>
    <font>
      <vertAlign val="superscript"/>
      <sz val="12"/>
      <color indexed="8"/>
      <name val="Arial"/>
      <family val="2"/>
      <charset val="162"/>
    </font>
    <font>
      <sz val="7"/>
      <color indexed="8"/>
      <name val="Arial"/>
      <family val="2"/>
      <charset val="162"/>
    </font>
    <font>
      <sz val="9"/>
      <color indexed="8"/>
      <name val="Univers (W1)"/>
      <family val="2"/>
      <charset val="162"/>
    </font>
    <font>
      <sz val="6"/>
      <color indexed="8"/>
      <name val="Arial"/>
      <family val="2"/>
      <charset val="162"/>
    </font>
    <font>
      <b/>
      <sz val="12"/>
      <name val="Arial"/>
      <family val="2"/>
      <charset val="162"/>
    </font>
    <font>
      <sz val="8"/>
      <name val="Univers (W1)"/>
      <family val="2"/>
      <charset val="162"/>
    </font>
    <font>
      <vertAlign val="superscript"/>
      <sz val="10"/>
      <name val="Arial"/>
      <family val="2"/>
      <charset val="162"/>
    </font>
    <font>
      <sz val="7"/>
      <name val="Arial"/>
      <family val="2"/>
      <charset val="162"/>
    </font>
    <font>
      <sz val="6"/>
      <name val="Arial"/>
      <family val="2"/>
      <charset val="162"/>
    </font>
    <font>
      <b/>
      <sz val="6"/>
      <name val="Arial"/>
      <family val="2"/>
      <charset val="162"/>
    </font>
    <font>
      <sz val="6"/>
      <name val="Geneva"/>
      <charset val="162"/>
    </font>
    <font>
      <sz val="6"/>
      <name val="Arial"/>
      <family val="2"/>
      <charset val="162"/>
    </font>
    <font>
      <sz val="8"/>
      <name val="Arial"/>
      <family val="2"/>
      <charset val="162"/>
    </font>
    <font>
      <vertAlign val="subscript"/>
      <sz val="8"/>
      <name val="Arial"/>
      <family val="2"/>
      <charset val="162"/>
    </font>
    <font>
      <vertAlign val="subscript"/>
      <sz val="8"/>
      <color indexed="8"/>
      <name val="Arial"/>
      <family val="2"/>
      <charset val="162"/>
    </font>
    <font>
      <vertAlign val="superscript"/>
      <sz val="8"/>
      <name val="Arial"/>
      <family val="2"/>
      <charset val="162"/>
    </font>
    <font>
      <sz val="10"/>
      <name val="Arial"/>
      <family val="2"/>
      <charset val="162"/>
    </font>
    <font>
      <sz val="10"/>
      <name val="Univers (W1)"/>
      <family val="2"/>
      <charset val="162"/>
    </font>
    <font>
      <vertAlign val="superscript"/>
      <sz val="7"/>
      <color indexed="8"/>
      <name val="Arial"/>
      <family val="2"/>
      <charset val="162"/>
    </font>
    <font>
      <vertAlign val="superscript"/>
      <sz val="9"/>
      <name val="Arial"/>
      <family val="2"/>
      <charset val="162"/>
    </font>
    <font>
      <vertAlign val="superscript"/>
      <sz val="12"/>
      <name val="Arial"/>
      <family val="2"/>
      <charset val="162"/>
    </font>
    <font>
      <sz val="9"/>
      <name val="Arial"/>
      <family val="2"/>
      <charset val="162"/>
    </font>
    <font>
      <sz val="7"/>
      <color indexed="10"/>
      <name val="Arial"/>
      <family val="2"/>
      <charset val="162"/>
    </font>
    <font>
      <sz val="8"/>
      <color indexed="10"/>
      <name val="Arial"/>
      <family val="2"/>
      <charset val="162"/>
    </font>
    <font>
      <sz val="8"/>
      <color indexed="11"/>
      <name val="Arial"/>
      <family val="2"/>
      <charset val="162"/>
    </font>
    <font>
      <b/>
      <sz val="12"/>
      <name val="Arial"/>
      <family val="2"/>
      <charset val="162"/>
    </font>
    <font>
      <sz val="9"/>
      <name val="Univers (W1)"/>
      <family val="2"/>
      <charset val="162"/>
    </font>
    <font>
      <b/>
      <sz val="9"/>
      <name val="Univers (W1)"/>
      <charset val="162"/>
    </font>
    <font>
      <vertAlign val="subscript"/>
      <sz val="10"/>
      <name val="Arial"/>
      <family val="2"/>
      <charset val="162"/>
    </font>
    <font>
      <sz val="7"/>
      <color indexed="11"/>
      <name val="Arial"/>
      <family val="2"/>
      <charset val="162"/>
    </font>
    <font>
      <sz val="7"/>
      <name val="Univers (W1)"/>
      <family val="2"/>
      <charset val="162"/>
    </font>
    <font>
      <vertAlign val="superscript"/>
      <sz val="10"/>
      <color indexed="8"/>
      <name val="Arial"/>
      <family val="2"/>
      <charset val="162"/>
    </font>
    <font>
      <b/>
      <sz val="36"/>
      <color indexed="8"/>
      <name val="Univers (W1)"/>
      <charset val="162"/>
    </font>
    <font>
      <sz val="10"/>
      <name val="Symbol"/>
      <family val="1"/>
      <charset val="2"/>
    </font>
    <font>
      <vertAlign val="subscript"/>
      <sz val="14"/>
      <name val="Arial"/>
      <family val="2"/>
      <charset val="162"/>
    </font>
    <font>
      <sz val="8"/>
      <name val="Helv"/>
      <charset val="162"/>
    </font>
    <font>
      <sz val="8"/>
      <name val="Symbol"/>
      <family val="1"/>
      <charset val="2"/>
    </font>
    <font>
      <b/>
      <sz val="8"/>
      <name val="Univers (W1)"/>
      <charset val="162"/>
    </font>
    <font>
      <b/>
      <sz val="7"/>
      <color indexed="8"/>
      <name val="Arial"/>
      <family val="2"/>
      <charset val="162"/>
    </font>
    <font>
      <b/>
      <sz val="8"/>
      <name val="Univers (W1)"/>
      <family val="2"/>
      <charset val="162"/>
    </font>
    <font>
      <sz val="12"/>
      <name val="Arial"/>
      <family val="2"/>
      <charset val="162"/>
    </font>
    <font>
      <b/>
      <sz val="7"/>
      <name val="Arial"/>
      <family val="2"/>
      <charset val="162"/>
    </font>
    <font>
      <b/>
      <sz val="8"/>
      <color indexed="8"/>
      <name val="Arial"/>
      <family val="2"/>
      <charset val="162"/>
    </font>
    <font>
      <b/>
      <sz val="16"/>
      <name val="Arial"/>
      <family val="2"/>
    </font>
    <font>
      <b/>
      <sz val="16"/>
      <color indexed="8"/>
      <name val="Arial"/>
      <family val="2"/>
    </font>
    <font>
      <sz val="8"/>
      <name val="Univers (W1)"/>
      <charset val="162"/>
    </font>
    <font>
      <sz val="26"/>
      <name val="Arial"/>
      <family val="2"/>
    </font>
    <font>
      <sz val="14"/>
      <name val="Arial"/>
      <family val="2"/>
    </font>
    <font>
      <vertAlign val="subscript"/>
      <sz val="14"/>
      <name val="Arial"/>
      <family val="2"/>
    </font>
    <font>
      <vertAlign val="superscript"/>
      <sz val="14"/>
      <name val="Arial"/>
      <family val="2"/>
    </font>
    <font>
      <b/>
      <sz val="10"/>
      <name val="Symbol"/>
      <family val="1"/>
      <charset val="2"/>
    </font>
    <font>
      <b/>
      <sz val="10"/>
      <name val="Arial Tur"/>
      <charset val="162"/>
    </font>
    <font>
      <sz val="10"/>
      <name val="Arial Tur"/>
      <charset val="162"/>
    </font>
    <font>
      <sz val="8"/>
      <name val="Geneva"/>
      <charset val="162"/>
    </font>
    <font>
      <sz val="9"/>
      <name val="Arial"/>
      <family val="2"/>
      <charset val="162"/>
    </font>
    <font>
      <b/>
      <sz val="12"/>
      <name val="Geneva"/>
      <charset val="162"/>
    </font>
    <font>
      <sz val="9"/>
      <name val="Arial"/>
      <family val="2"/>
      <charset val="162"/>
    </font>
    <font>
      <b/>
      <sz val="9"/>
      <name val="Symbol"/>
      <family val="1"/>
      <charset val="2"/>
    </font>
    <font>
      <sz val="9"/>
      <name val="Symbol"/>
      <family val="1"/>
      <charset val="2"/>
    </font>
    <font>
      <sz val="10"/>
      <name val="Arial"/>
      <family val="2"/>
      <charset val="162"/>
    </font>
    <font>
      <sz val="10"/>
      <name val="Helv"/>
    </font>
    <font>
      <sz val="12"/>
      <color indexed="24"/>
      <name val="Arial"/>
      <family val="2"/>
      <charset val="162"/>
    </font>
    <font>
      <sz val="10"/>
      <color indexed="8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sz val="10"/>
      <name val="Arial"/>
      <family val="2"/>
      <charset val="162"/>
    </font>
    <font>
      <b/>
      <sz val="12"/>
      <name val="Times New Roman"/>
      <family val="1"/>
      <charset val="162"/>
    </font>
    <font>
      <b/>
      <sz val="12"/>
      <name val="Times New Roman"/>
      <family val="1"/>
      <charset val="162"/>
    </font>
    <font>
      <b/>
      <sz val="10"/>
      <name val="Times New Roman"/>
      <family val="1"/>
      <charset val="162"/>
    </font>
    <font>
      <sz val="10"/>
      <name val="Times New Roman"/>
      <family val="1"/>
      <charset val="162"/>
    </font>
    <font>
      <b/>
      <u/>
      <sz val="12"/>
      <name val="Times New Roman"/>
      <family val="1"/>
      <charset val="162"/>
    </font>
    <font>
      <b/>
      <sz val="8"/>
      <name val="Times New Roman"/>
      <family val="1"/>
    </font>
    <font>
      <b/>
      <sz val="10"/>
      <name val="Times New Roman"/>
      <family val="1"/>
      <charset val="162"/>
    </font>
    <font>
      <b/>
      <sz val="9"/>
      <name val="Times New Roman"/>
      <family val="1"/>
      <charset val="162"/>
    </font>
    <font>
      <b/>
      <sz val="10"/>
      <color indexed="10"/>
      <name val="Times New Roman"/>
      <family val="1"/>
    </font>
    <font>
      <sz val="10"/>
      <name val="Times New Roman"/>
      <family val="1"/>
      <charset val="162"/>
    </font>
    <font>
      <b/>
      <sz val="9"/>
      <name val="Arial"/>
      <family val="2"/>
      <charset val="162"/>
    </font>
    <font>
      <sz val="9"/>
      <name val="Arial Tur"/>
      <charset val="162"/>
    </font>
    <font>
      <sz val="10"/>
      <color indexed="10"/>
      <name val="Times New Roman"/>
      <family val="1"/>
      <charset val="162"/>
    </font>
    <font>
      <sz val="10"/>
      <name val="Times New Roman"/>
      <family val="1"/>
    </font>
    <font>
      <sz val="8"/>
      <name val="Arial Tur"/>
      <charset val="162"/>
    </font>
    <font>
      <sz val="10"/>
      <name val="Times New Roman Tur"/>
      <family val="1"/>
      <charset val="162"/>
    </font>
    <font>
      <b/>
      <sz val="12"/>
      <name val="Times New Roman Tur"/>
      <family val="1"/>
      <charset val="162"/>
    </font>
    <font>
      <b/>
      <sz val="10"/>
      <name val="Times New Roman TUR"/>
      <family val="1"/>
      <charset val="162"/>
    </font>
    <font>
      <b/>
      <u/>
      <sz val="12"/>
      <name val="Times New Roman Tur"/>
      <family val="1"/>
      <charset val="162"/>
    </font>
    <font>
      <b/>
      <sz val="9"/>
      <name val="Times New Roman Tur"/>
      <family val="1"/>
      <charset val="162"/>
    </font>
    <font>
      <b/>
      <sz val="8"/>
      <name val="Times New Roman Tur"/>
      <family val="1"/>
      <charset val="162"/>
    </font>
    <font>
      <b/>
      <sz val="10"/>
      <name val="Times New Roman"/>
      <family val="1"/>
    </font>
    <font>
      <b/>
      <sz val="10"/>
      <name val="Arial Tur"/>
      <family val="2"/>
      <charset val="162"/>
    </font>
    <font>
      <sz val="10"/>
      <name val="Times New Roman Tur"/>
      <charset val="162"/>
    </font>
    <font>
      <sz val="10"/>
      <name val="Arial Tur"/>
      <family val="2"/>
      <charset val="162"/>
    </font>
    <font>
      <b/>
      <sz val="10"/>
      <name val="Arial"/>
      <family val="2"/>
      <charset val="162"/>
    </font>
    <font>
      <sz val="10"/>
      <color indexed="10"/>
      <name val="Arial"/>
      <family val="2"/>
      <charset val="162"/>
    </font>
    <font>
      <b/>
      <sz val="10"/>
      <color indexed="12"/>
      <name val="Arial"/>
      <family val="2"/>
      <charset val="162"/>
    </font>
    <font>
      <b/>
      <sz val="11"/>
      <name val="Times New Roman"/>
      <family val="1"/>
      <charset val="162"/>
    </font>
    <font>
      <b/>
      <sz val="14"/>
      <name val="Arial"/>
      <family val="2"/>
      <charset val="162"/>
    </font>
    <font>
      <b/>
      <sz val="8"/>
      <name val="Arial"/>
      <family val="2"/>
      <charset val="162"/>
    </font>
    <font>
      <b/>
      <sz val="11"/>
      <name val="Arial"/>
      <family val="2"/>
      <charset val="162"/>
    </font>
    <font>
      <b/>
      <sz val="10"/>
      <color indexed="10"/>
      <name val="Arial"/>
      <family val="2"/>
      <charset val="162"/>
    </font>
    <font>
      <b/>
      <sz val="14"/>
      <name val="Arial Tur"/>
      <family val="2"/>
      <charset val="162"/>
    </font>
    <font>
      <b/>
      <sz val="10"/>
      <color indexed="10"/>
      <name val="Arial Tur"/>
      <charset val="162"/>
    </font>
    <font>
      <sz val="10"/>
      <color indexed="10"/>
      <name val="Arial Tur"/>
      <family val="2"/>
      <charset val="162"/>
    </font>
    <font>
      <b/>
      <sz val="10"/>
      <color indexed="10"/>
      <name val="Arial Tur"/>
      <family val="2"/>
      <charset val="162"/>
    </font>
    <font>
      <sz val="14"/>
      <name val="Arial Tur"/>
      <charset val="162"/>
    </font>
    <font>
      <b/>
      <sz val="14"/>
      <color indexed="16"/>
      <name val="Arial Tur"/>
      <charset val="162"/>
    </font>
    <font>
      <b/>
      <sz val="14"/>
      <color indexed="18"/>
      <name val="Arial Tur"/>
      <charset val="162"/>
    </font>
    <font>
      <b/>
      <i/>
      <sz val="14"/>
      <color indexed="12"/>
      <name val="Arial Tur"/>
      <charset val="162"/>
    </font>
    <font>
      <b/>
      <sz val="14"/>
      <color indexed="12"/>
      <name val="Symbol"/>
      <family val="1"/>
      <charset val="2"/>
    </font>
    <font>
      <b/>
      <sz val="14"/>
      <color indexed="12"/>
      <name val="Arial"/>
      <family val="2"/>
      <charset val="162"/>
    </font>
    <font>
      <b/>
      <sz val="14"/>
      <color indexed="12"/>
      <name val="Arial Tur"/>
      <charset val="162"/>
    </font>
    <font>
      <b/>
      <sz val="14"/>
      <name val="Arial Tur"/>
      <charset val="162"/>
    </font>
    <font>
      <b/>
      <sz val="10"/>
      <name val="Arial"/>
      <family val="2"/>
      <charset val="162"/>
    </font>
    <font>
      <sz val="9"/>
      <name val="Arial"/>
      <family val="2"/>
    </font>
    <font>
      <b/>
      <sz val="9"/>
      <color indexed="10"/>
      <name val="Arial"/>
      <family val="2"/>
      <charset val="162"/>
    </font>
    <font>
      <b/>
      <sz val="9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sz val="14"/>
      <name val="Times New Roman"/>
      <family val="1"/>
      <charset val="162"/>
    </font>
    <font>
      <b/>
      <sz val="14"/>
      <name val="Times New Roman"/>
      <family val="1"/>
      <charset val="162"/>
    </font>
    <font>
      <sz val="11"/>
      <name val="Times New Roman"/>
      <family val="1"/>
      <charset val="162"/>
    </font>
    <font>
      <sz val="12"/>
      <name val="Times New Roman"/>
      <family val="1"/>
      <charset val="162"/>
    </font>
    <font>
      <sz val="8"/>
      <name val="Arial"/>
      <family val="2"/>
      <charset val="162"/>
    </font>
    <font>
      <b/>
      <sz val="26"/>
      <color indexed="12"/>
      <name val="Arial"/>
      <family val="2"/>
      <charset val="162"/>
    </font>
    <font>
      <b/>
      <sz val="10"/>
      <color indexed="17"/>
      <name val="Arial"/>
      <family val="2"/>
      <charset val="162"/>
    </font>
    <font>
      <b/>
      <sz val="10"/>
      <color indexed="48"/>
      <name val="Arial"/>
      <family val="2"/>
      <charset val="162"/>
    </font>
    <font>
      <b/>
      <sz val="20"/>
      <color indexed="12"/>
      <name val="Arial"/>
      <family val="2"/>
      <charset val="162"/>
    </font>
    <font>
      <b/>
      <sz val="14"/>
      <color indexed="10"/>
      <name val="Arial"/>
      <family val="2"/>
      <charset val="162"/>
    </font>
    <font>
      <sz val="11"/>
      <name val="Arial"/>
      <family val="2"/>
      <charset val="162"/>
    </font>
    <font>
      <b/>
      <sz val="16"/>
      <name val="Arial"/>
      <family val="2"/>
      <charset val="162"/>
    </font>
    <font>
      <sz val="11"/>
      <name val="Arial"/>
      <family val="2"/>
      <charset val="162"/>
    </font>
    <font>
      <b/>
      <sz val="11"/>
      <name val="Symbol"/>
      <family val="1"/>
      <charset val="2"/>
    </font>
    <font>
      <b/>
      <sz val="10"/>
      <name val="Times New Roman Tur"/>
      <charset val="162"/>
    </font>
    <font>
      <sz val="10"/>
      <color indexed="48"/>
      <name val="Arial"/>
      <family val="2"/>
      <charset val="162"/>
    </font>
    <font>
      <b/>
      <sz val="7.5"/>
      <color indexed="18"/>
      <name val="Verdana"/>
      <family val="2"/>
      <charset val="162"/>
    </font>
    <font>
      <sz val="7.5"/>
      <color indexed="18"/>
      <name val="Verdana"/>
      <family val="2"/>
      <charset val="162"/>
    </font>
    <font>
      <b/>
      <sz val="7.5"/>
      <color indexed="18"/>
      <name val="Comic Sans MS"/>
      <family val="4"/>
      <charset val="162"/>
    </font>
    <font>
      <sz val="12"/>
      <name val="Comic Sans MS"/>
      <family val="4"/>
      <charset val="162"/>
    </font>
    <font>
      <sz val="7.5"/>
      <color indexed="18"/>
      <name val="Comic Sans MS"/>
      <family val="4"/>
      <charset val="162"/>
    </font>
    <font>
      <sz val="7.5"/>
      <name val="Comic Sans MS"/>
      <family val="4"/>
      <charset val="162"/>
    </font>
    <font>
      <b/>
      <sz val="11.5"/>
      <color indexed="56"/>
      <name val="Verdana"/>
      <family val="2"/>
      <charset val="162"/>
    </font>
    <font>
      <sz val="9"/>
      <color indexed="8"/>
      <name val="Tahoma"/>
      <family val="2"/>
      <charset val="162"/>
    </font>
    <font>
      <b/>
      <sz val="9"/>
      <color indexed="9"/>
      <name val="Tahoma"/>
      <family val="2"/>
      <charset val="162"/>
    </font>
    <font>
      <sz val="7.5"/>
      <color indexed="8"/>
      <name val="Tahoma"/>
      <family val="2"/>
      <charset val="162"/>
    </font>
    <font>
      <vertAlign val="superscript"/>
      <sz val="7.5"/>
      <color indexed="8"/>
      <name val="Tahoma"/>
      <family val="2"/>
      <charset val="162"/>
    </font>
    <font>
      <vertAlign val="subscript"/>
      <sz val="7.5"/>
      <color indexed="8"/>
      <name val="Tahoma"/>
      <family val="2"/>
      <charset val="162"/>
    </font>
    <font>
      <b/>
      <sz val="8.5"/>
      <color indexed="8"/>
      <name val="Tahoma"/>
      <family val="2"/>
      <charset val="162"/>
    </font>
    <font>
      <b/>
      <vertAlign val="superscript"/>
      <sz val="8.5"/>
      <color indexed="8"/>
      <name val="Tahoma"/>
      <family val="2"/>
      <charset val="162"/>
    </font>
    <font>
      <b/>
      <vertAlign val="subscript"/>
      <sz val="8.5"/>
      <color indexed="8"/>
      <name val="Tahoma"/>
      <family val="2"/>
      <charset val="162"/>
    </font>
    <font>
      <vertAlign val="superscript"/>
      <sz val="9"/>
      <color indexed="8"/>
      <name val="Tahoma"/>
      <family val="2"/>
      <charset val="162"/>
    </font>
    <font>
      <b/>
      <sz val="16"/>
      <name val="Times New Roman"/>
      <family val="1"/>
      <charset val="162"/>
    </font>
    <font>
      <sz val="11"/>
      <color indexed="9"/>
      <name val="Calibri"/>
      <family val="2"/>
      <charset val="204"/>
    </font>
    <font>
      <sz val="11"/>
      <color indexed="20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1"/>
      <color indexed="9"/>
      <name val="Calibri"/>
      <family val="2"/>
      <charset val="204"/>
    </font>
    <font>
      <sz val="11"/>
      <color indexed="17"/>
      <name val="Calibri"/>
      <family val="2"/>
      <charset val="204"/>
    </font>
    <font>
      <sz val="11"/>
      <color indexed="60"/>
      <name val="Calibri"/>
      <family val="2"/>
      <charset val="204"/>
    </font>
    <font>
      <b/>
      <sz val="9"/>
      <name val="Arial Tur"/>
      <charset val="162"/>
    </font>
    <font>
      <b/>
      <sz val="9"/>
      <color indexed="10"/>
      <name val="Arial Tur"/>
      <charset val="162"/>
    </font>
    <font>
      <b/>
      <u/>
      <sz val="9"/>
      <name val="Arial Tur"/>
      <charset val="162"/>
    </font>
    <font>
      <sz val="9"/>
      <color indexed="10"/>
      <name val="Arial Tur"/>
      <charset val="162"/>
    </font>
    <font>
      <b/>
      <sz val="10"/>
      <color rgb="FFFF0000"/>
      <name val="Arial Tur"/>
      <charset val="162"/>
    </font>
    <font>
      <sz val="10"/>
      <color rgb="FFFF0000"/>
      <name val="Arial Tur"/>
      <charset val="162"/>
    </font>
    <font>
      <b/>
      <sz val="10"/>
      <color rgb="FFFF0000"/>
      <name val="Times New Roman"/>
      <family val="1"/>
    </font>
    <font>
      <sz val="8"/>
      <color rgb="FF000000"/>
      <name val="Tahoma"/>
      <family val="2"/>
      <charset val="162"/>
    </font>
  </fonts>
  <fills count="33">
    <fill>
      <patternFill patternType="none"/>
    </fill>
    <fill>
      <patternFill patternType="gray125"/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42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8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22"/>
      </patternFill>
    </fill>
    <fill>
      <patternFill patternType="solid">
        <fgColor indexed="1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6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/>
      <right/>
      <top/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hair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double">
        <color indexed="64"/>
      </bottom>
      <diagonal/>
    </border>
    <border>
      <left style="hair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double">
        <color indexed="64"/>
      </right>
      <top/>
      <bottom style="hair">
        <color indexed="64"/>
      </bottom>
      <diagonal/>
    </border>
    <border>
      <left style="double">
        <color indexed="64"/>
      </left>
      <right style="hair">
        <color indexed="64"/>
      </right>
      <top/>
      <bottom style="double">
        <color indexed="64"/>
      </bottom>
      <diagonal/>
    </border>
    <border>
      <left style="hair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/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9"/>
      </left>
      <right style="medium">
        <color indexed="9"/>
      </right>
      <top style="medium">
        <color indexed="9"/>
      </top>
      <bottom style="medium">
        <color indexed="9"/>
      </bottom>
      <diagonal/>
    </border>
    <border>
      <left/>
      <right style="medium">
        <color indexed="9"/>
      </right>
      <top/>
      <bottom/>
      <diagonal/>
    </border>
    <border>
      <left style="medium">
        <color indexed="9"/>
      </left>
      <right style="medium">
        <color indexed="9"/>
      </right>
      <top style="medium">
        <color indexed="9"/>
      </top>
      <bottom/>
      <diagonal/>
    </border>
    <border>
      <left style="medium">
        <color indexed="9"/>
      </left>
      <right style="medium">
        <color indexed="9"/>
      </right>
      <top/>
      <bottom style="medium">
        <color indexed="9"/>
      </bottom>
      <diagonal/>
    </border>
    <border>
      <left style="medium">
        <color indexed="9"/>
      </left>
      <right/>
      <top/>
      <bottom/>
      <diagonal/>
    </border>
    <border>
      <left style="medium">
        <color indexed="9"/>
      </left>
      <right style="medium">
        <color indexed="9"/>
      </right>
      <top/>
      <bottom/>
      <diagonal/>
    </border>
    <border>
      <left/>
      <right style="medium">
        <color indexed="9"/>
      </right>
      <top style="medium">
        <color indexed="9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9"/>
      </left>
      <right/>
      <top style="medium">
        <color indexed="9"/>
      </top>
      <bottom style="medium">
        <color indexed="9"/>
      </bottom>
      <diagonal/>
    </border>
    <border>
      <left/>
      <right/>
      <top style="medium">
        <color indexed="9"/>
      </top>
      <bottom style="medium">
        <color indexed="9"/>
      </bottom>
      <diagonal/>
    </border>
    <border>
      <left/>
      <right style="medium">
        <color indexed="9"/>
      </right>
      <top style="medium">
        <color indexed="9"/>
      </top>
      <bottom style="medium">
        <color indexed="9"/>
      </bottom>
      <diagonal/>
    </border>
    <border>
      <left style="medium">
        <color indexed="9"/>
      </left>
      <right/>
      <top style="medium">
        <color indexed="9"/>
      </top>
      <bottom/>
      <diagonal/>
    </border>
  </borders>
  <cellStyleXfs count="66">
    <xf numFmtId="0" fontId="0" fillId="0" borderId="0"/>
    <xf numFmtId="9" fontId="75" fillId="6" borderId="0"/>
    <xf numFmtId="0" fontId="75" fillId="0" borderId="0"/>
    <xf numFmtId="176" fontId="75" fillId="0" borderId="0" applyFont="0" applyFill="0" applyBorder="0" applyAlignment="0" applyProtection="0"/>
    <xf numFmtId="175" fontId="76" fillId="0" borderId="0" applyFont="0" applyFill="0" applyBorder="0" applyAlignment="0" applyProtection="0"/>
    <xf numFmtId="0" fontId="167" fillId="7" borderId="0" applyNumberFormat="0" applyBorder="0" applyAlignment="0" applyProtection="0"/>
    <xf numFmtId="0" fontId="167" fillId="8" borderId="0" applyNumberFormat="0" applyBorder="0" applyAlignment="0" applyProtection="0"/>
    <xf numFmtId="0" fontId="167" fillId="9" borderId="0" applyNumberFormat="0" applyBorder="0" applyAlignment="0" applyProtection="0"/>
    <xf numFmtId="0" fontId="167" fillId="4" borderId="0" applyNumberFormat="0" applyBorder="0" applyAlignment="0" applyProtection="0"/>
    <xf numFmtId="0" fontId="167" fillId="5" borderId="0" applyNumberFormat="0" applyBorder="0" applyAlignment="0" applyProtection="0"/>
    <xf numFmtId="0" fontId="167" fillId="10" borderId="0" applyNumberFormat="0" applyBorder="0" applyAlignment="0" applyProtection="0"/>
    <xf numFmtId="0" fontId="168" fillId="2" borderId="0" applyNumberFormat="0" applyBorder="0" applyAlignment="0" applyProtection="0"/>
    <xf numFmtId="0" fontId="75" fillId="0" borderId="0" applyFill="0" applyBorder="0" applyAlignment="0"/>
    <xf numFmtId="178" fontId="76" fillId="0" borderId="0" applyFill="0" applyBorder="0" applyAlignment="0"/>
    <xf numFmtId="180" fontId="76" fillId="0" borderId="0" applyFill="0" applyBorder="0" applyAlignment="0"/>
    <xf numFmtId="183" fontId="68" fillId="0" borderId="0" applyFill="0" applyBorder="0" applyAlignment="0"/>
    <xf numFmtId="0" fontId="75" fillId="0" borderId="0" applyFill="0" applyBorder="0" applyAlignment="0"/>
    <xf numFmtId="174" fontId="76" fillId="0" borderId="0" applyFill="0" applyBorder="0" applyAlignment="0"/>
    <xf numFmtId="179" fontId="76" fillId="0" borderId="0" applyFill="0" applyBorder="0" applyAlignment="0"/>
    <xf numFmtId="178" fontId="76" fillId="0" borderId="0" applyFill="0" applyBorder="0" applyAlignment="0"/>
    <xf numFmtId="0" fontId="169" fillId="11" borderId="1" applyNumberFormat="0" applyAlignment="0" applyProtection="0"/>
    <xf numFmtId="0" fontId="170" fillId="12" borderId="2" applyNumberFormat="0" applyAlignment="0" applyProtection="0"/>
    <xf numFmtId="174" fontId="76" fillId="0" borderId="0" applyFont="0" applyFill="0" applyBorder="0" applyAlignment="0" applyProtection="0"/>
    <xf numFmtId="3" fontId="77" fillId="0" borderId="0" applyFont="0" applyFill="0" applyBorder="0" applyAlignment="0" applyProtection="0"/>
    <xf numFmtId="178" fontId="76" fillId="0" borderId="0" applyFont="0" applyFill="0" applyBorder="0" applyAlignment="0" applyProtection="0"/>
    <xf numFmtId="14" fontId="78" fillId="0" borderId="0" applyFill="0" applyBorder="0" applyAlignment="0"/>
    <xf numFmtId="174" fontId="76" fillId="0" borderId="0" applyFill="0" applyBorder="0" applyAlignment="0"/>
    <xf numFmtId="178" fontId="76" fillId="0" borderId="0" applyFill="0" applyBorder="0" applyAlignment="0"/>
    <xf numFmtId="174" fontId="76" fillId="0" borderId="0" applyFill="0" applyBorder="0" applyAlignment="0"/>
    <xf numFmtId="179" fontId="76" fillId="0" borderId="0" applyFill="0" applyBorder="0" applyAlignment="0"/>
    <xf numFmtId="178" fontId="76" fillId="0" borderId="0" applyFill="0" applyBorder="0" applyAlignment="0"/>
    <xf numFmtId="0" fontId="171" fillId="3" borderId="0" applyNumberFormat="0" applyBorder="0" applyAlignment="0" applyProtection="0"/>
    <xf numFmtId="38" fontId="79" fillId="13" borderId="0" applyNumberFormat="0" applyBorder="0" applyAlignment="0" applyProtection="0"/>
    <xf numFmtId="0" fontId="80" fillId="0" borderId="3" applyNumberFormat="0" applyAlignment="0" applyProtection="0">
      <alignment horizontal="left" vertical="center"/>
    </xf>
    <xf numFmtId="0" fontId="80" fillId="0" borderId="4">
      <alignment horizontal="left" vertical="center"/>
    </xf>
    <xf numFmtId="10" fontId="79" fillId="14" borderId="5" applyNumberFormat="0" applyBorder="0" applyAlignment="0" applyProtection="0"/>
    <xf numFmtId="0" fontId="76" fillId="0" borderId="0"/>
    <xf numFmtId="174" fontId="76" fillId="0" borderId="0" applyFill="0" applyBorder="0" applyAlignment="0"/>
    <xf numFmtId="178" fontId="76" fillId="0" borderId="0" applyFill="0" applyBorder="0" applyAlignment="0"/>
    <xf numFmtId="174" fontId="76" fillId="0" borderId="0" applyFill="0" applyBorder="0" applyAlignment="0"/>
    <xf numFmtId="179" fontId="76" fillId="0" borderId="0" applyFill="0" applyBorder="0" applyAlignment="0"/>
    <xf numFmtId="178" fontId="76" fillId="0" borderId="0" applyFill="0" applyBorder="0" applyAlignment="0"/>
    <xf numFmtId="0" fontId="172" fillId="15" borderId="0" applyNumberFormat="0" applyBorder="0" applyAlignment="0" applyProtection="0"/>
    <xf numFmtId="177" fontId="75" fillId="0" borderId="0"/>
    <xf numFmtId="0" fontId="81" fillId="0" borderId="0"/>
    <xf numFmtId="0" fontId="75" fillId="0" borderId="0"/>
    <xf numFmtId="0" fontId="3" fillId="0" borderId="0"/>
    <xf numFmtId="0" fontId="68" fillId="0" borderId="0"/>
    <xf numFmtId="0" fontId="68" fillId="0" borderId="0"/>
    <xf numFmtId="0" fontId="75" fillId="0" borderId="0" applyFont="0" applyFill="0" applyBorder="0" applyAlignment="0" applyProtection="0"/>
    <xf numFmtId="0" fontId="75" fillId="0" borderId="0" applyFont="0" applyFill="0" applyBorder="0" applyAlignment="0" applyProtection="0"/>
    <xf numFmtId="164" fontId="75" fillId="0" borderId="0" applyFont="0" applyFill="0" applyBorder="0" applyAlignment="0" applyProtection="0"/>
    <xf numFmtId="4" fontId="76" fillId="0" borderId="0" applyFont="0" applyFill="0" applyBorder="0" applyAlignment="0" applyProtection="0"/>
    <xf numFmtId="0" fontId="75" fillId="0" borderId="0" applyFont="0" applyFill="0" applyBorder="0" applyAlignment="0" applyProtection="0"/>
    <xf numFmtId="181" fontId="68" fillId="0" borderId="0" applyFont="0" applyFill="0" applyBorder="0" applyAlignment="0" applyProtection="0"/>
    <xf numFmtId="10" fontId="75" fillId="0" borderId="0" applyFont="0" applyFill="0" applyBorder="0" applyAlignment="0" applyProtection="0"/>
    <xf numFmtId="174" fontId="76" fillId="0" borderId="0" applyFill="0" applyBorder="0" applyAlignment="0"/>
    <xf numFmtId="178" fontId="76" fillId="0" borderId="0" applyFill="0" applyBorder="0" applyAlignment="0"/>
    <xf numFmtId="174" fontId="76" fillId="0" borderId="0" applyFill="0" applyBorder="0" applyAlignment="0"/>
    <xf numFmtId="179" fontId="76" fillId="0" borderId="0" applyFill="0" applyBorder="0" applyAlignment="0"/>
    <xf numFmtId="178" fontId="76" fillId="0" borderId="0" applyFill="0" applyBorder="0" applyAlignment="0"/>
    <xf numFmtId="49" fontId="78" fillId="0" borderId="0" applyFill="0" applyBorder="0" applyAlignment="0"/>
    <xf numFmtId="181" fontId="68" fillId="0" borderId="0" applyFill="0" applyBorder="0" applyAlignment="0"/>
    <xf numFmtId="182" fontId="68" fillId="0" borderId="0" applyFill="0" applyBorder="0" applyAlignment="0"/>
    <xf numFmtId="165" fontId="3" fillId="0" borderId="0" applyFont="0" applyFill="0" applyBorder="0" applyAlignment="0" applyProtection="0"/>
    <xf numFmtId="173" fontId="81" fillId="0" borderId="0" applyFont="0" applyFill="0" applyBorder="0" applyAlignment="0" applyProtection="0"/>
  </cellStyleXfs>
  <cellXfs count="1828">
    <xf numFmtId="0" fontId="0" fillId="0" borderId="0" xfId="0"/>
    <xf numFmtId="0" fontId="0" fillId="0" borderId="0" xfId="0" applyAlignment="1">
      <alignment horizontal="center"/>
    </xf>
    <xf numFmtId="0" fontId="173" fillId="0" borderId="6" xfId="47" applyFont="1" applyBorder="1" applyAlignment="1">
      <alignment horizontal="center"/>
    </xf>
    <xf numFmtId="0" fontId="107" fillId="0" borderId="7" xfId="47" applyFont="1" applyBorder="1" applyAlignment="1">
      <alignment horizontal="center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horizontal="left"/>
    </xf>
    <xf numFmtId="1" fontId="7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left"/>
    </xf>
    <xf numFmtId="0" fontId="5" fillId="0" borderId="8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" fontId="5" fillId="0" borderId="0" xfId="0" applyNumberFormat="1" applyFont="1" applyFill="1" applyBorder="1" applyAlignment="1">
      <alignment horizontal="center"/>
    </xf>
    <xf numFmtId="1" fontId="5" fillId="0" borderId="8" xfId="0" applyNumberFormat="1" applyFont="1" applyFill="1" applyBorder="1" applyAlignment="1">
      <alignment horizontal="center"/>
    </xf>
    <xf numFmtId="0" fontId="5" fillId="0" borderId="9" xfId="0" applyFont="1" applyFill="1" applyBorder="1" applyAlignment="1">
      <alignment horizontal="center"/>
    </xf>
    <xf numFmtId="165" fontId="5" fillId="0" borderId="0" xfId="64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17" fillId="0" borderId="10" xfId="0" applyFont="1" applyBorder="1" applyAlignment="1">
      <alignment horizontal="center"/>
    </xf>
    <xf numFmtId="0" fontId="5" fillId="0" borderId="11" xfId="0" applyFont="1" applyFill="1" applyBorder="1" applyAlignment="1">
      <alignment horizontal="left"/>
    </xf>
    <xf numFmtId="0" fontId="5" fillId="0" borderId="12" xfId="0" applyFont="1" applyFill="1" applyBorder="1" applyAlignment="1">
      <alignment horizontal="center"/>
    </xf>
    <xf numFmtId="0" fontId="5" fillId="0" borderId="11" xfId="0" applyFont="1" applyFill="1" applyBorder="1" applyAlignment="1">
      <alignment horizontal="center"/>
    </xf>
    <xf numFmtId="1" fontId="5" fillId="0" borderId="11" xfId="0" applyNumberFormat="1" applyFont="1" applyFill="1" applyBorder="1" applyAlignment="1">
      <alignment horizontal="center"/>
    </xf>
    <xf numFmtId="1" fontId="5" fillId="0" borderId="12" xfId="0" applyNumberFormat="1" applyFont="1" applyFill="1" applyBorder="1" applyAlignment="1">
      <alignment horizontal="center"/>
    </xf>
    <xf numFmtId="0" fontId="5" fillId="0" borderId="13" xfId="0" applyFont="1" applyFill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17" fillId="0" borderId="15" xfId="0" applyFont="1" applyBorder="1" applyAlignment="1">
      <alignment horizontal="center"/>
    </xf>
    <xf numFmtId="0" fontId="17" fillId="0" borderId="0" xfId="0" applyFont="1"/>
    <xf numFmtId="1" fontId="17" fillId="0" borderId="0" xfId="0" applyNumberFormat="1" applyFont="1"/>
    <xf numFmtId="0" fontId="17" fillId="0" borderId="0" xfId="0" applyFont="1" applyAlignment="1">
      <alignment horizontal="center"/>
    </xf>
    <xf numFmtId="0" fontId="17" fillId="0" borderId="10" xfId="0" applyFont="1" applyBorder="1" applyAlignment="1">
      <alignment horizontal="left"/>
    </xf>
    <xf numFmtId="166" fontId="17" fillId="0" borderId="16" xfId="0" applyNumberFormat="1" applyFont="1" applyFill="1" applyBorder="1" applyAlignment="1">
      <alignment horizontal="center"/>
    </xf>
    <xf numFmtId="1" fontId="17" fillId="0" borderId="10" xfId="0" applyNumberFormat="1" applyFont="1" applyBorder="1" applyAlignment="1">
      <alignment horizontal="center"/>
    </xf>
    <xf numFmtId="166" fontId="17" fillId="0" borderId="10" xfId="0" applyNumberFormat="1" applyFont="1" applyBorder="1" applyAlignment="1">
      <alignment horizontal="center"/>
    </xf>
    <xf numFmtId="2" fontId="17" fillId="0" borderId="17" xfId="0" applyNumberFormat="1" applyFont="1" applyBorder="1" applyAlignment="1">
      <alignment horizontal="center"/>
    </xf>
    <xf numFmtId="1" fontId="17" fillId="0" borderId="16" xfId="0" applyNumberFormat="1" applyFont="1" applyBorder="1" applyAlignment="1">
      <alignment horizontal="center"/>
    </xf>
    <xf numFmtId="167" fontId="17" fillId="0" borderId="10" xfId="0" applyNumberFormat="1" applyFont="1" applyBorder="1" applyAlignment="1">
      <alignment horizontal="center"/>
    </xf>
    <xf numFmtId="2" fontId="17" fillId="0" borderId="10" xfId="0" applyNumberFormat="1" applyFont="1" applyBorder="1" applyAlignment="1">
      <alignment horizontal="center"/>
    </xf>
    <xf numFmtId="2" fontId="17" fillId="0" borderId="16" xfId="0" applyNumberFormat="1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6" xfId="0" applyFont="1" applyBorder="1" applyAlignment="1">
      <alignment horizontal="center"/>
    </xf>
    <xf numFmtId="1" fontId="17" fillId="0" borderId="16" xfId="0" applyNumberFormat="1" applyFont="1" applyFill="1" applyBorder="1" applyAlignment="1">
      <alignment horizontal="center"/>
    </xf>
    <xf numFmtId="0" fontId="18" fillId="0" borderId="0" xfId="0" applyFont="1" applyFill="1" applyAlignment="1">
      <alignment horizontal="center"/>
    </xf>
    <xf numFmtId="0" fontId="17" fillId="0" borderId="0" xfId="0" applyFont="1" applyBorder="1" applyAlignment="1">
      <alignment horizontal="center"/>
    </xf>
    <xf numFmtId="166" fontId="17" fillId="0" borderId="17" xfId="0" applyNumberFormat="1" applyFont="1" applyBorder="1" applyAlignment="1">
      <alignment horizontal="center"/>
    </xf>
    <xf numFmtId="2" fontId="17" fillId="0" borderId="18" xfId="0" applyNumberFormat="1" applyFont="1" applyBorder="1" applyAlignment="1">
      <alignment horizontal="center"/>
    </xf>
    <xf numFmtId="1" fontId="17" fillId="0" borderId="17" xfId="0" applyNumberFormat="1" applyFont="1" applyBorder="1" applyAlignment="1">
      <alignment horizontal="center"/>
    </xf>
    <xf numFmtId="166" fontId="17" fillId="0" borderId="18" xfId="0" applyNumberFormat="1" applyFont="1" applyBorder="1" applyAlignment="1">
      <alignment horizontal="center"/>
    </xf>
    <xf numFmtId="166" fontId="17" fillId="0" borderId="16" xfId="0" applyNumberFormat="1" applyFont="1" applyBorder="1" applyAlignment="1">
      <alignment horizontal="center"/>
    </xf>
    <xf numFmtId="1" fontId="17" fillId="0" borderId="18" xfId="0" applyNumberFormat="1" applyFont="1" applyBorder="1" applyAlignment="1">
      <alignment horizontal="center"/>
    </xf>
    <xf numFmtId="0" fontId="17" fillId="0" borderId="11" xfId="0" applyFont="1" applyBorder="1" applyAlignment="1">
      <alignment horizontal="center"/>
    </xf>
    <xf numFmtId="0" fontId="17" fillId="0" borderId="12" xfId="0" applyFont="1" applyBorder="1" applyAlignment="1">
      <alignment horizontal="center"/>
    </xf>
    <xf numFmtId="0" fontId="17" fillId="0" borderId="13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0" fontId="19" fillId="0" borderId="0" xfId="0" quotePrefix="1" applyFont="1" applyAlignment="1">
      <alignment horizontal="left" vertical="center"/>
    </xf>
    <xf numFmtId="1" fontId="19" fillId="0" borderId="0" xfId="0" applyNumberFormat="1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19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21" fillId="0" borderId="0" xfId="0" applyFont="1" applyAlignment="1">
      <alignment horizontal="left" vertical="center"/>
    </xf>
    <xf numFmtId="0" fontId="21" fillId="0" borderId="0" xfId="0" applyFont="1" applyBorder="1" applyAlignment="1">
      <alignment horizontal="left" vertical="center"/>
    </xf>
    <xf numFmtId="0" fontId="10" fillId="0" borderId="0" xfId="0" applyFont="1" applyBorder="1" applyAlignment="1">
      <alignment horizontal="left"/>
    </xf>
    <xf numFmtId="0" fontId="10" fillId="0" borderId="8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10" fillId="0" borderId="8" xfId="0" applyFont="1" applyFill="1" applyBorder="1" applyAlignment="1">
      <alignment horizontal="center"/>
    </xf>
    <xf numFmtId="2" fontId="10" fillId="0" borderId="0" xfId="0" applyNumberFormat="1" applyFont="1" applyFill="1" applyBorder="1" applyAlignment="1">
      <alignment horizontal="center"/>
    </xf>
    <xf numFmtId="0" fontId="10" fillId="0" borderId="0" xfId="0" applyFont="1" applyFill="1" applyBorder="1" applyAlignment="1">
      <alignment horizontal="left"/>
    </xf>
    <xf numFmtId="2" fontId="10" fillId="0" borderId="8" xfId="0" applyNumberFormat="1" applyFont="1" applyFill="1" applyBorder="1" applyAlignment="1">
      <alignment horizontal="center"/>
    </xf>
    <xf numFmtId="0" fontId="10" fillId="0" borderId="11" xfId="0" applyFont="1" applyBorder="1" applyAlignment="1">
      <alignment horizontal="left"/>
    </xf>
    <xf numFmtId="0" fontId="10" fillId="0" borderId="12" xfId="0" applyFont="1" applyBorder="1" applyAlignment="1">
      <alignment horizontal="center"/>
    </xf>
    <xf numFmtId="0" fontId="10" fillId="0" borderId="11" xfId="0" applyFont="1" applyBorder="1" applyAlignment="1">
      <alignment horizontal="center"/>
    </xf>
    <xf numFmtId="0" fontId="10" fillId="0" borderId="14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17" fillId="0" borderId="19" xfId="0" applyFont="1" applyBorder="1" applyAlignment="1">
      <alignment horizontal="center"/>
    </xf>
    <xf numFmtId="0" fontId="17" fillId="0" borderId="20" xfId="0" applyFont="1" applyBorder="1" applyAlignment="1">
      <alignment horizontal="center"/>
    </xf>
    <xf numFmtId="0" fontId="23" fillId="0" borderId="0" xfId="0" applyFont="1" applyBorder="1" applyAlignment="1">
      <alignment horizontal="left"/>
    </xf>
    <xf numFmtId="0" fontId="23" fillId="0" borderId="0" xfId="0" applyFont="1" applyBorder="1" applyAlignment="1">
      <alignment horizontal="center"/>
    </xf>
    <xf numFmtId="0" fontId="23" fillId="0" borderId="10" xfId="0" applyFont="1" applyBorder="1" applyAlignment="1">
      <alignment horizontal="left"/>
    </xf>
    <xf numFmtId="166" fontId="23" fillId="0" borderId="16" xfId="0" applyNumberFormat="1" applyFont="1" applyBorder="1" applyAlignment="1">
      <alignment horizontal="center"/>
    </xf>
    <xf numFmtId="0" fontId="23" fillId="0" borderId="10" xfId="0" applyFont="1" applyBorder="1" applyAlignment="1">
      <alignment horizontal="center"/>
    </xf>
    <xf numFmtId="166" fontId="23" fillId="0" borderId="10" xfId="0" applyNumberFormat="1" applyFont="1" applyBorder="1" applyAlignment="1">
      <alignment horizontal="center"/>
    </xf>
    <xf numFmtId="166" fontId="23" fillId="0" borderId="17" xfId="0" applyNumberFormat="1" applyFont="1" applyBorder="1" applyAlignment="1">
      <alignment horizontal="center"/>
    </xf>
    <xf numFmtId="1" fontId="23" fillId="0" borderId="10" xfId="0" applyNumberFormat="1" applyFont="1" applyBorder="1" applyAlignment="1">
      <alignment horizontal="center"/>
    </xf>
    <xf numFmtId="1" fontId="23" fillId="0" borderId="16" xfId="0" applyNumberFormat="1" applyFont="1" applyBorder="1" applyAlignment="1">
      <alignment horizontal="center"/>
    </xf>
    <xf numFmtId="167" fontId="23" fillId="0" borderId="10" xfId="0" applyNumberFormat="1" applyFont="1" applyBorder="1" applyAlignment="1">
      <alignment horizontal="center"/>
    </xf>
    <xf numFmtId="2" fontId="23" fillId="0" borderId="10" xfId="0" applyNumberFormat="1" applyFont="1" applyBorder="1" applyAlignment="1">
      <alignment horizontal="center"/>
    </xf>
    <xf numFmtId="0" fontId="23" fillId="0" borderId="16" xfId="0" applyFont="1" applyBorder="1" applyAlignment="1">
      <alignment horizontal="center"/>
    </xf>
    <xf numFmtId="2" fontId="23" fillId="0" borderId="16" xfId="0" applyNumberFormat="1" applyFont="1" applyBorder="1" applyAlignment="1">
      <alignment horizontal="center"/>
    </xf>
    <xf numFmtId="0" fontId="17" fillId="0" borderId="21" xfId="0" applyFont="1" applyBorder="1" applyAlignment="1">
      <alignment horizontal="center"/>
    </xf>
    <xf numFmtId="0" fontId="17" fillId="0" borderId="22" xfId="0" applyFont="1" applyBorder="1" applyAlignment="1">
      <alignment horizontal="center"/>
    </xf>
    <xf numFmtId="0" fontId="21" fillId="0" borderId="0" xfId="0" applyFont="1" applyAlignment="1">
      <alignment horizontal="center"/>
    </xf>
    <xf numFmtId="1" fontId="23" fillId="0" borderId="17" xfId="0" applyNumberFormat="1" applyFont="1" applyBorder="1" applyAlignment="1">
      <alignment horizontal="center"/>
    </xf>
    <xf numFmtId="0" fontId="23" fillId="0" borderId="17" xfId="0" applyFont="1" applyBorder="1" applyAlignment="1">
      <alignment horizontal="center"/>
    </xf>
    <xf numFmtId="0" fontId="17" fillId="0" borderId="23" xfId="0" applyFont="1" applyBorder="1" applyAlignment="1">
      <alignment horizontal="center"/>
    </xf>
    <xf numFmtId="0" fontId="10" fillId="0" borderId="0" xfId="0" applyFont="1" applyAlignment="1">
      <alignment horizontal="left"/>
    </xf>
    <xf numFmtId="0" fontId="10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4" fillId="0" borderId="0" xfId="0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21" fillId="0" borderId="0" xfId="0" applyFont="1" applyAlignment="1">
      <alignment horizontal="left"/>
    </xf>
    <xf numFmtId="0" fontId="21" fillId="0" borderId="0" xfId="0" applyFont="1" applyBorder="1" applyAlignment="1">
      <alignment horizontal="center"/>
    </xf>
    <xf numFmtId="0" fontId="18" fillId="0" borderId="0" xfId="0" applyFont="1" applyAlignment="1">
      <alignment horizontal="left" vertical="center"/>
    </xf>
    <xf numFmtId="0" fontId="18" fillId="0" borderId="0" xfId="0" applyFont="1" applyBorder="1" applyAlignment="1">
      <alignment horizontal="left" vertical="center"/>
    </xf>
    <xf numFmtId="0" fontId="19" fillId="0" borderId="14" xfId="0" applyFont="1" applyBorder="1" applyAlignment="1">
      <alignment horizontal="center"/>
    </xf>
    <xf numFmtId="0" fontId="19" fillId="0" borderId="15" xfId="0" applyFont="1" applyBorder="1" applyAlignment="1">
      <alignment horizontal="center"/>
    </xf>
    <xf numFmtId="0" fontId="17" fillId="0" borderId="24" xfId="0" applyFont="1" applyBorder="1" applyAlignment="1">
      <alignment horizontal="center"/>
    </xf>
    <xf numFmtId="166" fontId="17" fillId="0" borderId="25" xfId="0" applyNumberFormat="1" applyFont="1" applyBorder="1" applyAlignment="1">
      <alignment horizontal="center"/>
    </xf>
    <xf numFmtId="0" fontId="17" fillId="0" borderId="25" xfId="0" applyFont="1" applyBorder="1" applyAlignment="1">
      <alignment horizontal="center"/>
    </xf>
    <xf numFmtId="0" fontId="18" fillId="0" borderId="0" xfId="0" applyFont="1" applyBorder="1" applyAlignment="1">
      <alignment horizontal="left"/>
    </xf>
    <xf numFmtId="0" fontId="18" fillId="0" borderId="0" xfId="0" applyFont="1" applyBorder="1" applyAlignment="1">
      <alignment horizontal="center"/>
    </xf>
    <xf numFmtId="1" fontId="18" fillId="0" borderId="0" xfId="0" applyNumberFormat="1" applyFont="1" applyBorder="1" applyAlignment="1">
      <alignment horizontal="center"/>
    </xf>
    <xf numFmtId="0" fontId="18" fillId="0" borderId="0" xfId="0" applyFont="1" applyAlignment="1">
      <alignment horizontal="center"/>
    </xf>
    <xf numFmtId="0" fontId="25" fillId="0" borderId="0" xfId="0" applyFont="1" applyBorder="1" applyAlignment="1">
      <alignment horizontal="left"/>
    </xf>
    <xf numFmtId="0" fontId="24" fillId="0" borderId="0" xfId="0" applyFont="1" applyBorder="1" applyAlignment="1">
      <alignment horizontal="center"/>
    </xf>
    <xf numFmtId="2" fontId="24" fillId="0" borderId="0" xfId="0" applyNumberFormat="1" applyFont="1" applyBorder="1" applyAlignment="1">
      <alignment horizontal="center"/>
    </xf>
    <xf numFmtId="0" fontId="19" fillId="0" borderId="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18" fillId="0" borderId="0" xfId="0" applyFont="1" applyAlignment="1">
      <alignment horizontal="center" vertical="center"/>
    </xf>
    <xf numFmtId="0" fontId="26" fillId="0" borderId="0" xfId="0" applyFont="1" applyAlignment="1">
      <alignment vertical="center"/>
    </xf>
    <xf numFmtId="1" fontId="18" fillId="0" borderId="0" xfId="0" applyNumberFormat="1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24" fillId="0" borderId="0" xfId="0" quotePrefix="1" applyFont="1" applyAlignment="1">
      <alignment horizontal="left" vertical="center"/>
    </xf>
    <xf numFmtId="0" fontId="27" fillId="0" borderId="0" xfId="0" applyFont="1" applyAlignment="1">
      <alignment horizontal="left" vertical="center"/>
    </xf>
    <xf numFmtId="0" fontId="18" fillId="0" borderId="0" xfId="0" applyFont="1" applyAlignment="1">
      <alignment horizontal="left"/>
    </xf>
    <xf numFmtId="1" fontId="18" fillId="0" borderId="0" xfId="0" applyNumberFormat="1" applyFont="1" applyAlignment="1">
      <alignment horizontal="center"/>
    </xf>
    <xf numFmtId="1" fontId="10" fillId="0" borderId="0" xfId="0" applyNumberFormat="1" applyFont="1" applyFill="1" applyBorder="1" applyAlignment="1">
      <alignment horizontal="center"/>
    </xf>
    <xf numFmtId="165" fontId="10" fillId="0" borderId="0" xfId="64" applyFont="1" applyFill="1" applyBorder="1" applyAlignment="1">
      <alignment horizontal="center"/>
    </xf>
    <xf numFmtId="0" fontId="10" fillId="0" borderId="11" xfId="0" applyFont="1" applyFill="1" applyBorder="1" applyAlignment="1">
      <alignment horizontal="left"/>
    </xf>
    <xf numFmtId="0" fontId="10" fillId="0" borderId="12" xfId="0" applyFont="1" applyFill="1" applyBorder="1" applyAlignment="1">
      <alignment horizontal="center"/>
    </xf>
    <xf numFmtId="0" fontId="10" fillId="0" borderId="11" xfId="0" applyFont="1" applyFill="1" applyBorder="1" applyAlignment="1">
      <alignment horizontal="center"/>
    </xf>
    <xf numFmtId="1" fontId="10" fillId="0" borderId="11" xfId="0" applyNumberFormat="1" applyFont="1" applyFill="1" applyBorder="1" applyAlignment="1">
      <alignment horizontal="center"/>
    </xf>
    <xf numFmtId="0" fontId="32" fillId="0" borderId="0" xfId="0" applyFont="1"/>
    <xf numFmtId="1" fontId="32" fillId="0" borderId="0" xfId="0" applyNumberFormat="1" applyFont="1"/>
    <xf numFmtId="0" fontId="13" fillId="0" borderId="0" xfId="0" applyFont="1"/>
    <xf numFmtId="0" fontId="10" fillId="0" borderId="0" xfId="0" applyFont="1" applyFill="1" applyAlignment="1">
      <alignment horizontal="center"/>
    </xf>
    <xf numFmtId="166" fontId="23" fillId="0" borderId="16" xfId="0" applyNumberFormat="1" applyFont="1" applyFill="1" applyBorder="1" applyAlignment="1">
      <alignment horizontal="center"/>
    </xf>
    <xf numFmtId="1" fontId="23" fillId="0" borderId="16" xfId="0" applyNumberFormat="1" applyFont="1" applyFill="1" applyBorder="1" applyAlignment="1">
      <alignment horizontal="center"/>
    </xf>
    <xf numFmtId="0" fontId="23" fillId="0" borderId="0" xfId="0" applyFont="1" applyAlignment="1">
      <alignment horizontal="center"/>
    </xf>
    <xf numFmtId="0" fontId="21" fillId="0" borderId="0" xfId="0" applyFont="1" applyBorder="1" applyAlignment="1">
      <alignment horizontal="left"/>
    </xf>
    <xf numFmtId="1" fontId="21" fillId="0" borderId="0" xfId="0" applyNumberFormat="1" applyFont="1" applyBorder="1" applyAlignment="1">
      <alignment horizontal="center"/>
    </xf>
    <xf numFmtId="2" fontId="21" fillId="0" borderId="0" xfId="0" applyNumberFormat="1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1" fontId="21" fillId="0" borderId="0" xfId="0" applyNumberFormat="1" applyFont="1" applyBorder="1" applyAlignment="1">
      <alignment horizontal="center" vertical="center"/>
    </xf>
    <xf numFmtId="0" fontId="21" fillId="0" borderId="0" xfId="0" applyFont="1" applyBorder="1" applyAlignment="1">
      <alignment horizontal="center" vertical="center"/>
    </xf>
    <xf numFmtId="2" fontId="21" fillId="0" borderId="0" xfId="0" applyNumberFormat="1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26" fillId="0" borderId="0" xfId="0" applyFont="1"/>
    <xf numFmtId="1" fontId="21" fillId="0" borderId="0" xfId="0" applyNumberFormat="1" applyFont="1" applyAlignment="1">
      <alignment horizontal="center"/>
    </xf>
    <xf numFmtId="2" fontId="21" fillId="0" borderId="0" xfId="0" applyNumberFormat="1" applyFont="1" applyAlignment="1">
      <alignment horizontal="center"/>
    </xf>
    <xf numFmtId="0" fontId="37" fillId="0" borderId="0" xfId="0" applyFont="1" applyFill="1" applyAlignment="1">
      <alignment horizontal="center"/>
    </xf>
    <xf numFmtId="2" fontId="23" fillId="0" borderId="18" xfId="0" applyNumberFormat="1" applyFont="1" applyBorder="1" applyAlignment="1">
      <alignment horizontal="center"/>
    </xf>
    <xf numFmtId="166" fontId="23" fillId="0" borderId="18" xfId="0" applyNumberFormat="1" applyFont="1" applyBorder="1" applyAlignment="1">
      <alignment horizontal="center"/>
    </xf>
    <xf numFmtId="0" fontId="38" fillId="0" borderId="10" xfId="0" applyFont="1" applyBorder="1" applyAlignment="1">
      <alignment horizontal="center"/>
    </xf>
    <xf numFmtId="0" fontId="39" fillId="0" borderId="0" xfId="0" applyFont="1" applyBorder="1" applyAlignment="1">
      <alignment horizontal="center"/>
    </xf>
    <xf numFmtId="0" fontId="23" fillId="0" borderId="18" xfId="0" applyFont="1" applyBorder="1" applyAlignment="1">
      <alignment horizontal="center"/>
    </xf>
    <xf numFmtId="0" fontId="40" fillId="0" borderId="0" xfId="0" applyFont="1" applyBorder="1" applyAlignment="1">
      <alignment horizontal="center"/>
    </xf>
    <xf numFmtId="1" fontId="10" fillId="0" borderId="0" xfId="0" applyNumberFormat="1" applyFont="1" applyAlignment="1">
      <alignment horizontal="center"/>
    </xf>
    <xf numFmtId="2" fontId="10" fillId="0" borderId="0" xfId="0" applyNumberFormat="1" applyFont="1" applyAlignment="1">
      <alignment horizontal="center"/>
    </xf>
    <xf numFmtId="1" fontId="10" fillId="0" borderId="0" xfId="0" applyNumberFormat="1" applyFont="1" applyAlignment="1">
      <alignment horizontal="center" vertical="center"/>
    </xf>
    <xf numFmtId="2" fontId="10" fillId="0" borderId="0" xfId="0" applyNumberFormat="1" applyFont="1" applyAlignment="1">
      <alignment horizontal="center" vertical="center"/>
    </xf>
    <xf numFmtId="0" fontId="37" fillId="0" borderId="0" xfId="0" applyFont="1" applyFill="1" applyAlignment="1">
      <alignment textRotation="90"/>
    </xf>
    <xf numFmtId="166" fontId="23" fillId="0" borderId="10" xfId="64" applyNumberFormat="1" applyFont="1" applyBorder="1" applyAlignment="1">
      <alignment horizontal="center"/>
    </xf>
    <xf numFmtId="166" fontId="10" fillId="0" borderId="0" xfId="0" applyNumberFormat="1" applyFont="1" applyAlignment="1">
      <alignment horizontal="center"/>
    </xf>
    <xf numFmtId="0" fontId="26" fillId="0" borderId="0" xfId="0" applyFont="1" applyAlignment="1">
      <alignment horizontal="left" vertical="center"/>
    </xf>
    <xf numFmtId="166" fontId="10" fillId="0" borderId="0" xfId="0" applyNumberFormat="1" applyFont="1" applyAlignment="1">
      <alignment horizontal="center" vertical="center"/>
    </xf>
    <xf numFmtId="0" fontId="24" fillId="0" borderId="0" xfId="0" applyFont="1" applyAlignment="1">
      <alignment horizontal="left"/>
    </xf>
    <xf numFmtId="0" fontId="42" fillId="0" borderId="0" xfId="0" applyFont="1" applyAlignment="1">
      <alignment horizontal="left" vertical="center"/>
    </xf>
    <xf numFmtId="1" fontId="10" fillId="0" borderId="8" xfId="0" applyNumberFormat="1" applyFont="1" applyFill="1" applyBorder="1" applyAlignment="1">
      <alignment horizontal="center"/>
    </xf>
    <xf numFmtId="0" fontId="10" fillId="0" borderId="9" xfId="0" applyFont="1" applyFill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42" fillId="0" borderId="0" xfId="0" applyFont="1" applyFill="1" applyAlignment="1">
      <alignment horizontal="center"/>
    </xf>
    <xf numFmtId="1" fontId="10" fillId="0" borderId="12" xfId="0" applyNumberFormat="1" applyFont="1" applyFill="1" applyBorder="1" applyAlignment="1">
      <alignment horizontal="center"/>
    </xf>
    <xf numFmtId="0" fontId="10" fillId="0" borderId="13" xfId="0" applyFont="1" applyFill="1" applyBorder="1" applyAlignment="1">
      <alignment horizontal="center"/>
    </xf>
    <xf numFmtId="0" fontId="24" fillId="0" borderId="14" xfId="0" applyFont="1" applyBorder="1" applyAlignment="1">
      <alignment horizontal="center"/>
    </xf>
    <xf numFmtId="0" fontId="24" fillId="0" borderId="15" xfId="0" applyFont="1" applyBorder="1" applyAlignment="1">
      <alignment horizontal="center"/>
    </xf>
    <xf numFmtId="168" fontId="17" fillId="0" borderId="10" xfId="0" applyNumberFormat="1" applyFont="1" applyBorder="1" applyAlignment="1">
      <alignment horizontal="center"/>
    </xf>
    <xf numFmtId="169" fontId="17" fillId="0" borderId="10" xfId="0" applyNumberFormat="1" applyFont="1" applyBorder="1" applyAlignment="1">
      <alignment horizontal="center"/>
    </xf>
    <xf numFmtId="0" fontId="45" fillId="0" borderId="24" xfId="0" applyFont="1" applyBorder="1" applyAlignment="1">
      <alignment horizontal="center"/>
    </xf>
    <xf numFmtId="0" fontId="45" fillId="0" borderId="25" xfId="0" applyFont="1" applyBorder="1" applyAlignment="1">
      <alignment horizontal="center"/>
    </xf>
    <xf numFmtId="0" fontId="45" fillId="0" borderId="11" xfId="0" applyFont="1" applyBorder="1" applyAlignment="1">
      <alignment horizontal="center"/>
    </xf>
    <xf numFmtId="0" fontId="45" fillId="0" borderId="12" xfId="0" applyFont="1" applyBorder="1" applyAlignment="1">
      <alignment horizontal="center"/>
    </xf>
    <xf numFmtId="0" fontId="45" fillId="0" borderId="13" xfId="0" applyFont="1" applyBorder="1" applyAlignment="1">
      <alignment horizontal="center"/>
    </xf>
    <xf numFmtId="0" fontId="42" fillId="0" borderId="0" xfId="0" applyFont="1" applyBorder="1" applyAlignment="1">
      <alignment horizontal="left"/>
    </xf>
    <xf numFmtId="0" fontId="42" fillId="0" borderId="0" xfId="0" applyFont="1" applyBorder="1" applyAlignment="1">
      <alignment horizontal="center"/>
    </xf>
    <xf numFmtId="1" fontId="42" fillId="0" borderId="0" xfId="0" applyNumberFormat="1" applyFont="1" applyBorder="1" applyAlignment="1">
      <alignment horizontal="center"/>
    </xf>
    <xf numFmtId="0" fontId="42" fillId="0" borderId="0" xfId="0" applyFont="1" applyAlignment="1">
      <alignment horizontal="center"/>
    </xf>
    <xf numFmtId="170" fontId="46" fillId="0" borderId="0" xfId="0" applyNumberFormat="1" applyFont="1" applyBorder="1" applyAlignment="1">
      <alignment horizontal="center"/>
    </xf>
    <xf numFmtId="0" fontId="42" fillId="0" borderId="0" xfId="0" applyFont="1" applyAlignment="1">
      <alignment horizontal="left"/>
    </xf>
    <xf numFmtId="1" fontId="42" fillId="0" borderId="0" xfId="0" applyNumberFormat="1" applyFont="1" applyAlignment="1">
      <alignment horizontal="center"/>
    </xf>
    <xf numFmtId="0" fontId="21" fillId="0" borderId="0" xfId="0" applyFont="1" applyFill="1" applyAlignment="1">
      <alignment horizontal="left" vertical="center"/>
    </xf>
    <xf numFmtId="0" fontId="21" fillId="0" borderId="0" xfId="0" applyFont="1" applyFill="1" applyBorder="1" applyAlignment="1">
      <alignment horizontal="left" vertical="center"/>
    </xf>
    <xf numFmtId="0" fontId="23" fillId="0" borderId="0" xfId="0" applyFont="1"/>
    <xf numFmtId="1" fontId="23" fillId="0" borderId="0" xfId="0" applyNumberFormat="1" applyFont="1"/>
    <xf numFmtId="0" fontId="23" fillId="0" borderId="10" xfId="0" applyFont="1" applyFill="1" applyBorder="1" applyAlignment="1">
      <alignment horizontal="left"/>
    </xf>
    <xf numFmtId="0" fontId="23" fillId="0" borderId="10" xfId="0" applyFont="1" applyFill="1" applyBorder="1" applyAlignment="1">
      <alignment horizontal="center"/>
    </xf>
    <xf numFmtId="0" fontId="17" fillId="0" borderId="21" xfId="0" applyFont="1" applyFill="1" applyBorder="1" applyAlignment="1">
      <alignment horizontal="center"/>
    </xf>
    <xf numFmtId="0" fontId="17" fillId="0" borderId="10" xfId="0" applyFont="1" applyFill="1" applyBorder="1" applyAlignment="1">
      <alignment horizontal="center"/>
    </xf>
    <xf numFmtId="0" fontId="17" fillId="0" borderId="16" xfId="0" applyFont="1" applyFill="1" applyBorder="1" applyAlignment="1">
      <alignment horizontal="center"/>
    </xf>
    <xf numFmtId="0" fontId="17" fillId="0" borderId="18" xfId="0" applyFont="1" applyFill="1" applyBorder="1" applyAlignment="1">
      <alignment horizontal="center"/>
    </xf>
    <xf numFmtId="0" fontId="23" fillId="0" borderId="0" xfId="0" applyFont="1" applyFill="1" applyAlignment="1">
      <alignment horizontal="center"/>
    </xf>
    <xf numFmtId="168" fontId="23" fillId="0" borderId="10" xfId="0" applyNumberFormat="1" applyFont="1" applyBorder="1" applyAlignment="1">
      <alignment horizontal="center"/>
    </xf>
    <xf numFmtId="166" fontId="23" fillId="0" borderId="10" xfId="0" applyNumberFormat="1" applyFont="1" applyFill="1" applyBorder="1" applyAlignment="1">
      <alignment horizontal="center"/>
    </xf>
    <xf numFmtId="0" fontId="23" fillId="0" borderId="16" xfId="0" applyFont="1" applyFill="1" applyBorder="1" applyAlignment="1">
      <alignment horizontal="center"/>
    </xf>
    <xf numFmtId="1" fontId="23" fillId="0" borderId="10" xfId="0" applyNumberFormat="1" applyFont="1" applyFill="1" applyBorder="1" applyAlignment="1">
      <alignment horizontal="center"/>
    </xf>
    <xf numFmtId="0" fontId="17" fillId="0" borderId="23" xfId="0" applyFont="1" applyFill="1" applyBorder="1" applyAlignment="1">
      <alignment horizontal="center"/>
    </xf>
    <xf numFmtId="0" fontId="17" fillId="0" borderId="11" xfId="0" applyFont="1" applyFill="1" applyBorder="1" applyAlignment="1">
      <alignment horizontal="center"/>
    </xf>
    <xf numFmtId="0" fontId="17" fillId="0" borderId="12" xfId="0" applyFont="1" applyFill="1" applyBorder="1" applyAlignment="1">
      <alignment horizontal="center"/>
    </xf>
    <xf numFmtId="0" fontId="17" fillId="0" borderId="13" xfId="0" applyFont="1" applyFill="1" applyBorder="1" applyAlignment="1">
      <alignment horizontal="center"/>
    </xf>
    <xf numFmtId="0" fontId="23" fillId="0" borderId="0" xfId="0" applyFont="1" applyFill="1" applyBorder="1" applyAlignment="1">
      <alignment horizontal="center"/>
    </xf>
    <xf numFmtId="0" fontId="23" fillId="0" borderId="0" xfId="0" applyFont="1" applyFill="1" applyAlignment="1">
      <alignment horizontal="left"/>
    </xf>
    <xf numFmtId="1" fontId="23" fillId="0" borderId="0" xfId="0" applyNumberFormat="1" applyFont="1" applyFill="1" applyAlignment="1">
      <alignment horizontal="center"/>
    </xf>
    <xf numFmtId="0" fontId="17" fillId="0" borderId="0" xfId="0" applyFont="1" applyFill="1" applyAlignment="1">
      <alignment horizontal="center"/>
    </xf>
    <xf numFmtId="0" fontId="21" fillId="0" borderId="0" xfId="0" applyFont="1" applyFill="1" applyAlignment="1">
      <alignment horizontal="left"/>
    </xf>
    <xf numFmtId="0" fontId="21" fillId="0" borderId="0" xfId="0" applyFont="1" applyFill="1" applyBorder="1" applyAlignment="1">
      <alignment horizontal="center"/>
    </xf>
    <xf numFmtId="0" fontId="21" fillId="0" borderId="0" xfId="0" applyFont="1" applyFill="1" applyAlignment="1">
      <alignment horizontal="center"/>
    </xf>
    <xf numFmtId="1" fontId="21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horizontal="center"/>
    </xf>
    <xf numFmtId="0" fontId="42" fillId="0" borderId="0" xfId="0" applyFont="1" applyFill="1" applyAlignment="1">
      <alignment horizontal="left" vertical="center"/>
    </xf>
    <xf numFmtId="0" fontId="17" fillId="0" borderId="22" xfId="0" applyFont="1" applyFill="1" applyBorder="1" applyAlignment="1">
      <alignment horizontal="center"/>
    </xf>
    <xf numFmtId="0" fontId="42" fillId="0" borderId="0" xfId="0" applyFont="1" applyFill="1" applyAlignment="1">
      <alignment horizontal="left"/>
    </xf>
    <xf numFmtId="0" fontId="5" fillId="0" borderId="13" xfId="0" applyFont="1" applyBorder="1" applyAlignment="1">
      <alignment horizontal="center"/>
    </xf>
    <xf numFmtId="0" fontId="17" fillId="0" borderId="26" xfId="0" applyFont="1" applyBorder="1" applyAlignment="1">
      <alignment horizontal="center"/>
    </xf>
    <xf numFmtId="0" fontId="5" fillId="0" borderId="0" xfId="0" applyFont="1" applyBorder="1" applyAlignment="1">
      <alignment horizontal="left"/>
    </xf>
    <xf numFmtId="0" fontId="49" fillId="0" borderId="0" xfId="0" applyFont="1" applyBorder="1" applyAlignment="1">
      <alignment horizontal="center"/>
    </xf>
    <xf numFmtId="0" fontId="5" fillId="0" borderId="11" xfId="0" applyFont="1" applyBorder="1" applyAlignment="1">
      <alignment horizontal="left"/>
    </xf>
    <xf numFmtId="0" fontId="5" fillId="0" borderId="14" xfId="0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17" fillId="0" borderId="0" xfId="0" applyFont="1" applyBorder="1" applyAlignment="1">
      <alignment horizontal="left"/>
    </xf>
    <xf numFmtId="0" fontId="17" fillId="0" borderId="8" xfId="0" applyFont="1" applyBorder="1" applyAlignment="1">
      <alignment horizontal="center"/>
    </xf>
    <xf numFmtId="0" fontId="17" fillId="0" borderId="18" xfId="0" applyNumberFormat="1" applyFont="1" applyBorder="1" applyAlignment="1">
      <alignment horizontal="center"/>
    </xf>
    <xf numFmtId="2" fontId="17" fillId="0" borderId="27" xfId="0" applyNumberFormat="1" applyFont="1" applyBorder="1" applyAlignment="1">
      <alignment horizontal="center"/>
    </xf>
    <xf numFmtId="0" fontId="17" fillId="0" borderId="9" xfId="0" applyFont="1" applyBorder="1" applyAlignment="1">
      <alignment horizontal="center"/>
    </xf>
    <xf numFmtId="0" fontId="7" fillId="16" borderId="0" xfId="0" applyFont="1" applyFill="1" applyBorder="1" applyAlignment="1">
      <alignment horizontal="center"/>
    </xf>
    <xf numFmtId="0" fontId="19" fillId="0" borderId="0" xfId="0" applyFont="1" applyAlignment="1">
      <alignment horizontal="left"/>
    </xf>
    <xf numFmtId="0" fontId="19" fillId="0" borderId="0" xfId="0" applyFont="1" applyAlignment="1">
      <alignment horizontal="center"/>
    </xf>
    <xf numFmtId="0" fontId="52" fillId="0" borderId="9" xfId="0" applyFont="1" applyBorder="1" applyAlignment="1">
      <alignment horizontal="center"/>
    </xf>
    <xf numFmtId="0" fontId="10" fillId="0" borderId="28" xfId="0" applyFont="1" applyBorder="1" applyAlignment="1">
      <alignment horizontal="center"/>
    </xf>
    <xf numFmtId="0" fontId="10" fillId="0" borderId="13" xfId="0" applyFont="1" applyBorder="1" applyAlignment="1">
      <alignment horizontal="center"/>
    </xf>
    <xf numFmtId="0" fontId="10" fillId="0" borderId="15" xfId="0" applyFont="1" applyBorder="1" applyAlignment="1">
      <alignment horizontal="center"/>
    </xf>
    <xf numFmtId="0" fontId="10" fillId="0" borderId="20" xfId="0" applyFont="1" applyBorder="1" applyAlignment="1">
      <alignment horizontal="center"/>
    </xf>
    <xf numFmtId="0" fontId="23" fillId="0" borderId="8" xfId="0" applyFont="1" applyBorder="1" applyAlignment="1">
      <alignment horizontal="center"/>
    </xf>
    <xf numFmtId="0" fontId="23" fillId="0" borderId="8" xfId="0" applyFont="1" applyBorder="1"/>
    <xf numFmtId="0" fontId="23" fillId="16" borderId="0" xfId="0" applyFont="1" applyFill="1" applyBorder="1" applyAlignment="1">
      <alignment horizontal="center"/>
    </xf>
    <xf numFmtId="0" fontId="23" fillId="0" borderId="10" xfId="0" applyNumberFormat="1" applyFont="1" applyBorder="1" applyAlignment="1">
      <alignment horizontal="center"/>
    </xf>
    <xf numFmtId="0" fontId="23" fillId="0" borderId="22" xfId="0" applyFont="1" applyBorder="1" applyAlignment="1">
      <alignment horizontal="center"/>
    </xf>
    <xf numFmtId="2" fontId="23" fillId="0" borderId="22" xfId="0" applyNumberFormat="1" applyFont="1" applyBorder="1" applyAlignment="1">
      <alignment horizontal="center"/>
    </xf>
    <xf numFmtId="1" fontId="23" fillId="0" borderId="22" xfId="0" applyNumberFormat="1" applyFont="1" applyBorder="1" applyAlignment="1">
      <alignment horizontal="center"/>
    </xf>
    <xf numFmtId="1" fontId="23" fillId="0" borderId="18" xfId="0" applyNumberFormat="1" applyFont="1" applyBorder="1" applyAlignment="1">
      <alignment horizontal="center"/>
    </xf>
    <xf numFmtId="0" fontId="23" fillId="0" borderId="12" xfId="0" applyFont="1" applyBorder="1" applyAlignment="1">
      <alignment horizontal="center"/>
    </xf>
    <xf numFmtId="0" fontId="23" fillId="0" borderId="13" xfId="0" applyFont="1" applyBorder="1" applyAlignment="1">
      <alignment horizontal="center"/>
    </xf>
    <xf numFmtId="0" fontId="21" fillId="16" borderId="0" xfId="0" applyFont="1" applyFill="1" applyBorder="1" applyAlignment="1">
      <alignment horizontal="center"/>
    </xf>
    <xf numFmtId="0" fontId="24" fillId="0" borderId="0" xfId="0" applyFont="1" applyAlignment="1">
      <alignment horizontal="center"/>
    </xf>
    <xf numFmtId="0" fontId="10" fillId="0" borderId="0" xfId="0" applyFont="1" applyFill="1" applyAlignment="1">
      <alignment horizontal="left"/>
    </xf>
    <xf numFmtId="0" fontId="10" fillId="0" borderId="29" xfId="0" applyFont="1" applyFill="1" applyBorder="1" applyAlignment="1">
      <alignment horizontal="center"/>
    </xf>
    <xf numFmtId="2" fontId="10" fillId="0" borderId="28" xfId="0" applyNumberFormat="1" applyFont="1" applyFill="1" applyBorder="1" applyAlignment="1">
      <alignment horizontal="center"/>
    </xf>
    <xf numFmtId="0" fontId="10" fillId="0" borderId="28" xfId="0" applyFont="1" applyFill="1" applyBorder="1" applyAlignment="1">
      <alignment horizontal="left"/>
    </xf>
    <xf numFmtId="0" fontId="10" fillId="0" borderId="28" xfId="0" applyFont="1" applyFill="1" applyBorder="1" applyAlignment="1">
      <alignment horizontal="center"/>
    </xf>
    <xf numFmtId="0" fontId="10" fillId="0" borderId="20" xfId="0" applyFont="1" applyBorder="1" applyAlignment="1">
      <alignment horizontal="left"/>
    </xf>
    <xf numFmtId="2" fontId="10" fillId="0" borderId="12" xfId="0" applyNumberFormat="1" applyFont="1" applyBorder="1" applyAlignment="1">
      <alignment horizontal="center"/>
    </xf>
    <xf numFmtId="0" fontId="23" fillId="0" borderId="30" xfId="0" applyFont="1" applyBorder="1" applyAlignment="1">
      <alignment horizontal="center"/>
    </xf>
    <xf numFmtId="0" fontId="23" fillId="0" borderId="30" xfId="0" applyFont="1" applyBorder="1" applyAlignment="1">
      <alignment horizontal="left"/>
    </xf>
    <xf numFmtId="2" fontId="23" fillId="0" borderId="0" xfId="0" applyNumberFormat="1" applyFont="1" applyBorder="1" applyAlignment="1">
      <alignment horizontal="center"/>
    </xf>
    <xf numFmtId="167" fontId="23" fillId="0" borderId="22" xfId="0" applyNumberFormat="1" applyFont="1" applyBorder="1" applyAlignment="1">
      <alignment horizontal="center"/>
    </xf>
    <xf numFmtId="0" fontId="23" fillId="0" borderId="22" xfId="0" applyFont="1" applyBorder="1" applyAlignment="1">
      <alignment horizontal="left"/>
    </xf>
    <xf numFmtId="166" fontId="23" fillId="0" borderId="22" xfId="0" applyNumberFormat="1" applyFont="1" applyBorder="1" applyAlignment="1">
      <alignment horizontal="center"/>
    </xf>
    <xf numFmtId="0" fontId="53" fillId="0" borderId="0" xfId="0" applyFont="1" applyAlignment="1">
      <alignment horizontal="left"/>
    </xf>
    <xf numFmtId="2" fontId="24" fillId="0" borderId="0" xfId="0" applyNumberFormat="1" applyFont="1" applyAlignment="1">
      <alignment horizontal="left" vertical="center"/>
    </xf>
    <xf numFmtId="0" fontId="23" fillId="0" borderId="14" xfId="0" applyFont="1" applyBorder="1" applyAlignment="1">
      <alignment horizontal="center"/>
    </xf>
    <xf numFmtId="0" fontId="23" fillId="0" borderId="15" xfId="0" applyFont="1" applyBorder="1" applyAlignment="1">
      <alignment horizontal="center"/>
    </xf>
    <xf numFmtId="0" fontId="17" fillId="0" borderId="10" xfId="0" applyFont="1" applyFill="1" applyBorder="1" applyAlignment="1">
      <alignment horizontal="left"/>
    </xf>
    <xf numFmtId="0" fontId="21" fillId="0" borderId="8" xfId="0" applyFont="1" applyFill="1" applyBorder="1" applyAlignment="1">
      <alignment horizontal="center"/>
    </xf>
    <xf numFmtId="0" fontId="21" fillId="0" borderId="0" xfId="0" applyFont="1" applyFill="1" applyAlignment="1">
      <alignment horizontal="center" vertical="center"/>
    </xf>
    <xf numFmtId="0" fontId="10" fillId="0" borderId="28" xfId="0" applyFont="1" applyFill="1" applyBorder="1" applyAlignment="1">
      <alignment horizontal="right"/>
    </xf>
    <xf numFmtId="49" fontId="28" fillId="0" borderId="0" xfId="0" applyNumberFormat="1" applyFont="1" applyFill="1" applyBorder="1" applyAlignment="1">
      <alignment horizontal="center"/>
    </xf>
    <xf numFmtId="0" fontId="28" fillId="0" borderId="0" xfId="0" applyFont="1" applyFill="1" applyBorder="1" applyAlignment="1">
      <alignment horizontal="center"/>
    </xf>
    <xf numFmtId="0" fontId="10" fillId="0" borderId="20" xfId="0" applyFont="1" applyFill="1" applyBorder="1" applyAlignment="1">
      <alignment horizontal="right"/>
    </xf>
    <xf numFmtId="0" fontId="10" fillId="0" borderId="14" xfId="0" applyFont="1" applyFill="1" applyBorder="1" applyAlignment="1">
      <alignment horizontal="center"/>
    </xf>
    <xf numFmtId="0" fontId="10" fillId="0" borderId="20" xfId="0" applyFont="1" applyFill="1" applyBorder="1" applyAlignment="1">
      <alignment horizontal="center"/>
    </xf>
    <xf numFmtId="0" fontId="23" fillId="0" borderId="0" xfId="0" applyFont="1" applyAlignment="1">
      <alignment horizontal="right"/>
    </xf>
    <xf numFmtId="0" fontId="23" fillId="0" borderId="0" xfId="0" applyFont="1" applyAlignment="1">
      <alignment horizontal="left"/>
    </xf>
    <xf numFmtId="0" fontId="23" fillId="0" borderId="0" xfId="0" applyFont="1" applyBorder="1"/>
    <xf numFmtId="0" fontId="17" fillId="0" borderId="22" xfId="0" applyFont="1" applyBorder="1" applyAlignment="1">
      <alignment horizontal="right"/>
    </xf>
    <xf numFmtId="0" fontId="17" fillId="0" borderId="17" xfId="0" applyFont="1" applyBorder="1" applyAlignment="1">
      <alignment horizontal="center"/>
    </xf>
    <xf numFmtId="166" fontId="17" fillId="0" borderId="10" xfId="0" applyNumberFormat="1" applyFont="1" applyFill="1" applyBorder="1" applyAlignment="1">
      <alignment horizontal="center"/>
    </xf>
    <xf numFmtId="166" fontId="17" fillId="0" borderId="22" xfId="0" applyNumberFormat="1" applyFont="1" applyFill="1" applyBorder="1" applyAlignment="1">
      <alignment horizontal="center"/>
    </xf>
    <xf numFmtId="0" fontId="54" fillId="0" borderId="0" xfId="0" applyFont="1" applyFill="1" applyAlignment="1">
      <alignment horizontal="center"/>
    </xf>
    <xf numFmtId="0" fontId="55" fillId="0" borderId="0" xfId="0" applyFont="1" applyFill="1" applyAlignment="1">
      <alignment horizontal="center"/>
    </xf>
    <xf numFmtId="166" fontId="17" fillId="0" borderId="22" xfId="0" applyNumberFormat="1" applyFont="1" applyBorder="1" applyAlignment="1">
      <alignment horizontal="center"/>
    </xf>
    <xf numFmtId="0" fontId="21" fillId="0" borderId="0" xfId="0" applyFont="1" applyFill="1" applyAlignment="1">
      <alignment horizontal="right"/>
    </xf>
    <xf numFmtId="0" fontId="23" fillId="0" borderId="0" xfId="0" applyFont="1" applyFill="1" applyAlignment="1">
      <alignment horizontal="left" vertical="center"/>
    </xf>
    <xf numFmtId="0" fontId="23" fillId="0" borderId="0" xfId="0" applyFont="1" applyFill="1" applyAlignment="1">
      <alignment horizontal="center" vertical="center"/>
    </xf>
    <xf numFmtId="0" fontId="23" fillId="0" borderId="11" xfId="0" applyFont="1" applyFill="1" applyBorder="1" applyAlignment="1">
      <alignment horizontal="left"/>
    </xf>
    <xf numFmtId="0" fontId="23" fillId="0" borderId="20" xfId="0" applyFont="1" applyFill="1" applyBorder="1" applyAlignment="1">
      <alignment horizontal="right"/>
    </xf>
    <xf numFmtId="0" fontId="23" fillId="0" borderId="11" xfId="0" applyFont="1" applyFill="1" applyBorder="1" applyAlignment="1">
      <alignment horizontal="center"/>
    </xf>
    <xf numFmtId="0" fontId="23" fillId="0" borderId="12" xfId="0" applyFont="1" applyFill="1" applyBorder="1" applyAlignment="1">
      <alignment horizontal="center"/>
    </xf>
    <xf numFmtId="0" fontId="57" fillId="0" borderId="0" xfId="0" applyFont="1" applyFill="1" applyAlignment="1">
      <alignment horizontal="center"/>
    </xf>
    <xf numFmtId="0" fontId="23" fillId="0" borderId="27" xfId="0" applyFont="1" applyFill="1" applyBorder="1" applyAlignment="1">
      <alignment horizontal="left"/>
    </xf>
    <xf numFmtId="0" fontId="23" fillId="0" borderId="0" xfId="0" applyFont="1" applyFill="1" applyAlignment="1">
      <alignment horizontal="right"/>
    </xf>
    <xf numFmtId="0" fontId="58" fillId="17" borderId="0" xfId="0" applyFont="1" applyFill="1" applyBorder="1"/>
    <xf numFmtId="0" fontId="5" fillId="0" borderId="0" xfId="0" applyFont="1" applyFill="1" applyBorder="1"/>
    <xf numFmtId="0" fontId="58" fillId="0" borderId="0" xfId="0" applyFont="1" applyFill="1" applyBorder="1"/>
    <xf numFmtId="0" fontId="5" fillId="0" borderId="0" xfId="0" applyFont="1" applyFill="1"/>
    <xf numFmtId="0" fontId="5" fillId="18" borderId="31" xfId="0" applyFont="1" applyFill="1" applyBorder="1"/>
    <xf numFmtId="1" fontId="5" fillId="0" borderId="32" xfId="0" applyNumberFormat="1" applyFont="1" applyFill="1" applyBorder="1" applyAlignment="1">
      <alignment horizontal="center"/>
    </xf>
    <xf numFmtId="1" fontId="5" fillId="0" borderId="33" xfId="0" applyNumberFormat="1" applyFont="1" applyFill="1" applyBorder="1" applyAlignment="1">
      <alignment horizontal="center"/>
    </xf>
    <xf numFmtId="0" fontId="5" fillId="18" borderId="34" xfId="0" applyFont="1" applyFill="1" applyBorder="1"/>
    <xf numFmtId="1" fontId="5" fillId="0" borderId="35" xfId="0" applyNumberFormat="1" applyFont="1" applyFill="1" applyBorder="1" applyAlignment="1">
      <alignment horizontal="center"/>
    </xf>
    <xf numFmtId="1" fontId="5" fillId="0" borderId="36" xfId="0" applyNumberFormat="1" applyFont="1" applyFill="1" applyBorder="1" applyAlignment="1">
      <alignment horizontal="center"/>
    </xf>
    <xf numFmtId="0" fontId="5" fillId="18" borderId="37" xfId="0" applyFont="1" applyFill="1" applyBorder="1"/>
    <xf numFmtId="1" fontId="5" fillId="0" borderId="38" xfId="0" applyNumberFormat="1" applyFont="1" applyFill="1" applyBorder="1" applyAlignment="1">
      <alignment horizontal="center"/>
    </xf>
    <xf numFmtId="1" fontId="5" fillId="0" borderId="39" xfId="0" applyNumberFormat="1" applyFont="1" applyFill="1" applyBorder="1" applyAlignment="1">
      <alignment horizontal="center"/>
    </xf>
    <xf numFmtId="0" fontId="5" fillId="18" borderId="40" xfId="0" applyFont="1" applyFill="1" applyBorder="1"/>
    <xf numFmtId="1" fontId="5" fillId="0" borderId="41" xfId="0" applyNumberFormat="1" applyFont="1" applyFill="1" applyBorder="1" applyAlignment="1">
      <alignment horizontal="center"/>
    </xf>
    <xf numFmtId="1" fontId="5" fillId="0" borderId="42" xfId="0" applyNumberFormat="1" applyFont="1" applyFill="1" applyBorder="1" applyAlignment="1">
      <alignment horizontal="center"/>
    </xf>
    <xf numFmtId="0" fontId="5" fillId="18" borderId="43" xfId="0" applyFont="1" applyFill="1" applyBorder="1"/>
    <xf numFmtId="1" fontId="5" fillId="0" borderId="43" xfId="0" applyNumberFormat="1" applyFont="1" applyFill="1" applyBorder="1" applyAlignment="1">
      <alignment horizontal="center"/>
    </xf>
    <xf numFmtId="1" fontId="5" fillId="0" borderId="44" xfId="0" applyNumberFormat="1" applyFont="1" applyFill="1" applyBorder="1" applyAlignment="1">
      <alignment horizontal="center"/>
    </xf>
    <xf numFmtId="0" fontId="20" fillId="19" borderId="0" xfId="0" applyFont="1" applyFill="1" applyAlignment="1">
      <alignment horizontal="left" vertical="center"/>
    </xf>
    <xf numFmtId="0" fontId="10" fillId="19" borderId="0" xfId="0" applyFont="1" applyFill="1" applyAlignment="1">
      <alignment horizontal="left" vertical="center"/>
    </xf>
    <xf numFmtId="0" fontId="10" fillId="19" borderId="0" xfId="0" applyFont="1" applyFill="1" applyBorder="1" applyAlignment="1">
      <alignment horizontal="left" vertical="center"/>
    </xf>
    <xf numFmtId="0" fontId="0" fillId="19" borderId="0" xfId="0" applyFill="1"/>
    <xf numFmtId="0" fontId="5" fillId="19" borderId="0" xfId="0" applyFont="1" applyFill="1" applyAlignment="1">
      <alignment horizontal="left" vertical="center"/>
    </xf>
    <xf numFmtId="1" fontId="10" fillId="19" borderId="0" xfId="0" applyNumberFormat="1" applyFont="1" applyFill="1" applyAlignment="1">
      <alignment horizontal="left" vertical="center"/>
    </xf>
    <xf numFmtId="0" fontId="10" fillId="19" borderId="45" xfId="0" applyFont="1" applyFill="1" applyBorder="1" applyAlignment="1">
      <alignment horizontal="left"/>
    </xf>
    <xf numFmtId="0" fontId="10" fillId="19" borderId="46" xfId="0" applyFont="1" applyFill="1" applyBorder="1" applyAlignment="1">
      <alignment horizontal="center"/>
    </xf>
    <xf numFmtId="0" fontId="10" fillId="19" borderId="23" xfId="0" applyFont="1" applyFill="1" applyBorder="1" applyAlignment="1">
      <alignment horizontal="left"/>
    </xf>
    <xf numFmtId="0" fontId="10" fillId="19" borderId="13" xfId="0" applyFont="1" applyFill="1" applyBorder="1" applyAlignment="1">
      <alignment horizontal="center"/>
    </xf>
    <xf numFmtId="0" fontId="10" fillId="19" borderId="47" xfId="0" applyFont="1" applyFill="1" applyBorder="1" applyAlignment="1">
      <alignment horizontal="center"/>
    </xf>
    <xf numFmtId="0" fontId="5" fillId="19" borderId="48" xfId="0" applyFont="1" applyFill="1" applyBorder="1" applyAlignment="1">
      <alignment horizontal="center"/>
    </xf>
    <xf numFmtId="0" fontId="5" fillId="19" borderId="49" xfId="0" applyFont="1" applyFill="1" applyBorder="1" applyAlignment="1">
      <alignment horizontal="center"/>
    </xf>
    <xf numFmtId="0" fontId="23" fillId="20" borderId="10" xfId="0" applyFont="1" applyFill="1" applyBorder="1" applyAlignment="1">
      <alignment horizontal="left"/>
    </xf>
    <xf numFmtId="166" fontId="23" fillId="20" borderId="16" xfId="0" applyNumberFormat="1" applyFont="1" applyFill="1" applyBorder="1" applyAlignment="1">
      <alignment horizontal="center"/>
    </xf>
    <xf numFmtId="0" fontId="23" fillId="20" borderId="10" xfId="0" applyFont="1" applyFill="1" applyBorder="1" applyAlignment="1">
      <alignment horizontal="center"/>
    </xf>
    <xf numFmtId="166" fontId="23" fillId="20" borderId="10" xfId="0" applyNumberFormat="1" applyFont="1" applyFill="1" applyBorder="1" applyAlignment="1">
      <alignment horizontal="center"/>
    </xf>
    <xf numFmtId="0" fontId="23" fillId="20" borderId="16" xfId="0" applyFont="1" applyFill="1" applyBorder="1" applyAlignment="1">
      <alignment horizontal="center"/>
    </xf>
    <xf numFmtId="2" fontId="23" fillId="20" borderId="16" xfId="0" applyNumberFormat="1" applyFont="1" applyFill="1" applyBorder="1" applyAlignment="1">
      <alignment horizontal="center"/>
    </xf>
    <xf numFmtId="166" fontId="23" fillId="20" borderId="10" xfId="64" applyNumberFormat="1" applyFont="1" applyFill="1" applyBorder="1" applyAlignment="1">
      <alignment horizontal="center"/>
    </xf>
    <xf numFmtId="1" fontId="23" fillId="20" borderId="10" xfId="0" applyNumberFormat="1" applyFont="1" applyFill="1" applyBorder="1" applyAlignment="1">
      <alignment horizontal="center"/>
    </xf>
    <xf numFmtId="1" fontId="23" fillId="20" borderId="16" xfId="0" applyNumberFormat="1" applyFont="1" applyFill="1" applyBorder="1" applyAlignment="1">
      <alignment horizontal="center"/>
    </xf>
    <xf numFmtId="167" fontId="23" fillId="20" borderId="10" xfId="0" applyNumberFormat="1" applyFont="1" applyFill="1" applyBorder="1" applyAlignment="1">
      <alignment horizontal="center"/>
    </xf>
    <xf numFmtId="2" fontId="23" fillId="20" borderId="10" xfId="0" applyNumberFormat="1" applyFont="1" applyFill="1" applyBorder="1" applyAlignment="1">
      <alignment horizontal="center"/>
    </xf>
    <xf numFmtId="2" fontId="17" fillId="20" borderId="10" xfId="0" applyNumberFormat="1" applyFont="1" applyFill="1" applyBorder="1" applyAlignment="1">
      <alignment horizontal="center"/>
    </xf>
    <xf numFmtId="2" fontId="17" fillId="20" borderId="18" xfId="0" applyNumberFormat="1" applyFont="1" applyFill="1" applyBorder="1" applyAlignment="1">
      <alignment horizontal="center"/>
    </xf>
    <xf numFmtId="0" fontId="17" fillId="20" borderId="10" xfId="0" applyFont="1" applyFill="1" applyBorder="1" applyAlignment="1">
      <alignment horizontal="center"/>
    </xf>
    <xf numFmtId="0" fontId="17" fillId="20" borderId="16" xfId="0" applyFont="1" applyFill="1" applyBorder="1" applyAlignment="1">
      <alignment horizontal="center"/>
    </xf>
    <xf numFmtId="0" fontId="17" fillId="20" borderId="18" xfId="0" applyFont="1" applyFill="1" applyBorder="1" applyAlignment="1">
      <alignment horizontal="center"/>
    </xf>
    <xf numFmtId="0" fontId="10" fillId="20" borderId="0" xfId="0" applyFont="1" applyFill="1" applyAlignment="1">
      <alignment horizontal="center"/>
    </xf>
    <xf numFmtId="166" fontId="17" fillId="20" borderId="18" xfId="0" applyNumberFormat="1" applyFont="1" applyFill="1" applyBorder="1" applyAlignment="1">
      <alignment horizontal="center"/>
    </xf>
    <xf numFmtId="1" fontId="17" fillId="20" borderId="10" xfId="0" applyNumberFormat="1" applyFont="1" applyFill="1" applyBorder="1" applyAlignment="1">
      <alignment horizontal="center"/>
    </xf>
    <xf numFmtId="166" fontId="17" fillId="20" borderId="10" xfId="0" applyNumberFormat="1" applyFont="1" applyFill="1" applyBorder="1" applyAlignment="1">
      <alignment horizontal="center"/>
    </xf>
    <xf numFmtId="0" fontId="17" fillId="20" borderId="23" xfId="0" applyFont="1" applyFill="1" applyBorder="1" applyAlignment="1">
      <alignment horizontal="center"/>
    </xf>
    <xf numFmtId="0" fontId="17" fillId="20" borderId="11" xfId="0" applyFont="1" applyFill="1" applyBorder="1" applyAlignment="1">
      <alignment horizontal="center"/>
    </xf>
    <xf numFmtId="0" fontId="17" fillId="20" borderId="12" xfId="0" applyFont="1" applyFill="1" applyBorder="1" applyAlignment="1">
      <alignment horizontal="center"/>
    </xf>
    <xf numFmtId="0" fontId="17" fillId="20" borderId="13" xfId="0" applyFont="1" applyFill="1" applyBorder="1" applyAlignment="1">
      <alignment horizontal="center"/>
    </xf>
    <xf numFmtId="0" fontId="23" fillId="20" borderId="0" xfId="0" applyFont="1" applyFill="1" applyBorder="1" applyAlignment="1">
      <alignment horizontal="center"/>
    </xf>
    <xf numFmtId="166" fontId="10" fillId="20" borderId="0" xfId="0" applyNumberFormat="1" applyFont="1" applyFill="1" applyAlignment="1">
      <alignment horizontal="center"/>
    </xf>
    <xf numFmtId="0" fontId="10" fillId="19" borderId="11" xfId="0" applyFont="1" applyFill="1" applyBorder="1" applyAlignment="1">
      <alignment horizontal="left"/>
    </xf>
    <xf numFmtId="0" fontId="59" fillId="19" borderId="0" xfId="0" applyFont="1" applyFill="1" applyBorder="1" applyAlignment="1">
      <alignment horizontal="left" vertical="center"/>
    </xf>
    <xf numFmtId="0" fontId="10" fillId="19" borderId="48" xfId="0" applyFont="1" applyFill="1" applyBorder="1" applyAlignment="1">
      <alignment horizontal="left"/>
    </xf>
    <xf numFmtId="0" fontId="10" fillId="19" borderId="30" xfId="0" applyFont="1" applyFill="1" applyBorder="1" applyAlignment="1">
      <alignment horizontal="left"/>
    </xf>
    <xf numFmtId="0" fontId="10" fillId="19" borderId="46" xfId="0" applyFont="1" applyFill="1" applyBorder="1" applyAlignment="1">
      <alignment horizontal="left"/>
    </xf>
    <xf numFmtId="0" fontId="10" fillId="19" borderId="13" xfId="0" applyFont="1" applyFill="1" applyBorder="1" applyAlignment="1">
      <alignment horizontal="left"/>
    </xf>
    <xf numFmtId="0" fontId="10" fillId="19" borderId="50" xfId="0" applyFont="1" applyFill="1" applyBorder="1" applyAlignment="1">
      <alignment horizontal="left"/>
    </xf>
    <xf numFmtId="0" fontId="10" fillId="19" borderId="51" xfId="0" applyFont="1" applyFill="1" applyBorder="1" applyAlignment="1">
      <alignment horizontal="left"/>
    </xf>
    <xf numFmtId="1" fontId="10" fillId="19" borderId="30" xfId="0" applyNumberFormat="1" applyFont="1" applyFill="1" applyBorder="1" applyAlignment="1">
      <alignment horizontal="left"/>
    </xf>
    <xf numFmtId="1" fontId="10" fillId="19" borderId="11" xfId="0" applyNumberFormat="1" applyFont="1" applyFill="1" applyBorder="1" applyAlignment="1">
      <alignment horizontal="left"/>
    </xf>
    <xf numFmtId="0" fontId="10" fillId="19" borderId="47" xfId="0" applyFont="1" applyFill="1" applyBorder="1" applyAlignment="1">
      <alignment horizontal="left"/>
    </xf>
    <xf numFmtId="0" fontId="5" fillId="19" borderId="48" xfId="0" applyFont="1" applyFill="1" applyBorder="1" applyAlignment="1">
      <alignment horizontal="left"/>
    </xf>
    <xf numFmtId="0" fontId="5" fillId="19" borderId="49" xfId="0" applyFont="1" applyFill="1" applyBorder="1" applyAlignment="1">
      <alignment horizontal="left"/>
    </xf>
    <xf numFmtId="0" fontId="10" fillId="19" borderId="49" xfId="0" applyFont="1" applyFill="1" applyBorder="1" applyAlignment="1">
      <alignment horizontal="left"/>
    </xf>
    <xf numFmtId="0" fontId="5" fillId="19" borderId="45" xfId="0" applyFont="1" applyFill="1" applyBorder="1" applyAlignment="1">
      <alignment horizontal="left"/>
    </xf>
    <xf numFmtId="0" fontId="5" fillId="19" borderId="30" xfId="0" applyFont="1" applyFill="1" applyBorder="1" applyAlignment="1">
      <alignment horizontal="left"/>
    </xf>
    <xf numFmtId="0" fontId="5" fillId="19" borderId="46" xfId="0" applyFont="1" applyFill="1" applyBorder="1" applyAlignment="1">
      <alignment horizontal="left"/>
    </xf>
    <xf numFmtId="0" fontId="5" fillId="19" borderId="23" xfId="0" applyFont="1" applyFill="1" applyBorder="1" applyAlignment="1">
      <alignment horizontal="left"/>
    </xf>
    <xf numFmtId="0" fontId="5" fillId="19" borderId="11" xfId="0" applyFont="1" applyFill="1" applyBorder="1" applyAlignment="1">
      <alignment horizontal="left"/>
    </xf>
    <xf numFmtId="0" fontId="5" fillId="19" borderId="13" xfId="0" applyFont="1" applyFill="1" applyBorder="1" applyAlignment="1">
      <alignment horizontal="left"/>
    </xf>
    <xf numFmtId="2" fontId="10" fillId="19" borderId="0" xfId="0" applyNumberFormat="1" applyFont="1" applyFill="1" applyAlignment="1">
      <alignment horizontal="left" vertical="center"/>
    </xf>
    <xf numFmtId="0" fontId="10" fillId="19" borderId="0" xfId="0" applyFont="1" applyFill="1" applyAlignment="1">
      <alignment horizontal="left"/>
    </xf>
    <xf numFmtId="0" fontId="10" fillId="19" borderId="0" xfId="0" applyFont="1" applyFill="1" applyAlignment="1">
      <alignment horizontal="center"/>
    </xf>
    <xf numFmtId="0" fontId="10" fillId="19" borderId="0" xfId="0" applyFont="1" applyFill="1" applyBorder="1" applyAlignment="1">
      <alignment horizontal="center"/>
    </xf>
    <xf numFmtId="1" fontId="10" fillId="19" borderId="0" xfId="0" applyNumberFormat="1" applyFont="1" applyFill="1" applyAlignment="1">
      <alignment horizontal="center"/>
    </xf>
    <xf numFmtId="2" fontId="10" fillId="19" borderId="0" xfId="0" applyNumberFormat="1" applyFont="1" applyFill="1" applyAlignment="1">
      <alignment horizontal="center"/>
    </xf>
    <xf numFmtId="0" fontId="5" fillId="19" borderId="0" xfId="0" applyFont="1" applyFill="1" applyAlignment="1">
      <alignment horizontal="center"/>
    </xf>
    <xf numFmtId="0" fontId="23" fillId="13" borderId="10" xfId="0" applyFont="1" applyFill="1" applyBorder="1" applyAlignment="1">
      <alignment horizontal="left"/>
    </xf>
    <xf numFmtId="166" fontId="23" fillId="13" borderId="16" xfId="0" applyNumberFormat="1" applyFont="1" applyFill="1" applyBorder="1" applyAlignment="1">
      <alignment horizontal="center"/>
    </xf>
    <xf numFmtId="0" fontId="23" fillId="13" borderId="10" xfId="0" applyFont="1" applyFill="1" applyBorder="1" applyAlignment="1">
      <alignment horizontal="center"/>
    </xf>
    <xf numFmtId="166" fontId="23" fillId="13" borderId="10" xfId="0" applyNumberFormat="1" applyFont="1" applyFill="1" applyBorder="1" applyAlignment="1">
      <alignment horizontal="center"/>
    </xf>
    <xf numFmtId="0" fontId="23" fillId="13" borderId="16" xfId="0" applyFont="1" applyFill="1" applyBorder="1" applyAlignment="1">
      <alignment horizontal="center"/>
    </xf>
    <xf numFmtId="2" fontId="23" fillId="13" borderId="16" xfId="0" applyNumberFormat="1" applyFont="1" applyFill="1" applyBorder="1" applyAlignment="1">
      <alignment horizontal="center"/>
    </xf>
    <xf numFmtId="1" fontId="23" fillId="13" borderId="10" xfId="0" applyNumberFormat="1" applyFont="1" applyFill="1" applyBorder="1" applyAlignment="1">
      <alignment horizontal="center"/>
    </xf>
    <xf numFmtId="1" fontId="23" fillId="13" borderId="16" xfId="0" applyNumberFormat="1" applyFont="1" applyFill="1" applyBorder="1" applyAlignment="1">
      <alignment horizontal="center"/>
    </xf>
    <xf numFmtId="167" fontId="23" fillId="13" borderId="10" xfId="0" applyNumberFormat="1" applyFont="1" applyFill="1" applyBorder="1" applyAlignment="1">
      <alignment horizontal="center"/>
    </xf>
    <xf numFmtId="2" fontId="23" fillId="13" borderId="10" xfId="0" applyNumberFormat="1" applyFont="1" applyFill="1" applyBorder="1" applyAlignment="1">
      <alignment horizontal="center"/>
    </xf>
    <xf numFmtId="2" fontId="23" fillId="13" borderId="18" xfId="0" applyNumberFormat="1" applyFont="1" applyFill="1" applyBorder="1" applyAlignment="1">
      <alignment horizontal="center"/>
    </xf>
    <xf numFmtId="0" fontId="17" fillId="13" borderId="10" xfId="0" applyFont="1" applyFill="1" applyBorder="1" applyAlignment="1">
      <alignment horizontal="center"/>
    </xf>
    <xf numFmtId="0" fontId="17" fillId="13" borderId="16" xfId="0" applyFont="1" applyFill="1" applyBorder="1" applyAlignment="1">
      <alignment horizontal="center"/>
    </xf>
    <xf numFmtId="0" fontId="17" fillId="13" borderId="18" xfId="0" applyFont="1" applyFill="1" applyBorder="1" applyAlignment="1">
      <alignment horizontal="center"/>
    </xf>
    <xf numFmtId="0" fontId="37" fillId="13" borderId="0" xfId="0" applyFont="1" applyFill="1" applyAlignment="1">
      <alignment horizontal="center"/>
    </xf>
    <xf numFmtId="0" fontId="10" fillId="13" borderId="0" xfId="0" applyFont="1" applyFill="1" applyBorder="1" applyAlignment="1">
      <alignment horizontal="center"/>
    </xf>
    <xf numFmtId="166" fontId="23" fillId="13" borderId="18" xfId="0" applyNumberFormat="1" applyFont="1" applyFill="1" applyBorder="1" applyAlignment="1">
      <alignment horizontal="center"/>
    </xf>
    <xf numFmtId="0" fontId="17" fillId="13" borderId="10" xfId="0" applyFont="1" applyFill="1" applyBorder="1" applyAlignment="1">
      <alignment horizontal="left"/>
    </xf>
    <xf numFmtId="166" fontId="17" fillId="13" borderId="16" xfId="0" applyNumberFormat="1" applyFont="1" applyFill="1" applyBorder="1" applyAlignment="1">
      <alignment horizontal="center"/>
    </xf>
    <xf numFmtId="166" fontId="17" fillId="13" borderId="10" xfId="0" applyNumberFormat="1" applyFont="1" applyFill="1" applyBorder="1" applyAlignment="1">
      <alignment horizontal="center"/>
    </xf>
    <xf numFmtId="2" fontId="17" fillId="13" borderId="16" xfId="0" applyNumberFormat="1" applyFont="1" applyFill="1" applyBorder="1" applyAlignment="1">
      <alignment horizontal="center"/>
    </xf>
    <xf numFmtId="1" fontId="17" fillId="13" borderId="10" xfId="0" applyNumberFormat="1" applyFont="1" applyFill="1" applyBorder="1" applyAlignment="1">
      <alignment horizontal="center"/>
    </xf>
    <xf numFmtId="1" fontId="17" fillId="13" borderId="16" xfId="0" applyNumberFormat="1" applyFont="1" applyFill="1" applyBorder="1" applyAlignment="1">
      <alignment horizontal="center"/>
    </xf>
    <xf numFmtId="167" fontId="17" fillId="13" borderId="10" xfId="0" applyNumberFormat="1" applyFont="1" applyFill="1" applyBorder="1" applyAlignment="1">
      <alignment horizontal="center"/>
    </xf>
    <xf numFmtId="2" fontId="17" fillId="13" borderId="10" xfId="0" applyNumberFormat="1" applyFont="1" applyFill="1" applyBorder="1" applyAlignment="1">
      <alignment horizontal="center"/>
    </xf>
    <xf numFmtId="0" fontId="38" fillId="13" borderId="10" xfId="0" applyFont="1" applyFill="1" applyBorder="1" applyAlignment="1">
      <alignment horizontal="center"/>
    </xf>
    <xf numFmtId="0" fontId="39" fillId="13" borderId="0" xfId="0" applyFont="1" applyFill="1" applyBorder="1" applyAlignment="1">
      <alignment horizontal="center"/>
    </xf>
    <xf numFmtId="0" fontId="23" fillId="13" borderId="18" xfId="0" applyFont="1" applyFill="1" applyBorder="1" applyAlignment="1">
      <alignment horizontal="center"/>
    </xf>
    <xf numFmtId="0" fontId="40" fillId="13" borderId="0" xfId="0" applyFont="1" applyFill="1" applyBorder="1" applyAlignment="1">
      <alignment horizontal="center"/>
    </xf>
    <xf numFmtId="0" fontId="5" fillId="13" borderId="0" xfId="0" applyFont="1" applyFill="1" applyBorder="1" applyAlignment="1">
      <alignment horizontal="center"/>
    </xf>
    <xf numFmtId="0" fontId="21" fillId="19" borderId="0" xfId="0" applyFont="1" applyFill="1" applyAlignment="1">
      <alignment horizontal="left" vertical="center"/>
    </xf>
    <xf numFmtId="2" fontId="21" fillId="19" borderId="0" xfId="0" applyNumberFormat="1" applyFont="1" applyFill="1" applyAlignment="1">
      <alignment horizontal="left" vertical="center"/>
    </xf>
    <xf numFmtId="0" fontId="7" fillId="19" borderId="0" xfId="0" applyFont="1" applyFill="1" applyAlignment="1">
      <alignment horizontal="left" vertical="center"/>
    </xf>
    <xf numFmtId="0" fontId="28" fillId="19" borderId="0" xfId="0" applyFont="1" applyFill="1" applyAlignment="1">
      <alignment horizontal="left" vertical="center"/>
    </xf>
    <xf numFmtId="1" fontId="21" fillId="19" borderId="0" xfId="0" applyNumberFormat="1" applyFont="1" applyFill="1" applyAlignment="1">
      <alignment horizontal="left" vertical="center"/>
    </xf>
    <xf numFmtId="0" fontId="21" fillId="19" borderId="0" xfId="0" applyFont="1" applyFill="1" applyBorder="1" applyAlignment="1">
      <alignment horizontal="left" vertical="center"/>
    </xf>
    <xf numFmtId="0" fontId="59" fillId="19" borderId="0" xfId="0" applyFont="1" applyFill="1" applyAlignment="1">
      <alignment horizontal="left" vertical="center"/>
    </xf>
    <xf numFmtId="0" fontId="21" fillId="19" borderId="0" xfId="0" applyFont="1" applyFill="1" applyAlignment="1">
      <alignment horizontal="left"/>
    </xf>
    <xf numFmtId="0" fontId="21" fillId="19" borderId="0" xfId="0" applyFont="1" applyFill="1" applyAlignment="1">
      <alignment horizontal="center"/>
    </xf>
    <xf numFmtId="0" fontId="21" fillId="19" borderId="0" xfId="0" applyFont="1" applyFill="1" applyBorder="1" applyAlignment="1">
      <alignment horizontal="center"/>
    </xf>
    <xf numFmtId="1" fontId="21" fillId="19" borderId="0" xfId="0" applyNumberFormat="1" applyFont="1" applyFill="1" applyAlignment="1">
      <alignment horizontal="center"/>
    </xf>
    <xf numFmtId="2" fontId="21" fillId="19" borderId="0" xfId="0" applyNumberFormat="1" applyFont="1" applyFill="1" applyAlignment="1">
      <alignment horizontal="center"/>
    </xf>
    <xf numFmtId="0" fontId="7" fillId="19" borderId="0" xfId="0" applyFont="1" applyFill="1" applyAlignment="1">
      <alignment horizontal="center"/>
    </xf>
    <xf numFmtId="0" fontId="10" fillId="13" borderId="0" xfId="0" applyFont="1" applyFill="1" applyAlignment="1">
      <alignment horizontal="center"/>
    </xf>
    <xf numFmtId="0" fontId="17" fillId="13" borderId="24" xfId="0" applyFont="1" applyFill="1" applyBorder="1" applyAlignment="1">
      <alignment horizontal="center"/>
    </xf>
    <xf numFmtId="0" fontId="17" fillId="13" borderId="25" xfId="0" applyFont="1" applyFill="1" applyBorder="1" applyAlignment="1">
      <alignment horizontal="center"/>
    </xf>
    <xf numFmtId="0" fontId="33" fillId="13" borderId="0" xfId="0" applyFont="1" applyFill="1"/>
    <xf numFmtId="0" fontId="23" fillId="13" borderId="0" xfId="0" applyFont="1" applyFill="1" applyAlignment="1">
      <alignment horizontal="center"/>
    </xf>
    <xf numFmtId="0" fontId="17" fillId="13" borderId="0" xfId="0" applyFont="1" applyFill="1" applyAlignment="1">
      <alignment horizontal="center"/>
    </xf>
    <xf numFmtId="1" fontId="18" fillId="19" borderId="0" xfId="0" applyNumberFormat="1" applyFont="1" applyFill="1" applyAlignment="1">
      <alignment horizontal="left" vertical="center"/>
    </xf>
    <xf numFmtId="0" fontId="18" fillId="19" borderId="0" xfId="0" applyFont="1" applyFill="1" applyAlignment="1">
      <alignment horizontal="left" vertical="center"/>
    </xf>
    <xf numFmtId="0" fontId="18" fillId="19" borderId="0" xfId="0" applyFont="1" applyFill="1" applyBorder="1" applyAlignment="1">
      <alignment horizontal="left" vertical="center"/>
    </xf>
    <xf numFmtId="166" fontId="17" fillId="13" borderId="18" xfId="0" applyNumberFormat="1" applyFont="1" applyFill="1" applyBorder="1" applyAlignment="1">
      <alignment horizontal="center"/>
    </xf>
    <xf numFmtId="0" fontId="18" fillId="13" borderId="0" xfId="0" applyFont="1" applyFill="1" applyAlignment="1">
      <alignment horizontal="left" vertical="center"/>
    </xf>
    <xf numFmtId="166" fontId="17" fillId="13" borderId="25" xfId="0" applyNumberFormat="1" applyFont="1" applyFill="1" applyBorder="1" applyAlignment="1">
      <alignment horizontal="center"/>
    </xf>
    <xf numFmtId="0" fontId="18" fillId="13" borderId="0" xfId="0" applyFont="1" applyFill="1" applyAlignment="1">
      <alignment horizontal="center"/>
    </xf>
    <xf numFmtId="0" fontId="17" fillId="13" borderId="0" xfId="0" applyFont="1" applyFill="1" applyBorder="1" applyAlignment="1">
      <alignment horizontal="center"/>
    </xf>
    <xf numFmtId="1" fontId="17" fillId="13" borderId="25" xfId="0" applyNumberFormat="1" applyFont="1" applyFill="1" applyBorder="1" applyAlignment="1">
      <alignment horizontal="center"/>
    </xf>
    <xf numFmtId="2" fontId="17" fillId="13" borderId="24" xfId="0" applyNumberFormat="1" applyFont="1" applyFill="1" applyBorder="1" applyAlignment="1">
      <alignment horizontal="center"/>
    </xf>
    <xf numFmtId="0" fontId="18" fillId="19" borderId="0" xfId="0" applyFont="1" applyFill="1" applyAlignment="1">
      <alignment horizontal="left"/>
    </xf>
    <xf numFmtId="0" fontId="18" fillId="19" borderId="0" xfId="0" applyFont="1" applyFill="1" applyAlignment="1">
      <alignment horizontal="center"/>
    </xf>
    <xf numFmtId="1" fontId="18" fillId="19" borderId="0" xfId="0" applyNumberFormat="1" applyFont="1" applyFill="1" applyAlignment="1">
      <alignment horizontal="center"/>
    </xf>
    <xf numFmtId="0" fontId="18" fillId="19" borderId="0" xfId="0" applyFont="1" applyFill="1" applyBorder="1" applyAlignment="1">
      <alignment horizontal="center"/>
    </xf>
    <xf numFmtId="0" fontId="5" fillId="19" borderId="0" xfId="0" applyFont="1" applyFill="1" applyBorder="1" applyAlignment="1">
      <alignment horizontal="left"/>
    </xf>
    <xf numFmtId="0" fontId="5" fillId="19" borderId="9" xfId="0" applyFont="1" applyFill="1" applyBorder="1" applyAlignment="1">
      <alignment horizontal="left"/>
    </xf>
    <xf numFmtId="166" fontId="23" fillId="13" borderId="17" xfId="0" applyNumberFormat="1" applyFont="1" applyFill="1" applyBorder="1" applyAlignment="1">
      <alignment horizontal="center"/>
    </xf>
    <xf numFmtId="0" fontId="17" fillId="13" borderId="21" xfId="0" applyFont="1" applyFill="1" applyBorder="1" applyAlignment="1">
      <alignment horizontal="center"/>
    </xf>
    <xf numFmtId="0" fontId="17" fillId="13" borderId="22" xfId="0" applyFont="1" applyFill="1" applyBorder="1" applyAlignment="1">
      <alignment horizontal="center"/>
    </xf>
    <xf numFmtId="0" fontId="21" fillId="13" borderId="0" xfId="0" applyFont="1" applyFill="1" applyAlignment="1">
      <alignment horizontal="left" vertical="center"/>
    </xf>
    <xf numFmtId="0" fontId="21" fillId="13" borderId="0" xfId="0" applyFont="1" applyFill="1" applyAlignment="1">
      <alignment horizontal="center"/>
    </xf>
    <xf numFmtId="1" fontId="23" fillId="13" borderId="17" xfId="0" applyNumberFormat="1" applyFont="1" applyFill="1" applyBorder="1" applyAlignment="1">
      <alignment horizontal="center"/>
    </xf>
    <xf numFmtId="0" fontId="4" fillId="19" borderId="0" xfId="0" applyFont="1" applyFill="1" applyAlignment="1">
      <alignment horizontal="left" vertical="center"/>
    </xf>
    <xf numFmtId="0" fontId="6" fillId="19" borderId="0" xfId="0" applyFont="1" applyFill="1"/>
    <xf numFmtId="1" fontId="7" fillId="19" borderId="0" xfId="0" applyNumberFormat="1" applyFont="1" applyFill="1" applyAlignment="1">
      <alignment horizontal="left" vertical="center"/>
    </xf>
    <xf numFmtId="0" fontId="8" fillId="19" borderId="0" xfId="0" applyFont="1" applyFill="1" applyAlignment="1">
      <alignment horizontal="left" vertical="center"/>
    </xf>
    <xf numFmtId="0" fontId="7" fillId="19" borderId="0" xfId="0" applyFont="1" applyFill="1" applyBorder="1" applyAlignment="1">
      <alignment horizontal="left" vertical="center"/>
    </xf>
    <xf numFmtId="0" fontId="60" fillId="19" borderId="0" xfId="0" applyFont="1" applyFill="1" applyAlignment="1">
      <alignment horizontal="left" vertical="center"/>
    </xf>
    <xf numFmtId="0" fontId="7" fillId="19" borderId="0" xfId="0" applyFont="1" applyFill="1" applyAlignment="1">
      <alignment horizontal="left"/>
    </xf>
    <xf numFmtId="1" fontId="7" fillId="19" borderId="0" xfId="0" applyNumberFormat="1" applyFont="1" applyFill="1" applyAlignment="1">
      <alignment horizontal="center"/>
    </xf>
    <xf numFmtId="166" fontId="7" fillId="19" borderId="0" xfId="0" applyNumberFormat="1" applyFont="1" applyFill="1" applyAlignment="1">
      <alignment horizontal="center"/>
    </xf>
    <xf numFmtId="0" fontId="8" fillId="19" borderId="0" xfId="0" applyFont="1" applyFill="1" applyAlignment="1">
      <alignment horizontal="center"/>
    </xf>
    <xf numFmtId="2" fontId="17" fillId="13" borderId="17" xfId="0" applyNumberFormat="1" applyFont="1" applyFill="1" applyBorder="1" applyAlignment="1">
      <alignment horizontal="center"/>
    </xf>
    <xf numFmtId="0" fontId="7" fillId="13" borderId="0" xfId="0" applyFont="1" applyFill="1" applyAlignment="1">
      <alignment horizontal="left" vertical="center"/>
    </xf>
    <xf numFmtId="166" fontId="17" fillId="13" borderId="17" xfId="0" applyNumberFormat="1" applyFont="1" applyFill="1" applyBorder="1" applyAlignment="1">
      <alignment horizontal="center"/>
    </xf>
    <xf numFmtId="2" fontId="17" fillId="13" borderId="18" xfId="0" applyNumberFormat="1" applyFont="1" applyFill="1" applyBorder="1" applyAlignment="1">
      <alignment horizontal="center"/>
    </xf>
    <xf numFmtId="1" fontId="17" fillId="13" borderId="17" xfId="0" applyNumberFormat="1" applyFont="1" applyFill="1" applyBorder="1" applyAlignment="1">
      <alignment horizontal="center"/>
    </xf>
    <xf numFmtId="0" fontId="41" fillId="19" borderId="0" xfId="0" applyFont="1" applyFill="1" applyAlignment="1">
      <alignment horizontal="left"/>
    </xf>
    <xf numFmtId="1" fontId="42" fillId="19" borderId="0" xfId="0" applyNumberFormat="1" applyFont="1" applyFill="1" applyAlignment="1">
      <alignment horizontal="left" vertical="center"/>
    </xf>
    <xf numFmtId="0" fontId="42" fillId="19" borderId="0" xfId="0" applyFont="1" applyFill="1" applyAlignment="1">
      <alignment horizontal="left" vertical="center"/>
    </xf>
    <xf numFmtId="1" fontId="42" fillId="19" borderId="0" xfId="0" applyNumberFormat="1" applyFont="1" applyFill="1" applyBorder="1" applyAlignment="1">
      <alignment horizontal="left" vertical="center"/>
    </xf>
    <xf numFmtId="0" fontId="43" fillId="19" borderId="0" xfId="0" applyFont="1" applyFill="1" applyAlignment="1">
      <alignment horizontal="left" vertical="center"/>
    </xf>
    <xf numFmtId="1" fontId="43" fillId="19" borderId="0" xfId="0" applyNumberFormat="1" applyFont="1" applyFill="1" applyAlignment="1">
      <alignment horizontal="left" vertical="center"/>
    </xf>
    <xf numFmtId="0" fontId="59" fillId="0" borderId="0" xfId="0" applyFont="1" applyAlignment="1">
      <alignment horizontal="left" vertical="center"/>
    </xf>
    <xf numFmtId="0" fontId="42" fillId="13" borderId="0" xfId="0" applyFont="1" applyFill="1" applyAlignment="1">
      <alignment horizontal="center"/>
    </xf>
    <xf numFmtId="169" fontId="17" fillId="13" borderId="10" xfId="0" applyNumberFormat="1" applyFont="1" applyFill="1" applyBorder="1" applyAlignment="1">
      <alignment horizontal="center"/>
    </xf>
    <xf numFmtId="0" fontId="23" fillId="13" borderId="0" xfId="0" applyFont="1" applyFill="1"/>
    <xf numFmtId="0" fontId="42" fillId="19" borderId="0" xfId="0" applyFont="1" applyFill="1" applyBorder="1" applyAlignment="1">
      <alignment horizontal="left" vertical="center"/>
    </xf>
    <xf numFmtId="0" fontId="61" fillId="19" borderId="0" xfId="0" applyFont="1" applyFill="1" applyAlignment="1">
      <alignment horizontal="left" vertical="center"/>
    </xf>
    <xf numFmtId="168" fontId="17" fillId="13" borderId="10" xfId="0" applyNumberFormat="1" applyFont="1" applyFill="1" applyBorder="1" applyAlignment="1">
      <alignment horizontal="center"/>
    </xf>
    <xf numFmtId="0" fontId="42" fillId="13" borderId="0" xfId="0" applyFont="1" applyFill="1" applyBorder="1" applyAlignment="1">
      <alignment horizontal="center"/>
    </xf>
    <xf numFmtId="1" fontId="17" fillId="13" borderId="18" xfId="0" applyNumberFormat="1" applyFont="1" applyFill="1" applyBorder="1" applyAlignment="1">
      <alignment horizontal="center"/>
    </xf>
    <xf numFmtId="0" fontId="42" fillId="19" borderId="0" xfId="0" applyFont="1" applyFill="1" applyAlignment="1">
      <alignment horizontal="left"/>
    </xf>
    <xf numFmtId="0" fontId="42" fillId="19" borderId="0" xfId="0" applyFont="1" applyFill="1" applyAlignment="1">
      <alignment horizontal="center"/>
    </xf>
    <xf numFmtId="1" fontId="42" fillId="19" borderId="0" xfId="0" applyNumberFormat="1" applyFont="1" applyFill="1" applyAlignment="1">
      <alignment horizontal="center"/>
    </xf>
    <xf numFmtId="0" fontId="42" fillId="19" borderId="0" xfId="0" applyFont="1" applyFill="1" applyBorder="1" applyAlignment="1">
      <alignment horizontal="center"/>
    </xf>
    <xf numFmtId="168" fontId="23" fillId="13" borderId="10" xfId="0" applyNumberFormat="1" applyFont="1" applyFill="1" applyBorder="1" applyAlignment="1">
      <alignment horizontal="center"/>
    </xf>
    <xf numFmtId="0" fontId="17" fillId="13" borderId="26" xfId="0" applyFont="1" applyFill="1" applyBorder="1" applyAlignment="1">
      <alignment horizontal="center"/>
    </xf>
    <xf numFmtId="0" fontId="7" fillId="21" borderId="0" xfId="0" applyFont="1" applyFill="1" applyBorder="1" applyAlignment="1">
      <alignment horizontal="left" vertical="center"/>
    </xf>
    <xf numFmtId="0" fontId="5" fillId="21" borderId="0" xfId="0" applyFont="1" applyFill="1" applyBorder="1" applyAlignment="1"/>
    <xf numFmtId="0" fontId="5" fillId="21" borderId="0" xfId="0" applyFont="1" applyFill="1" applyBorder="1" applyAlignment="1">
      <alignment horizontal="centerContinuous"/>
    </xf>
    <xf numFmtId="0" fontId="5" fillId="21" borderId="0" xfId="0" applyFont="1" applyFill="1" applyBorder="1" applyAlignment="1">
      <alignment horizontal="center"/>
    </xf>
    <xf numFmtId="0" fontId="17" fillId="21" borderId="0" xfId="0" applyFont="1" applyFill="1" applyBorder="1" applyAlignment="1">
      <alignment horizontal="center"/>
    </xf>
    <xf numFmtId="0" fontId="7" fillId="21" borderId="0" xfId="0" applyFont="1" applyFill="1" applyBorder="1" applyAlignment="1">
      <alignment horizontal="center"/>
    </xf>
    <xf numFmtId="0" fontId="5" fillId="19" borderId="0" xfId="0" applyFont="1" applyFill="1" applyBorder="1" applyAlignment="1">
      <alignment horizontal="left" vertical="center"/>
    </xf>
    <xf numFmtId="0" fontId="48" fillId="19" borderId="0" xfId="0" applyFont="1" applyFill="1" applyAlignment="1">
      <alignment horizontal="left" vertical="center"/>
    </xf>
    <xf numFmtId="0" fontId="23" fillId="19" borderId="0" xfId="0" applyFont="1" applyFill="1" applyBorder="1" applyAlignment="1">
      <alignment horizontal="center"/>
    </xf>
    <xf numFmtId="0" fontId="17" fillId="13" borderId="18" xfId="0" applyNumberFormat="1" applyFont="1" applyFill="1" applyBorder="1" applyAlignment="1">
      <alignment horizontal="center"/>
    </xf>
    <xf numFmtId="0" fontId="17" fillId="13" borderId="8" xfId="0" applyFont="1" applyFill="1" applyBorder="1" applyAlignment="1">
      <alignment horizontal="center"/>
    </xf>
    <xf numFmtId="0" fontId="17" fillId="13" borderId="9" xfId="0" applyFont="1" applyFill="1" applyBorder="1" applyAlignment="1">
      <alignment horizontal="center"/>
    </xf>
    <xf numFmtId="0" fontId="10" fillId="19" borderId="52" xfId="0" applyFont="1" applyFill="1" applyBorder="1" applyAlignment="1">
      <alignment horizontal="center"/>
    </xf>
    <xf numFmtId="0" fontId="10" fillId="19" borderId="45" xfId="0" applyFont="1" applyFill="1" applyBorder="1" applyAlignment="1">
      <alignment horizontal="center"/>
    </xf>
    <xf numFmtId="0" fontId="10" fillId="19" borderId="30" xfId="0" applyFont="1" applyFill="1" applyBorder="1" applyAlignment="1">
      <alignment horizontal="center"/>
    </xf>
    <xf numFmtId="0" fontId="10" fillId="19" borderId="23" xfId="0" applyFont="1" applyFill="1" applyBorder="1" applyAlignment="1">
      <alignment horizontal="center"/>
    </xf>
    <xf numFmtId="0" fontId="10" fillId="19" borderId="11" xfId="0" applyFont="1" applyFill="1" applyBorder="1" applyAlignment="1">
      <alignment horizontal="center"/>
    </xf>
    <xf numFmtId="0" fontId="10" fillId="19" borderId="49" xfId="0" applyFont="1" applyFill="1" applyBorder="1" applyAlignment="1">
      <alignment horizontal="center"/>
    </xf>
    <xf numFmtId="0" fontId="10" fillId="19" borderId="48" xfId="0" applyFont="1" applyFill="1" applyBorder="1" applyAlignment="1">
      <alignment horizontal="center"/>
    </xf>
    <xf numFmtId="0" fontId="10" fillId="19" borderId="49" xfId="0" applyFont="1" applyFill="1" applyBorder="1"/>
    <xf numFmtId="0" fontId="49" fillId="0" borderId="28" xfId="0" applyFont="1" applyBorder="1" applyAlignment="1">
      <alignment horizontal="center"/>
    </xf>
    <xf numFmtId="0" fontId="17" fillId="13" borderId="10" xfId="0" applyNumberFormat="1" applyFont="1" applyFill="1" applyBorder="1" applyAlignment="1">
      <alignment horizontal="center"/>
    </xf>
    <xf numFmtId="2" fontId="17" fillId="13" borderId="22" xfId="0" applyNumberFormat="1" applyFont="1" applyFill="1" applyBorder="1" applyAlignment="1">
      <alignment horizontal="center"/>
    </xf>
    <xf numFmtId="1" fontId="17" fillId="13" borderId="22" xfId="0" applyNumberFormat="1" applyFont="1" applyFill="1" applyBorder="1" applyAlignment="1">
      <alignment horizontal="center"/>
    </xf>
    <xf numFmtId="0" fontId="23" fillId="13" borderId="10" xfId="0" applyNumberFormat="1" applyFont="1" applyFill="1" applyBorder="1" applyAlignment="1">
      <alignment horizontal="center"/>
    </xf>
    <xf numFmtId="0" fontId="23" fillId="13" borderId="0" xfId="0" applyFont="1" applyFill="1" applyBorder="1" applyAlignment="1">
      <alignment horizontal="center"/>
    </xf>
    <xf numFmtId="0" fontId="23" fillId="13" borderId="22" xfId="0" applyFont="1" applyFill="1" applyBorder="1" applyAlignment="1">
      <alignment horizontal="center"/>
    </xf>
    <xf numFmtId="2" fontId="23" fillId="13" borderId="22" xfId="0" applyNumberFormat="1" applyFont="1" applyFill="1" applyBorder="1" applyAlignment="1">
      <alignment horizontal="center"/>
    </xf>
    <xf numFmtId="1" fontId="23" fillId="13" borderId="22" xfId="0" applyNumberFormat="1" applyFont="1" applyFill="1" applyBorder="1" applyAlignment="1">
      <alignment horizontal="center"/>
    </xf>
    <xf numFmtId="0" fontId="21" fillId="21" borderId="0" xfId="0" applyFont="1" applyFill="1" applyBorder="1" applyAlignment="1">
      <alignment horizontal="left" vertical="center"/>
    </xf>
    <xf numFmtId="0" fontId="10" fillId="21" borderId="0" xfId="0" applyFont="1" applyFill="1" applyBorder="1" applyAlignment="1"/>
    <xf numFmtId="0" fontId="10" fillId="21" borderId="0" xfId="0" applyFont="1" applyFill="1" applyBorder="1" applyAlignment="1">
      <alignment horizontal="centerContinuous"/>
    </xf>
    <xf numFmtId="0" fontId="10" fillId="21" borderId="0" xfId="0" applyFont="1" applyFill="1" applyBorder="1" applyAlignment="1">
      <alignment horizontal="center"/>
    </xf>
    <xf numFmtId="0" fontId="23" fillId="21" borderId="0" xfId="0" applyFont="1" applyFill="1" applyBorder="1" applyAlignment="1">
      <alignment horizontal="center"/>
    </xf>
    <xf numFmtId="0" fontId="10" fillId="0" borderId="51" xfId="0" applyFont="1" applyBorder="1" applyAlignment="1">
      <alignment horizontal="center"/>
    </xf>
    <xf numFmtId="167" fontId="23" fillId="13" borderId="22" xfId="0" applyNumberFormat="1" applyFont="1" applyFill="1" applyBorder="1" applyAlignment="1">
      <alignment horizontal="center"/>
    </xf>
    <xf numFmtId="0" fontId="23" fillId="13" borderId="22" xfId="0" applyFont="1" applyFill="1" applyBorder="1" applyAlignment="1">
      <alignment horizontal="left"/>
    </xf>
    <xf numFmtId="166" fontId="23" fillId="13" borderId="22" xfId="0" applyNumberFormat="1" applyFont="1" applyFill="1" applyBorder="1" applyAlignment="1">
      <alignment horizontal="center"/>
    </xf>
    <xf numFmtId="2" fontId="23" fillId="13" borderId="17" xfId="0" applyNumberFormat="1" applyFont="1" applyFill="1" applyBorder="1" applyAlignment="1">
      <alignment horizontal="center"/>
    </xf>
    <xf numFmtId="0" fontId="10" fillId="19" borderId="46" xfId="0" applyFont="1" applyFill="1" applyBorder="1" applyAlignment="1">
      <alignment horizontal="right" wrapText="1"/>
    </xf>
    <xf numFmtId="0" fontId="17" fillId="13" borderId="22" xfId="0" applyFont="1" applyFill="1" applyBorder="1" applyAlignment="1">
      <alignment horizontal="right"/>
    </xf>
    <xf numFmtId="0" fontId="17" fillId="13" borderId="17" xfId="0" applyFont="1" applyFill="1" applyBorder="1" applyAlignment="1">
      <alignment horizontal="center"/>
    </xf>
    <xf numFmtId="166" fontId="17" fillId="13" borderId="22" xfId="0" applyNumberFormat="1" applyFont="1" applyFill="1" applyBorder="1" applyAlignment="1">
      <alignment horizontal="center"/>
    </xf>
    <xf numFmtId="0" fontId="21" fillId="13" borderId="0" xfId="0" applyFont="1" applyFill="1" applyAlignment="1">
      <alignment horizontal="center" vertical="center"/>
    </xf>
    <xf numFmtId="0" fontId="55" fillId="13" borderId="0" xfId="0" applyFont="1" applyFill="1" applyAlignment="1">
      <alignment horizontal="center"/>
    </xf>
    <xf numFmtId="166" fontId="17" fillId="13" borderId="53" xfId="0" applyNumberFormat="1" applyFont="1" applyFill="1" applyBorder="1" applyAlignment="1">
      <alignment horizontal="center"/>
    </xf>
    <xf numFmtId="0" fontId="21" fillId="19" borderId="0" xfId="0" applyFont="1" applyFill="1" applyAlignment="1">
      <alignment horizontal="center" vertical="center"/>
    </xf>
    <xf numFmtId="0" fontId="56" fillId="19" borderId="0" xfId="0" applyFont="1" applyFill="1" applyAlignment="1">
      <alignment horizontal="left" vertical="center"/>
    </xf>
    <xf numFmtId="1" fontId="56" fillId="19" borderId="0" xfId="0" applyNumberFormat="1" applyFont="1" applyFill="1" applyAlignment="1">
      <alignment horizontal="left" vertical="center"/>
    </xf>
    <xf numFmtId="0" fontId="56" fillId="19" borderId="0" xfId="0" applyFont="1" applyFill="1" applyBorder="1" applyAlignment="1">
      <alignment horizontal="left" vertical="center"/>
    </xf>
    <xf numFmtId="0" fontId="56" fillId="19" borderId="0" xfId="0" applyFont="1" applyFill="1" applyAlignment="1">
      <alignment horizontal="center" vertical="center"/>
    </xf>
    <xf numFmtId="0" fontId="23" fillId="19" borderId="0" xfId="0" applyFont="1" applyFill="1" applyAlignment="1">
      <alignment horizontal="left" vertical="center"/>
    </xf>
    <xf numFmtId="0" fontId="23" fillId="19" borderId="0" xfId="0" applyFont="1" applyFill="1" applyBorder="1" applyAlignment="1">
      <alignment horizontal="left" vertical="center"/>
    </xf>
    <xf numFmtId="0" fontId="23" fillId="19" borderId="0" xfId="0" applyFont="1" applyFill="1" applyAlignment="1">
      <alignment horizontal="center" vertical="center"/>
    </xf>
    <xf numFmtId="0" fontId="23" fillId="13" borderId="0" xfId="0" applyFont="1" applyFill="1" applyAlignment="1">
      <alignment horizontal="left" vertical="center"/>
    </xf>
    <xf numFmtId="0" fontId="23" fillId="13" borderId="0" xfId="0" applyFont="1" applyFill="1" applyAlignment="1">
      <alignment horizontal="center" vertical="center"/>
    </xf>
    <xf numFmtId="0" fontId="54" fillId="13" borderId="0" xfId="0" applyFont="1" applyFill="1" applyAlignment="1">
      <alignment horizontal="center"/>
    </xf>
    <xf numFmtId="0" fontId="57" fillId="13" borderId="0" xfId="0" applyFont="1" applyFill="1" applyAlignment="1">
      <alignment horizontal="center"/>
    </xf>
    <xf numFmtId="0" fontId="23" fillId="13" borderId="27" xfId="0" applyFont="1" applyFill="1" applyBorder="1" applyAlignment="1">
      <alignment horizontal="left"/>
    </xf>
    <xf numFmtId="0" fontId="5" fillId="19" borderId="0" xfId="0" applyFont="1" applyFill="1" applyBorder="1"/>
    <xf numFmtId="0" fontId="5" fillId="19" borderId="0" xfId="0" applyFont="1" applyFill="1" applyBorder="1" applyAlignment="1">
      <alignment horizontal="center"/>
    </xf>
    <xf numFmtId="0" fontId="5" fillId="19" borderId="11" xfId="0" applyFont="1" applyFill="1" applyBorder="1"/>
    <xf numFmtId="0" fontId="5" fillId="19" borderId="11" xfId="0" applyFont="1" applyFill="1" applyBorder="1" applyAlignment="1">
      <alignment horizontal="center"/>
    </xf>
    <xf numFmtId="0" fontId="5" fillId="0" borderId="11" xfId="0" applyFont="1" applyFill="1" applyBorder="1"/>
    <xf numFmtId="0" fontId="62" fillId="0" borderId="0" xfId="0" applyFont="1" applyFill="1" applyBorder="1" applyAlignment="1">
      <alignment horizontal="left"/>
    </xf>
    <xf numFmtId="0" fontId="63" fillId="19" borderId="0" xfId="0" applyFont="1" applyFill="1" applyAlignment="1">
      <alignment horizontal="left" vertical="center"/>
    </xf>
    <xf numFmtId="0" fontId="0" fillId="0" borderId="0" xfId="0" applyAlignment="1">
      <alignment horizontal="right"/>
    </xf>
    <xf numFmtId="2" fontId="0" fillId="0" borderId="0" xfId="0" applyNumberFormat="1"/>
    <xf numFmtId="0" fontId="66" fillId="0" borderId="5" xfId="0" applyFont="1" applyBorder="1" applyAlignment="1">
      <alignment horizontal="center"/>
    </xf>
    <xf numFmtId="2" fontId="67" fillId="0" borderId="5" xfId="0" applyNumberFormat="1" applyFont="1" applyBorder="1" applyAlignment="1">
      <alignment horizontal="center"/>
    </xf>
    <xf numFmtId="0" fontId="68" fillId="0" borderId="5" xfId="0" applyFont="1" applyBorder="1" applyAlignment="1">
      <alignment horizontal="center"/>
    </xf>
    <xf numFmtId="2" fontId="68" fillId="0" borderId="5" xfId="0" applyNumberFormat="1" applyFont="1" applyBorder="1"/>
    <xf numFmtId="2" fontId="0" fillId="0" borderId="5" xfId="0" applyNumberFormat="1" applyBorder="1"/>
    <xf numFmtId="2" fontId="0" fillId="0" borderId="0" xfId="0" applyNumberFormat="1" applyFill="1" applyBorder="1"/>
    <xf numFmtId="0" fontId="0" fillId="0" borderId="5" xfId="0" applyBorder="1"/>
    <xf numFmtId="0" fontId="0" fillId="17" borderId="5" xfId="0" applyFill="1" applyBorder="1"/>
    <xf numFmtId="1" fontId="0" fillId="22" borderId="5" xfId="0" applyNumberFormat="1" applyFill="1" applyBorder="1"/>
    <xf numFmtId="0" fontId="0" fillId="0" borderId="54" xfId="0" applyBorder="1"/>
    <xf numFmtId="0" fontId="70" fillId="0" borderId="54" xfId="0" applyFont="1" applyBorder="1"/>
    <xf numFmtId="0" fontId="0" fillId="0" borderId="5" xfId="0" applyFill="1" applyBorder="1"/>
    <xf numFmtId="0" fontId="0" fillId="0" borderId="0" xfId="0" applyBorder="1"/>
    <xf numFmtId="0" fontId="0" fillId="0" borderId="6" xfId="0" applyBorder="1"/>
    <xf numFmtId="0" fontId="3" fillId="23" borderId="55" xfId="0" applyFont="1" applyFill="1" applyBorder="1"/>
    <xf numFmtId="0" fontId="3" fillId="24" borderId="0" xfId="0" applyFont="1" applyFill="1" applyAlignment="1">
      <alignment horizontal="center"/>
    </xf>
    <xf numFmtId="171" fontId="0" fillId="0" borderId="0" xfId="0" applyNumberFormat="1"/>
    <xf numFmtId="167" fontId="0" fillId="0" borderId="0" xfId="0" applyNumberFormat="1"/>
    <xf numFmtId="166" fontId="0" fillId="0" borderId="0" xfId="0" applyNumberFormat="1"/>
    <xf numFmtId="0" fontId="1" fillId="0" borderId="0" xfId="0" applyFont="1"/>
    <xf numFmtId="0" fontId="1" fillId="0" borderId="43" xfId="0" applyFont="1" applyBorder="1"/>
    <xf numFmtId="0" fontId="1" fillId="0" borderId="56" xfId="0" applyFont="1" applyBorder="1"/>
    <xf numFmtId="0" fontId="2" fillId="0" borderId="0" xfId="0" applyFont="1"/>
    <xf numFmtId="0" fontId="1" fillId="0" borderId="0" xfId="0" applyFont="1" applyAlignment="1">
      <alignment horizontal="center"/>
    </xf>
    <xf numFmtId="0" fontId="71" fillId="0" borderId="0" xfId="0" applyFont="1"/>
    <xf numFmtId="0" fontId="72" fillId="0" borderId="0" xfId="0" applyFont="1"/>
    <xf numFmtId="1" fontId="0" fillId="0" borderId="0" xfId="0" applyNumberFormat="1" applyAlignment="1">
      <alignment horizontal="center"/>
    </xf>
    <xf numFmtId="166" fontId="1" fillId="0" borderId="43" xfId="0" applyNumberFormat="1" applyFont="1" applyBorder="1"/>
    <xf numFmtId="2" fontId="1" fillId="0" borderId="43" xfId="0" applyNumberFormat="1" applyFont="1" applyBorder="1"/>
    <xf numFmtId="0" fontId="3" fillId="17" borderId="0" xfId="0" applyFont="1" applyFill="1" applyAlignment="1">
      <alignment horizontal="center"/>
    </xf>
    <xf numFmtId="0" fontId="0" fillId="17" borderId="0" xfId="0" applyFill="1"/>
    <xf numFmtId="0" fontId="3" fillId="0" borderId="5" xfId="0" applyFont="1" applyFill="1" applyBorder="1"/>
    <xf numFmtId="0" fontId="3" fillId="24" borderId="0" xfId="0" applyFont="1" applyFill="1"/>
    <xf numFmtId="0" fontId="0" fillId="0" borderId="0" xfId="0" applyAlignment="1">
      <alignment horizontal="left"/>
    </xf>
    <xf numFmtId="2" fontId="0" fillId="22" borderId="5" xfId="0" applyNumberFormat="1" applyFill="1" applyBorder="1"/>
    <xf numFmtId="166" fontId="0" fillId="22" borderId="5" xfId="0" applyNumberFormat="1" applyFill="1" applyBorder="1"/>
    <xf numFmtId="0" fontId="71" fillId="0" borderId="5" xfId="0" applyFont="1" applyBorder="1"/>
    <xf numFmtId="0" fontId="0" fillId="25" borderId="0" xfId="0" applyFill="1"/>
    <xf numFmtId="0" fontId="74" fillId="0" borderId="0" xfId="0" applyFont="1"/>
    <xf numFmtId="0" fontId="37" fillId="0" borderId="0" xfId="0" applyFont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3" fillId="0" borderId="0" xfId="0" applyFont="1" applyFill="1" applyBorder="1"/>
    <xf numFmtId="0" fontId="0" fillId="0" borderId="0" xfId="0" applyFill="1" applyBorder="1" applyAlignment="1">
      <alignment horizontal="left"/>
    </xf>
    <xf numFmtId="0" fontId="71" fillId="0" borderId="0" xfId="0" applyFont="1" applyFill="1" applyBorder="1"/>
    <xf numFmtId="0" fontId="1" fillId="0" borderId="0" xfId="0" applyFont="1" applyFill="1" applyBorder="1" applyAlignment="1">
      <alignment horizontal="center"/>
    </xf>
    <xf numFmtId="166" fontId="0" fillId="0" borderId="0" xfId="0" applyNumberFormat="1" applyFill="1" applyBorder="1"/>
    <xf numFmtId="0" fontId="3" fillId="0" borderId="0" xfId="0" applyFont="1" applyFill="1" applyBorder="1" applyAlignment="1">
      <alignment horizontal="center"/>
    </xf>
    <xf numFmtId="167" fontId="0" fillId="0" borderId="0" xfId="0" applyNumberFormat="1" applyFill="1" applyBorder="1"/>
    <xf numFmtId="0" fontId="2" fillId="0" borderId="0" xfId="0" applyFont="1" applyFill="1" applyBorder="1"/>
    <xf numFmtId="0" fontId="1" fillId="0" borderId="0" xfId="0" applyFont="1" applyFill="1" applyBorder="1"/>
    <xf numFmtId="0" fontId="72" fillId="0" borderId="0" xfId="0" applyFont="1" applyFill="1" applyBorder="1"/>
    <xf numFmtId="1" fontId="0" fillId="0" borderId="0" xfId="0" applyNumberFormat="1" applyFill="1" applyBorder="1" applyAlignment="1">
      <alignment horizontal="center"/>
    </xf>
    <xf numFmtId="0" fontId="74" fillId="0" borderId="0" xfId="0" applyFont="1" applyFill="1" applyBorder="1"/>
    <xf numFmtId="0" fontId="37" fillId="0" borderId="0" xfId="0" applyFont="1" applyFill="1" applyBorder="1"/>
    <xf numFmtId="171" fontId="0" fillId="0" borderId="0" xfId="0" applyNumberFormat="1" applyFill="1" applyBorder="1"/>
    <xf numFmtId="0" fontId="70" fillId="0" borderId="0" xfId="0" applyFont="1" applyFill="1" applyBorder="1"/>
    <xf numFmtId="1" fontId="0" fillId="0" borderId="0" xfId="0" applyNumberFormat="1" applyFill="1" applyBorder="1"/>
    <xf numFmtId="166" fontId="1" fillId="0" borderId="0" xfId="0" applyNumberFormat="1" applyFont="1" applyFill="1" applyBorder="1"/>
    <xf numFmtId="2" fontId="1" fillId="0" borderId="0" xfId="0" applyNumberFormat="1" applyFont="1" applyFill="1" applyBorder="1"/>
    <xf numFmtId="0" fontId="82" fillId="0" borderId="0" xfId="47" applyFont="1" applyBorder="1" applyAlignment="1">
      <alignment horizontal="left"/>
    </xf>
    <xf numFmtId="0" fontId="83" fillId="0" borderId="0" xfId="47" applyFont="1" applyBorder="1" applyAlignment="1"/>
    <xf numFmtId="0" fontId="83" fillId="0" borderId="0" xfId="47" applyFont="1" applyBorder="1" applyAlignment="1">
      <alignment horizontal="right"/>
    </xf>
    <xf numFmtId="0" fontId="68" fillId="0" borderId="0" xfId="47" applyBorder="1"/>
    <xf numFmtId="2" fontId="84" fillId="0" borderId="0" xfId="47" applyNumberFormat="1" applyFont="1" applyBorder="1" applyAlignment="1">
      <alignment horizontal="left"/>
    </xf>
    <xf numFmtId="2" fontId="85" fillId="0" borderId="0" xfId="47" applyNumberFormat="1" applyFont="1" applyBorder="1" applyAlignment="1"/>
    <xf numFmtId="4" fontId="85" fillId="0" borderId="0" xfId="47" applyNumberFormat="1" applyFont="1" applyBorder="1" applyAlignment="1"/>
    <xf numFmtId="0" fontId="68" fillId="0" borderId="0" xfId="47" applyBorder="1" applyAlignment="1"/>
    <xf numFmtId="0" fontId="82" fillId="0" borderId="0" xfId="47" applyFont="1" applyBorder="1" applyAlignment="1"/>
    <xf numFmtId="0" fontId="83" fillId="0" borderId="0" xfId="47" applyFont="1" applyBorder="1" applyAlignment="1">
      <alignment horizontal="centerContinuous"/>
    </xf>
    <xf numFmtId="3" fontId="82" fillId="0" borderId="0" xfId="47" applyNumberFormat="1" applyFont="1" applyBorder="1" applyAlignment="1">
      <alignment horizontal="centerContinuous"/>
    </xf>
    <xf numFmtId="2" fontId="84" fillId="0" borderId="0" xfId="47" applyNumberFormat="1" applyFont="1" applyBorder="1" applyAlignment="1">
      <alignment horizontal="centerContinuous"/>
    </xf>
    <xf numFmtId="2" fontId="85" fillId="0" borderId="0" xfId="47" applyNumberFormat="1" applyFont="1" applyBorder="1" applyAlignment="1">
      <alignment horizontal="centerContinuous"/>
    </xf>
    <xf numFmtId="2" fontId="84" fillId="0" borderId="0" xfId="47" applyNumberFormat="1" applyFont="1" applyBorder="1" applyAlignment="1">
      <alignment horizontal="center"/>
    </xf>
    <xf numFmtId="3" fontId="82" fillId="0" borderId="0" xfId="47" applyNumberFormat="1" applyFont="1" applyBorder="1" applyAlignment="1">
      <alignment horizontal="right"/>
    </xf>
    <xf numFmtId="3" fontId="87" fillId="0" borderId="0" xfId="47" applyNumberFormat="1" applyFont="1" applyBorder="1" applyAlignment="1">
      <alignment horizontal="center"/>
    </xf>
    <xf numFmtId="0" fontId="82" fillId="0" borderId="0" xfId="47" applyFont="1" applyBorder="1" applyAlignment="1">
      <alignment horizontal="centerContinuous"/>
    </xf>
    <xf numFmtId="0" fontId="88" fillId="0" borderId="0" xfId="47" applyFont="1" applyBorder="1" applyAlignment="1">
      <alignment horizontal="center"/>
    </xf>
    <xf numFmtId="0" fontId="89" fillId="0" borderId="0" xfId="47" applyFont="1" applyBorder="1" applyAlignment="1">
      <alignment horizontal="centerContinuous"/>
    </xf>
    <xf numFmtId="0" fontId="84" fillId="0" borderId="0" xfId="47" applyFont="1" applyBorder="1" applyAlignment="1">
      <alignment horizontal="center"/>
    </xf>
    <xf numFmtId="0" fontId="84" fillId="0" borderId="0" xfId="47" applyFont="1" applyBorder="1" applyAlignment="1">
      <alignment horizontal="centerContinuous"/>
    </xf>
    <xf numFmtId="0" fontId="68" fillId="0" borderId="0" xfId="47" applyFill="1" applyBorder="1"/>
    <xf numFmtId="1" fontId="90" fillId="0" borderId="0" xfId="47" applyNumberFormat="1" applyFont="1" applyBorder="1" applyAlignment="1">
      <alignment horizontal="center"/>
    </xf>
    <xf numFmtId="3" fontId="91" fillId="0" borderId="0" xfId="47" applyNumberFormat="1" applyFont="1" applyBorder="1" applyAlignment="1">
      <alignment horizontal="right"/>
    </xf>
    <xf numFmtId="3" fontId="90" fillId="0" borderId="0" xfId="47" applyNumberFormat="1" applyFont="1" applyBorder="1" applyAlignment="1">
      <alignment horizontal="center"/>
    </xf>
    <xf numFmtId="3" fontId="91" fillId="0" borderId="0" xfId="47" applyNumberFormat="1" applyFont="1" applyBorder="1" applyAlignment="1">
      <alignment horizontal="center"/>
    </xf>
    <xf numFmtId="1" fontId="91" fillId="0" borderId="0" xfId="47" applyNumberFormat="1" applyFont="1" applyBorder="1" applyAlignment="1">
      <alignment horizontal="center"/>
    </xf>
    <xf numFmtId="0" fontId="91" fillId="0" borderId="0" xfId="47" applyFont="1" applyBorder="1" applyAlignment="1">
      <alignment horizontal="centerContinuous"/>
    </xf>
    <xf numFmtId="166" fontId="91" fillId="0" borderId="0" xfId="47" applyNumberFormat="1" applyFont="1" applyBorder="1" applyAlignment="1">
      <alignment horizontal="right"/>
    </xf>
    <xf numFmtId="166" fontId="90" fillId="0" borderId="0" xfId="47" applyNumberFormat="1" applyFont="1" applyBorder="1" applyAlignment="1">
      <alignment horizontal="right"/>
    </xf>
    <xf numFmtId="172" fontId="88" fillId="0" borderId="0" xfId="47" applyNumberFormat="1" applyFont="1" applyBorder="1" applyAlignment="1">
      <alignment horizontal="right"/>
    </xf>
    <xf numFmtId="0" fontId="85" fillId="0" borderId="0" xfId="47" applyFont="1" applyBorder="1" applyAlignment="1">
      <alignment horizontal="center"/>
    </xf>
    <xf numFmtId="2" fontId="85" fillId="0" borderId="0" xfId="47" applyNumberFormat="1" applyFont="1" applyBorder="1"/>
    <xf numFmtId="2" fontId="88" fillId="0" borderId="0" xfId="47" applyNumberFormat="1" applyFont="1" applyBorder="1"/>
    <xf numFmtId="166" fontId="68" fillId="0" borderId="0" xfId="47" applyNumberFormat="1" applyBorder="1"/>
    <xf numFmtId="2" fontId="91" fillId="0" borderId="0" xfId="47" applyNumberFormat="1" applyFont="1" applyBorder="1" applyAlignment="1">
      <alignment horizontal="right"/>
    </xf>
    <xf numFmtId="0" fontId="89" fillId="0" borderId="0" xfId="47" applyFont="1" applyBorder="1" applyAlignment="1">
      <alignment horizontal="center"/>
    </xf>
    <xf numFmtId="0" fontId="37" fillId="0" borderId="0" xfId="47" applyFont="1"/>
    <xf numFmtId="166" fontId="37" fillId="0" borderId="0" xfId="47" applyNumberFormat="1" applyFont="1"/>
    <xf numFmtId="172" fontId="37" fillId="0" borderId="0" xfId="47" applyNumberFormat="1" applyFont="1"/>
    <xf numFmtId="172" fontId="91" fillId="0" borderId="0" xfId="47" applyNumberFormat="1" applyFont="1" applyBorder="1" applyAlignment="1">
      <alignment horizontal="right"/>
    </xf>
    <xf numFmtId="3" fontId="85" fillId="0" borderId="0" xfId="47" applyNumberFormat="1" applyFont="1" applyBorder="1" applyAlignment="1">
      <alignment horizontal="right"/>
    </xf>
    <xf numFmtId="1" fontId="93" fillId="0" borderId="0" xfId="47" applyNumberFormat="1" applyFont="1" applyBorder="1"/>
    <xf numFmtId="2" fontId="68" fillId="0" borderId="0" xfId="47" applyNumberFormat="1" applyFont="1" applyBorder="1"/>
    <xf numFmtId="0" fontId="68" fillId="0" borderId="0" xfId="47" applyFont="1" applyBorder="1"/>
    <xf numFmtId="3" fontId="82" fillId="0" borderId="0" xfId="47" applyNumberFormat="1" applyFont="1" applyBorder="1" applyAlignment="1">
      <alignment horizontal="center"/>
    </xf>
    <xf numFmtId="166" fontId="91" fillId="0" borderId="0" xfId="47" applyNumberFormat="1" applyFont="1" applyBorder="1" applyAlignment="1">
      <alignment horizontal="centerContinuous"/>
    </xf>
    <xf numFmtId="2" fontId="91" fillId="0" borderId="0" xfId="47" applyNumberFormat="1" applyFont="1" applyBorder="1" applyAlignment="1">
      <alignment horizontal="centerContinuous"/>
    </xf>
    <xf numFmtId="4" fontId="88" fillId="0" borderId="0" xfId="47" applyNumberFormat="1" applyFont="1" applyBorder="1" applyAlignment="1">
      <alignment horizontal="right"/>
    </xf>
    <xf numFmtId="3" fontId="88" fillId="0" borderId="0" xfId="47" applyNumberFormat="1" applyFont="1" applyBorder="1" applyAlignment="1">
      <alignment horizontal="right"/>
    </xf>
    <xf numFmtId="1" fontId="68" fillId="0" borderId="0" xfId="47" applyNumberFormat="1" applyBorder="1"/>
    <xf numFmtId="0" fontId="67" fillId="0" borderId="0" xfId="47" applyFont="1" applyBorder="1"/>
    <xf numFmtId="0" fontId="67" fillId="0" borderId="0" xfId="47" applyFont="1" applyBorder="1" applyAlignment="1">
      <alignment horizontal="center"/>
    </xf>
    <xf numFmtId="0" fontId="68" fillId="16" borderId="0" xfId="47" applyFill="1" applyBorder="1" applyAlignment="1">
      <alignment horizontal="center"/>
    </xf>
    <xf numFmtId="0" fontId="92" fillId="16" borderId="0" xfId="47" applyFont="1" applyFill="1" applyAlignment="1">
      <alignment horizontal="center"/>
    </xf>
    <xf numFmtId="0" fontId="68" fillId="16" borderId="0" xfId="47" applyFill="1" applyBorder="1"/>
    <xf numFmtId="2" fontId="37" fillId="16" borderId="0" xfId="47" applyNumberFormat="1" applyFont="1" applyFill="1"/>
    <xf numFmtId="0" fontId="37" fillId="16" borderId="0" xfId="47" applyFont="1" applyFill="1"/>
    <xf numFmtId="2" fontId="96" fillId="26" borderId="5" xfId="47" applyNumberFormat="1" applyFont="1" applyFill="1" applyBorder="1" applyAlignment="1">
      <alignment horizontal="center"/>
    </xf>
    <xf numFmtId="0" fontId="67" fillId="0" borderId="0" xfId="47" applyFont="1" applyFill="1" applyBorder="1" applyAlignment="1">
      <alignment horizontal="center"/>
    </xf>
    <xf numFmtId="0" fontId="84" fillId="0" borderId="0" xfId="47" applyFont="1" applyFill="1" applyBorder="1" applyAlignment="1">
      <alignment horizontal="center"/>
    </xf>
    <xf numFmtId="166" fontId="37" fillId="16" borderId="0" xfId="47" applyNumberFormat="1" applyFont="1" applyFill="1"/>
    <xf numFmtId="2" fontId="96" fillId="27" borderId="5" xfId="47" applyNumberFormat="1" applyFont="1" applyFill="1" applyBorder="1" applyAlignment="1">
      <alignment horizontal="center"/>
    </xf>
    <xf numFmtId="2" fontId="96" fillId="23" borderId="5" xfId="47" applyNumberFormat="1" applyFont="1" applyFill="1" applyBorder="1" applyAlignment="1">
      <alignment horizontal="center"/>
    </xf>
    <xf numFmtId="0" fontId="68" fillId="0" borderId="0" xfId="47" applyFill="1" applyBorder="1" applyAlignment="1">
      <alignment horizontal="center"/>
    </xf>
    <xf numFmtId="0" fontId="68" fillId="0" borderId="0" xfId="47"/>
    <xf numFmtId="0" fontId="68" fillId="0" borderId="0" xfId="47" applyAlignment="1"/>
    <xf numFmtId="2" fontId="84" fillId="0" borderId="5" xfId="47" applyNumberFormat="1" applyFont="1" applyBorder="1" applyAlignment="1">
      <alignment horizontal="center"/>
    </xf>
    <xf numFmtId="4" fontId="84" fillId="0" borderId="55" xfId="47" applyNumberFormat="1" applyFont="1" applyBorder="1" applyAlignment="1">
      <alignment horizontal="centerContinuous"/>
    </xf>
    <xf numFmtId="3" fontId="82" fillId="0" borderId="5" xfId="47" applyNumberFormat="1" applyFont="1" applyBorder="1" applyAlignment="1">
      <alignment horizontal="center"/>
    </xf>
    <xf numFmtId="0" fontId="88" fillId="0" borderId="57" xfId="47" applyFont="1" applyBorder="1" applyAlignment="1">
      <alignment horizontal="center"/>
    </xf>
    <xf numFmtId="0" fontId="89" fillId="0" borderId="58" xfId="47" applyFont="1" applyBorder="1" applyAlignment="1">
      <alignment horizontal="centerContinuous"/>
    </xf>
    <xf numFmtId="0" fontId="84" fillId="0" borderId="59" xfId="47" applyFont="1" applyBorder="1" applyAlignment="1">
      <alignment horizontal="center"/>
    </xf>
    <xf numFmtId="0" fontId="84" fillId="0" borderId="59" xfId="47" applyFont="1" applyBorder="1" applyAlignment="1">
      <alignment horizontal="centerContinuous"/>
    </xf>
    <xf numFmtId="0" fontId="84" fillId="0" borderId="58" xfId="47" applyFont="1" applyBorder="1" applyAlignment="1">
      <alignment horizontal="centerContinuous"/>
    </xf>
    <xf numFmtId="0" fontId="84" fillId="0" borderId="60" xfId="47" applyFont="1" applyBorder="1" applyAlignment="1">
      <alignment horizontal="center"/>
    </xf>
    <xf numFmtId="0" fontId="84" fillId="0" borderId="61" xfId="47" applyFont="1" applyBorder="1" applyAlignment="1">
      <alignment horizontal="center"/>
    </xf>
    <xf numFmtId="0" fontId="84" fillId="0" borderId="62" xfId="47" applyFont="1" applyBorder="1" applyAlignment="1">
      <alignment horizontal="center"/>
    </xf>
    <xf numFmtId="0" fontId="84" fillId="0" borderId="62" xfId="47" applyFont="1" applyBorder="1" applyAlignment="1">
      <alignment horizontal="centerContinuous"/>
    </xf>
    <xf numFmtId="0" fontId="84" fillId="0" borderId="63" xfId="47" applyFont="1" applyBorder="1" applyAlignment="1">
      <alignment horizontal="centerContinuous"/>
    </xf>
    <xf numFmtId="0" fontId="84" fillId="0" borderId="64" xfId="47" applyFont="1" applyBorder="1" applyAlignment="1">
      <alignment horizontal="center"/>
    </xf>
    <xf numFmtId="1" fontId="91" fillId="0" borderId="27" xfId="47" applyNumberFormat="1" applyFont="1" applyBorder="1" applyAlignment="1">
      <alignment horizontal="center"/>
    </xf>
    <xf numFmtId="3" fontId="91" fillId="0" borderId="27" xfId="47" applyNumberFormat="1" applyFont="1" applyBorder="1" applyAlignment="1">
      <alignment horizontal="right"/>
    </xf>
    <xf numFmtId="3" fontId="91" fillId="0" borderId="27" xfId="47" applyNumberFormat="1" applyFont="1" applyBorder="1" applyAlignment="1">
      <alignment horizontal="center"/>
    </xf>
    <xf numFmtId="1" fontId="91" fillId="0" borderId="65" xfId="47" applyNumberFormat="1" applyFont="1" applyBorder="1" applyAlignment="1">
      <alignment horizontal="center"/>
    </xf>
    <xf numFmtId="2" fontId="91" fillId="0" borderId="65" xfId="47" applyNumberFormat="1" applyFont="1" applyBorder="1" applyAlignment="1">
      <alignment horizontal="right"/>
    </xf>
    <xf numFmtId="0" fontId="91" fillId="0" borderId="65" xfId="47" applyFont="1" applyBorder="1" applyAlignment="1">
      <alignment horizontal="centerContinuous"/>
    </xf>
    <xf numFmtId="2" fontId="91" fillId="0" borderId="65" xfId="47" applyNumberFormat="1" applyFont="1" applyBorder="1" applyAlignment="1">
      <alignment horizontal="centerContinuous"/>
    </xf>
    <xf numFmtId="166" fontId="91" fillId="0" borderId="65" xfId="47" applyNumberFormat="1" applyFont="1" applyBorder="1" applyAlignment="1">
      <alignment horizontal="centerContinuous"/>
    </xf>
    <xf numFmtId="4" fontId="88" fillId="0" borderId="66" xfId="47" applyNumberFormat="1" applyFont="1" applyBorder="1" applyAlignment="1">
      <alignment horizontal="right"/>
    </xf>
    <xf numFmtId="0" fontId="89" fillId="0" borderId="59" xfId="47" applyFont="1" applyBorder="1" applyAlignment="1">
      <alignment horizontal="center"/>
    </xf>
    <xf numFmtId="0" fontId="89" fillId="0" borderId="59" xfId="47" applyFont="1" applyBorder="1" applyAlignment="1">
      <alignment horizontal="centerContinuous"/>
    </xf>
    <xf numFmtId="0" fontId="89" fillId="0" borderId="67" xfId="47" applyFont="1" applyBorder="1" applyAlignment="1">
      <alignment horizontal="centerContinuous"/>
    </xf>
    <xf numFmtId="0" fontId="89" fillId="0" borderId="68" xfId="47" applyFont="1" applyBorder="1" applyAlignment="1">
      <alignment horizontal="centerContinuous"/>
    </xf>
    <xf numFmtId="0" fontId="84" fillId="0" borderId="6" xfId="47" applyFont="1" applyBorder="1" applyAlignment="1">
      <alignment horizontal="center"/>
    </xf>
    <xf numFmtId="4" fontId="91" fillId="0" borderId="27" xfId="47" applyNumberFormat="1" applyFont="1" applyBorder="1" applyAlignment="1">
      <alignment horizontal="right"/>
    </xf>
    <xf numFmtId="166" fontId="68" fillId="0" borderId="0" xfId="47" applyNumberFormat="1"/>
    <xf numFmtId="0" fontId="84" fillId="0" borderId="69" xfId="47" applyFont="1" applyBorder="1" applyAlignment="1">
      <alignment horizontal="center"/>
    </xf>
    <xf numFmtId="0" fontId="97" fillId="0" borderId="0" xfId="47" applyFont="1"/>
    <xf numFmtId="2" fontId="97" fillId="0" borderId="0" xfId="47" applyNumberFormat="1" applyFont="1" applyBorder="1"/>
    <xf numFmtId="0" fontId="98" fillId="0" borderId="0" xfId="47" applyFont="1" applyBorder="1" applyAlignment="1">
      <alignment horizontal="centerContinuous"/>
    </xf>
    <xf numFmtId="0" fontId="98" fillId="0" borderId="0" xfId="47" applyFont="1" applyBorder="1" applyAlignment="1"/>
    <xf numFmtId="0" fontId="98" fillId="0" borderId="0" xfId="47" applyFont="1" applyBorder="1" applyAlignment="1">
      <alignment horizontal="right"/>
    </xf>
    <xf numFmtId="2" fontId="99" fillId="0" borderId="0" xfId="47" applyNumberFormat="1" applyFont="1" applyBorder="1" applyAlignment="1">
      <alignment horizontal="left"/>
    </xf>
    <xf numFmtId="2" fontId="97" fillId="0" borderId="0" xfId="47" applyNumberFormat="1" applyFont="1" applyBorder="1" applyAlignment="1"/>
    <xf numFmtId="4" fontId="97" fillId="0" borderId="0" xfId="47" applyNumberFormat="1" applyFont="1" applyBorder="1" applyAlignment="1"/>
    <xf numFmtId="0" fontId="97" fillId="0" borderId="0" xfId="47" applyFont="1" applyBorder="1" applyAlignment="1"/>
    <xf numFmtId="0" fontId="97" fillId="0" borderId="0" xfId="47" applyFont="1" applyBorder="1"/>
    <xf numFmtId="3" fontId="98" fillId="0" borderId="0" xfId="47" applyNumberFormat="1" applyFont="1" applyBorder="1" applyAlignment="1">
      <alignment horizontal="centerContinuous"/>
    </xf>
    <xf numFmtId="2" fontId="99" fillId="0" borderId="0" xfId="47" applyNumberFormat="1" applyFont="1" applyBorder="1" applyAlignment="1">
      <alignment horizontal="centerContinuous"/>
    </xf>
    <xf numFmtId="2" fontId="97" fillId="0" borderId="0" xfId="47" applyNumberFormat="1" applyFont="1" applyBorder="1" applyAlignment="1">
      <alignment horizontal="centerContinuous"/>
    </xf>
    <xf numFmtId="4" fontId="99" fillId="0" borderId="5" xfId="47" applyNumberFormat="1" applyFont="1" applyBorder="1" applyAlignment="1">
      <alignment horizontal="center"/>
    </xf>
    <xf numFmtId="2" fontId="99" fillId="0" borderId="55" xfId="47" applyNumberFormat="1" applyFont="1" applyBorder="1" applyAlignment="1">
      <alignment horizontal="center"/>
    </xf>
    <xf numFmtId="0" fontId="97" fillId="0" borderId="0" xfId="47" applyFont="1" applyAlignment="1"/>
    <xf numFmtId="3" fontId="98" fillId="0" borderId="0" xfId="47" applyNumberFormat="1" applyFont="1" applyBorder="1" applyAlignment="1">
      <alignment horizontal="center"/>
    </xf>
    <xf numFmtId="4" fontId="99" fillId="0" borderId="55" xfId="47" applyNumberFormat="1" applyFont="1" applyBorder="1" applyAlignment="1">
      <alignment horizontal="centerContinuous"/>
    </xf>
    <xf numFmtId="2" fontId="99" fillId="0" borderId="4" xfId="47" applyNumberFormat="1" applyFont="1" applyBorder="1" applyAlignment="1">
      <alignment horizontal="centerContinuous"/>
    </xf>
    <xf numFmtId="3" fontId="98" fillId="0" borderId="5" xfId="47" applyNumberFormat="1" applyFont="1" applyBorder="1" applyAlignment="1">
      <alignment horizontal="center"/>
    </xf>
    <xf numFmtId="3" fontId="98" fillId="0" borderId="55" xfId="47" applyNumberFormat="1" applyFont="1" applyBorder="1" applyAlignment="1">
      <alignment horizontal="center"/>
    </xf>
    <xf numFmtId="0" fontId="99" fillId="0" borderId="57" xfId="47" applyFont="1" applyBorder="1" applyAlignment="1">
      <alignment horizontal="center"/>
    </xf>
    <xf numFmtId="0" fontId="101" fillId="0" borderId="58" xfId="47" applyFont="1" applyBorder="1" applyAlignment="1">
      <alignment horizontal="centerContinuous"/>
    </xf>
    <xf numFmtId="0" fontId="99" fillId="0" borderId="59" xfId="47" applyFont="1" applyBorder="1" applyAlignment="1">
      <alignment horizontal="center"/>
    </xf>
    <xf numFmtId="0" fontId="99" fillId="0" borderId="59" xfId="47" applyFont="1" applyBorder="1" applyAlignment="1">
      <alignment horizontal="centerContinuous"/>
    </xf>
    <xf numFmtId="0" fontId="99" fillId="0" borderId="58" xfId="47" applyFont="1" applyBorder="1" applyAlignment="1">
      <alignment horizontal="centerContinuous"/>
    </xf>
    <xf numFmtId="0" fontId="99" fillId="0" borderId="70" xfId="47" applyFont="1" applyBorder="1" applyAlignment="1">
      <alignment horizontal="center"/>
    </xf>
    <xf numFmtId="0" fontId="99" fillId="0" borderId="6" xfId="47" applyFont="1" applyBorder="1" applyAlignment="1">
      <alignment horizontal="center"/>
    </xf>
    <xf numFmtId="0" fontId="99" fillId="0" borderId="0" xfId="47" applyFont="1" applyBorder="1" applyAlignment="1">
      <alignment horizontal="centerContinuous"/>
    </xf>
    <xf numFmtId="0" fontId="99" fillId="0" borderId="0" xfId="47" applyFont="1" applyBorder="1" applyAlignment="1">
      <alignment horizontal="center"/>
    </xf>
    <xf numFmtId="0" fontId="99" fillId="0" borderId="60" xfId="47" applyFont="1" applyBorder="1" applyAlignment="1">
      <alignment horizontal="center"/>
    </xf>
    <xf numFmtId="0" fontId="99" fillId="0" borderId="61" xfId="47" applyFont="1" applyBorder="1" applyAlignment="1">
      <alignment horizontal="center"/>
    </xf>
    <xf numFmtId="0" fontId="99" fillId="0" borderId="62" xfId="47" applyFont="1" applyBorder="1" applyAlignment="1">
      <alignment horizontal="center"/>
    </xf>
    <xf numFmtId="0" fontId="99" fillId="0" borderId="62" xfId="47" applyFont="1" applyBorder="1" applyAlignment="1">
      <alignment horizontal="centerContinuous"/>
    </xf>
    <xf numFmtId="0" fontId="99" fillId="0" borderId="63" xfId="47" applyFont="1" applyBorder="1" applyAlignment="1">
      <alignment horizontal="centerContinuous"/>
    </xf>
    <xf numFmtId="0" fontId="99" fillId="0" borderId="71" xfId="47" applyFont="1" applyBorder="1" applyAlignment="1">
      <alignment horizontal="center"/>
    </xf>
    <xf numFmtId="0" fontId="99" fillId="0" borderId="69" xfId="47" applyFont="1" applyBorder="1" applyAlignment="1">
      <alignment horizontal="center"/>
    </xf>
    <xf numFmtId="0" fontId="99" fillId="0" borderId="64" xfId="47" applyFont="1" applyBorder="1" applyAlignment="1">
      <alignment horizontal="center"/>
    </xf>
    <xf numFmtId="1" fontId="97" fillId="0" borderId="27" xfId="47" applyNumberFormat="1" applyFont="1" applyBorder="1" applyAlignment="1">
      <alignment horizontal="center"/>
    </xf>
    <xf numFmtId="3" fontId="97" fillId="0" borderId="27" xfId="47" applyNumberFormat="1" applyFont="1" applyBorder="1" applyAlignment="1">
      <alignment horizontal="right"/>
    </xf>
    <xf numFmtId="3" fontId="97" fillId="0" borderId="27" xfId="47" applyNumberFormat="1" applyFont="1" applyBorder="1" applyAlignment="1">
      <alignment horizontal="center"/>
    </xf>
    <xf numFmtId="1" fontId="97" fillId="0" borderId="65" xfId="47" applyNumberFormat="1" applyFont="1" applyBorder="1" applyAlignment="1">
      <alignment horizontal="center"/>
    </xf>
    <xf numFmtId="2" fontId="97" fillId="0" borderId="65" xfId="47" applyNumberFormat="1" applyFont="1" applyBorder="1" applyAlignment="1">
      <alignment horizontal="right"/>
    </xf>
    <xf numFmtId="1" fontId="97" fillId="0" borderId="65" xfId="47" applyNumberFormat="1" applyFont="1" applyBorder="1" applyAlignment="1">
      <alignment horizontal="centerContinuous"/>
    </xf>
    <xf numFmtId="166" fontId="97" fillId="0" borderId="65" xfId="47" applyNumberFormat="1" applyFont="1" applyBorder="1" applyAlignment="1">
      <alignment horizontal="centerContinuous"/>
    </xf>
    <xf numFmtId="4" fontId="99" fillId="0" borderId="72" xfId="47" applyNumberFormat="1" applyFont="1" applyBorder="1" applyAlignment="1">
      <alignment horizontal="right"/>
    </xf>
    <xf numFmtId="0" fontId="97" fillId="0" borderId="0" xfId="47" applyFont="1" applyBorder="1" applyAlignment="1">
      <alignment horizontal="center"/>
    </xf>
    <xf numFmtId="2" fontId="99" fillId="0" borderId="0" xfId="47" applyNumberFormat="1" applyFont="1" applyBorder="1"/>
    <xf numFmtId="166" fontId="97" fillId="0" borderId="0" xfId="47" applyNumberFormat="1" applyFont="1" applyBorder="1"/>
    <xf numFmtId="0" fontId="97" fillId="0" borderId="65" xfId="47" applyFont="1" applyBorder="1" applyAlignment="1">
      <alignment horizontal="centerContinuous"/>
    </xf>
    <xf numFmtId="2" fontId="97" fillId="0" borderId="65" xfId="47" applyNumberFormat="1" applyFont="1" applyBorder="1" applyAlignment="1">
      <alignment horizontal="centerContinuous"/>
    </xf>
    <xf numFmtId="166" fontId="99" fillId="0" borderId="0" xfId="47" applyNumberFormat="1" applyFont="1" applyBorder="1"/>
    <xf numFmtId="2" fontId="102" fillId="0" borderId="55" xfId="47" applyNumberFormat="1" applyFont="1" applyBorder="1" applyAlignment="1">
      <alignment horizontal="right"/>
    </xf>
    <xf numFmtId="0" fontId="99" fillId="0" borderId="54" xfId="47" applyFont="1" applyBorder="1" applyAlignment="1">
      <alignment horizontal="left"/>
    </xf>
    <xf numFmtId="0" fontId="99" fillId="0" borderId="54" xfId="47" applyFont="1" applyBorder="1" applyAlignment="1">
      <alignment horizontal="center"/>
    </xf>
    <xf numFmtId="0" fontId="101" fillId="0" borderId="59" xfId="47" applyFont="1" applyBorder="1" applyAlignment="1">
      <alignment horizontal="center"/>
    </xf>
    <xf numFmtId="0" fontId="101" fillId="0" borderId="59" xfId="47" applyFont="1" applyBorder="1" applyAlignment="1">
      <alignment horizontal="centerContinuous"/>
    </xf>
    <xf numFmtId="0" fontId="101" fillId="0" borderId="67" xfId="47" applyFont="1" applyBorder="1" applyAlignment="1">
      <alignment horizontal="centerContinuous"/>
    </xf>
    <xf numFmtId="0" fontId="99" fillId="0" borderId="73" xfId="47" applyFont="1" applyBorder="1" applyAlignment="1">
      <alignment horizontal="center"/>
    </xf>
    <xf numFmtId="0" fontId="99" fillId="0" borderId="71" xfId="47" applyFont="1" applyBorder="1" applyAlignment="1">
      <alignment horizontal="centerContinuous"/>
    </xf>
    <xf numFmtId="0" fontId="99" fillId="0" borderId="17" xfId="47" applyFont="1" applyBorder="1" applyAlignment="1">
      <alignment horizontal="center"/>
    </xf>
    <xf numFmtId="1" fontId="97" fillId="0" borderId="17" xfId="47" applyNumberFormat="1" applyFont="1" applyBorder="1" applyAlignment="1">
      <alignment horizontal="center"/>
    </xf>
    <xf numFmtId="3" fontId="97" fillId="0" borderId="17" xfId="47" applyNumberFormat="1" applyFont="1" applyBorder="1" applyAlignment="1">
      <alignment horizontal="right"/>
    </xf>
    <xf numFmtId="3" fontId="97" fillId="0" borderId="17" xfId="47" applyNumberFormat="1" applyFont="1" applyBorder="1" applyAlignment="1">
      <alignment horizontal="center"/>
    </xf>
    <xf numFmtId="2" fontId="97" fillId="0" borderId="17" xfId="47" applyNumberFormat="1" applyFont="1" applyBorder="1" applyAlignment="1">
      <alignment horizontal="right"/>
    </xf>
    <xf numFmtId="166" fontId="97" fillId="0" borderId="17" xfId="47" applyNumberFormat="1" applyFont="1" applyBorder="1"/>
    <xf numFmtId="2" fontId="97" fillId="0" borderId="17" xfId="47" applyNumberFormat="1" applyFont="1" applyBorder="1" applyAlignment="1">
      <alignment horizontal="centerContinuous"/>
    </xf>
    <xf numFmtId="0" fontId="99" fillId="0" borderId="65" xfId="47" quotePrefix="1" applyFont="1" applyBorder="1" applyAlignment="1">
      <alignment horizontal="center"/>
    </xf>
    <xf numFmtId="3" fontId="97" fillId="0" borderId="65" xfId="47" applyNumberFormat="1" applyFont="1" applyBorder="1" applyAlignment="1">
      <alignment horizontal="right"/>
    </xf>
    <xf numFmtId="3" fontId="97" fillId="0" borderId="65" xfId="47" applyNumberFormat="1" applyFont="1" applyBorder="1" applyAlignment="1">
      <alignment horizontal="center"/>
    </xf>
    <xf numFmtId="166" fontId="97" fillId="0" borderId="65" xfId="47" applyNumberFormat="1" applyFont="1" applyBorder="1"/>
    <xf numFmtId="0" fontId="99" fillId="0" borderId="65" xfId="47" applyFont="1" applyBorder="1" applyAlignment="1">
      <alignment horizontal="center"/>
    </xf>
    <xf numFmtId="1" fontId="97" fillId="0" borderId="0" xfId="47" applyNumberFormat="1" applyFont="1" applyBorder="1" applyAlignment="1">
      <alignment horizontal="center"/>
    </xf>
    <xf numFmtId="1" fontId="97" fillId="0" borderId="0" xfId="47" applyNumberFormat="1" applyFont="1" applyBorder="1"/>
    <xf numFmtId="166" fontId="97" fillId="0" borderId="0" xfId="47" applyNumberFormat="1" applyFont="1" applyBorder="1" applyAlignment="1">
      <alignment horizontal="center"/>
    </xf>
    <xf numFmtId="0" fontId="99" fillId="0" borderId="0" xfId="47" applyFont="1" applyBorder="1"/>
    <xf numFmtId="0" fontId="102" fillId="0" borderId="0" xfId="47" applyFont="1" applyBorder="1" applyAlignment="1">
      <alignment horizontal="centerContinuous"/>
    </xf>
    <xf numFmtId="2" fontId="97" fillId="0" borderId="0" xfId="47" applyNumberFormat="1" applyFont="1" applyBorder="1" applyAlignment="1">
      <alignment horizontal="center"/>
    </xf>
    <xf numFmtId="1" fontId="99" fillId="0" borderId="0" xfId="47" applyNumberFormat="1" applyFont="1" applyBorder="1"/>
    <xf numFmtId="166" fontId="97" fillId="0" borderId="0" xfId="47" applyNumberFormat="1" applyFont="1" applyBorder="1" applyAlignment="1">
      <alignment horizontal="right"/>
    </xf>
    <xf numFmtId="0" fontId="97" fillId="0" borderId="0" xfId="47" applyFont="1" applyBorder="1" applyAlignment="1">
      <alignment horizontal="right"/>
    </xf>
    <xf numFmtId="1" fontId="97" fillId="0" borderId="0" xfId="47" applyNumberFormat="1" applyFont="1" applyBorder="1" applyAlignment="1">
      <alignment horizontal="right"/>
    </xf>
    <xf numFmtId="166" fontId="97" fillId="0" borderId="0" xfId="47" applyNumberFormat="1" applyFont="1"/>
    <xf numFmtId="1" fontId="97" fillId="0" borderId="0" xfId="47" applyNumberFormat="1" applyFont="1"/>
    <xf numFmtId="171" fontId="97" fillId="0" borderId="0" xfId="47" applyNumberFormat="1" applyFont="1"/>
    <xf numFmtId="166" fontId="99" fillId="0" borderId="0" xfId="47" applyNumberFormat="1" applyFont="1"/>
    <xf numFmtId="0" fontId="99" fillId="0" borderId="0" xfId="47" applyFont="1"/>
    <xf numFmtId="2" fontId="97" fillId="0" borderId="0" xfId="47" applyNumberFormat="1" applyFont="1"/>
    <xf numFmtId="1" fontId="99" fillId="0" borderId="0" xfId="47" applyNumberFormat="1" applyFont="1"/>
    <xf numFmtId="4" fontId="103" fillId="0" borderId="72" xfId="47" applyNumberFormat="1" applyFont="1" applyBorder="1" applyAlignment="1">
      <alignment horizontal="right"/>
    </xf>
    <xf numFmtId="0" fontId="84" fillId="0" borderId="73" xfId="47" applyFont="1" applyBorder="1" applyAlignment="1">
      <alignment horizontal="left"/>
    </xf>
    <xf numFmtId="0" fontId="84" fillId="0" borderId="26" xfId="47" applyFont="1" applyBorder="1" applyAlignment="1">
      <alignment horizontal="center"/>
    </xf>
    <xf numFmtId="166" fontId="95" fillId="0" borderId="0" xfId="47" applyNumberFormat="1" applyFont="1" applyBorder="1" applyAlignment="1">
      <alignment horizontal="right"/>
    </xf>
    <xf numFmtId="2" fontId="68" fillId="0" borderId="0" xfId="47" applyNumberFormat="1" applyBorder="1"/>
    <xf numFmtId="0" fontId="96" fillId="0" borderId="0" xfId="47" applyFont="1" applyBorder="1" applyAlignment="1">
      <alignment horizontal="right"/>
    </xf>
    <xf numFmtId="1" fontId="105" fillId="0" borderId="0" xfId="47" applyNumberFormat="1" applyFont="1" applyBorder="1" applyAlignment="1">
      <alignment horizontal="center"/>
    </xf>
    <xf numFmtId="166" fontId="95" fillId="0" borderId="0" xfId="47" applyNumberFormat="1" applyFont="1" applyFill="1" applyBorder="1" applyAlignment="1">
      <alignment horizontal="right"/>
    </xf>
    <xf numFmtId="0" fontId="96" fillId="0" borderId="0" xfId="47" applyFont="1" applyBorder="1"/>
    <xf numFmtId="0" fontId="104" fillId="0" borderId="0" xfId="47" applyFont="1" applyAlignment="1">
      <alignment horizontal="center"/>
    </xf>
    <xf numFmtId="2" fontId="68" fillId="0" borderId="0" xfId="47" applyNumberFormat="1"/>
    <xf numFmtId="1" fontId="68" fillId="0" borderId="0" xfId="47" applyNumberFormat="1"/>
    <xf numFmtId="0" fontId="104" fillId="0" borderId="0" xfId="47" applyFont="1"/>
    <xf numFmtId="1" fontId="68" fillId="0" borderId="0" xfId="47" applyNumberFormat="1" applyFont="1"/>
    <xf numFmtId="166" fontId="104" fillId="0" borderId="0" xfId="47" applyNumberFormat="1" applyFont="1"/>
    <xf numFmtId="1" fontId="67" fillId="0" borderId="0" xfId="47" applyNumberFormat="1" applyFont="1"/>
    <xf numFmtId="0" fontId="106" fillId="0" borderId="0" xfId="47" applyFont="1"/>
    <xf numFmtId="171" fontId="68" fillId="0" borderId="0" xfId="47" applyNumberFormat="1"/>
    <xf numFmtId="1" fontId="106" fillId="0" borderId="0" xfId="47" applyNumberFormat="1" applyFont="1"/>
    <xf numFmtId="1" fontId="104" fillId="0" borderId="0" xfId="47" applyNumberFormat="1" applyFont="1"/>
    <xf numFmtId="0" fontId="107" fillId="0" borderId="0" xfId="47" applyFont="1" applyBorder="1" applyAlignment="1">
      <alignment horizontal="centerContinuous"/>
    </xf>
    <xf numFmtId="0" fontId="32" fillId="0" borderId="0" xfId="47" applyFont="1" applyBorder="1"/>
    <xf numFmtId="0" fontId="107" fillId="0" borderId="74" xfId="47" applyFont="1" applyBorder="1" applyAlignment="1">
      <alignment horizontal="centerContinuous"/>
    </xf>
    <xf numFmtId="0" fontId="107" fillId="0" borderId="58" xfId="47" applyFont="1" applyBorder="1" applyAlignment="1">
      <alignment horizontal="centerContinuous"/>
    </xf>
    <xf numFmtId="0" fontId="107" fillId="0" borderId="59" xfId="47" applyFont="1" applyBorder="1" applyAlignment="1">
      <alignment horizontal="center"/>
    </xf>
    <xf numFmtId="0" fontId="107" fillId="0" borderId="75" xfId="47" applyFont="1" applyBorder="1" applyAlignment="1">
      <alignment horizontal="center"/>
    </xf>
    <xf numFmtId="0" fontId="107" fillId="0" borderId="0" xfId="47" applyFont="1" applyBorder="1"/>
    <xf numFmtId="0" fontId="107" fillId="0" borderId="76" xfId="47" applyFont="1" applyBorder="1" applyAlignment="1">
      <alignment horizontal="center"/>
    </xf>
    <xf numFmtId="0" fontId="107" fillId="0" borderId="77" xfId="47" applyFont="1" applyBorder="1" applyAlignment="1">
      <alignment horizontal="center"/>
    </xf>
    <xf numFmtId="0" fontId="107" fillId="0" borderId="62" xfId="47" applyFont="1" applyBorder="1" applyAlignment="1">
      <alignment horizontal="center"/>
    </xf>
    <xf numFmtId="0" fontId="107" fillId="0" borderId="78" xfId="47" applyFont="1" applyBorder="1" applyAlignment="1">
      <alignment horizontal="center"/>
    </xf>
    <xf numFmtId="166" fontId="107" fillId="0" borderId="0" xfId="47" applyNumberFormat="1" applyFont="1" applyBorder="1" applyAlignment="1">
      <alignment horizontal="right"/>
    </xf>
    <xf numFmtId="0" fontId="32" fillId="0" borderId="17" xfId="47" applyFont="1" applyBorder="1" applyAlignment="1">
      <alignment horizontal="center"/>
    </xf>
    <xf numFmtId="2" fontId="32" fillId="0" borderId="17" xfId="47" applyNumberFormat="1" applyFont="1" applyBorder="1"/>
    <xf numFmtId="2" fontId="32" fillId="0" borderId="0" xfId="47" applyNumberFormat="1" applyFont="1" applyBorder="1"/>
    <xf numFmtId="1" fontId="32" fillId="0" borderId="17" xfId="47" applyNumberFormat="1" applyFont="1" applyBorder="1"/>
    <xf numFmtId="0" fontId="107" fillId="0" borderId="59" xfId="47" applyFont="1" applyBorder="1" applyAlignment="1">
      <alignment horizontal="left"/>
    </xf>
    <xf numFmtId="166" fontId="32" fillId="0" borderId="17" xfId="47" applyNumberFormat="1" applyFont="1" applyBorder="1"/>
    <xf numFmtId="3" fontId="32" fillId="0" borderId="17" xfId="47" applyNumberFormat="1" applyFont="1" applyBorder="1"/>
    <xf numFmtId="0" fontId="32" fillId="0" borderId="65" xfId="47" applyFont="1" applyBorder="1" applyAlignment="1">
      <alignment horizontal="center"/>
    </xf>
    <xf numFmtId="2" fontId="32" fillId="0" borderId="65" xfId="47" applyNumberFormat="1" applyFont="1" applyBorder="1"/>
    <xf numFmtId="2" fontId="32" fillId="0" borderId="53" xfId="47" applyNumberFormat="1" applyFont="1" applyBorder="1"/>
    <xf numFmtId="4" fontId="32" fillId="0" borderId="0" xfId="47" applyNumberFormat="1" applyFont="1" applyBorder="1"/>
    <xf numFmtId="0" fontId="107" fillId="0" borderId="67" xfId="47" applyFont="1" applyBorder="1" applyAlignment="1">
      <alignment horizontal="center"/>
    </xf>
    <xf numFmtId="0" fontId="107" fillId="0" borderId="63" xfId="47" applyFont="1" applyBorder="1" applyAlignment="1">
      <alignment horizontal="center"/>
    </xf>
    <xf numFmtId="0" fontId="32" fillId="0" borderId="58" xfId="47" applyFont="1" applyBorder="1" applyAlignment="1">
      <alignment horizontal="center"/>
    </xf>
    <xf numFmtId="2" fontId="32" fillId="0" borderId="58" xfId="47" applyNumberFormat="1" applyFont="1" applyBorder="1"/>
    <xf numFmtId="166" fontId="32" fillId="0" borderId="58" xfId="47" applyNumberFormat="1" applyFont="1" applyBorder="1"/>
    <xf numFmtId="2" fontId="32" fillId="0" borderId="68" xfId="47" applyNumberFormat="1" applyFont="1" applyBorder="1"/>
    <xf numFmtId="0" fontId="32" fillId="0" borderId="0" xfId="47" applyFont="1" applyBorder="1" applyAlignment="1">
      <alignment horizontal="right"/>
    </xf>
    <xf numFmtId="0" fontId="32" fillId="0" borderId="0" xfId="47" applyFont="1" applyBorder="1" applyAlignment="1">
      <alignment horizontal="center"/>
    </xf>
    <xf numFmtId="3" fontId="32" fillId="0" borderId="65" xfId="47" applyNumberFormat="1" applyFont="1" applyBorder="1"/>
    <xf numFmtId="166" fontId="32" fillId="0" borderId="65" xfId="47" applyNumberFormat="1" applyFont="1" applyBorder="1"/>
    <xf numFmtId="3" fontId="32" fillId="0" borderId="0" xfId="47" applyNumberFormat="1" applyFont="1" applyBorder="1"/>
    <xf numFmtId="166" fontId="32" fillId="0" borderId="0" xfId="47" applyNumberFormat="1" applyFont="1" applyBorder="1"/>
    <xf numFmtId="0" fontId="107" fillId="0" borderId="0" xfId="47" applyFont="1" applyBorder="1" applyAlignment="1">
      <alignment horizontal="center"/>
    </xf>
    <xf numFmtId="1" fontId="32" fillId="0" borderId="0" xfId="47" applyNumberFormat="1" applyFont="1" applyBorder="1"/>
    <xf numFmtId="0" fontId="32" fillId="0" borderId="0" xfId="47" applyFont="1"/>
    <xf numFmtId="166" fontId="32" fillId="0" borderId="0" xfId="47" applyNumberFormat="1" applyFont="1"/>
    <xf numFmtId="1" fontId="108" fillId="0" borderId="0" xfId="47" applyNumberFormat="1" applyFont="1" applyBorder="1" applyAlignment="1">
      <alignment horizontal="center"/>
    </xf>
    <xf numFmtId="1" fontId="32" fillId="0" borderId="0" xfId="47" applyNumberFormat="1" applyFont="1" applyBorder="1" applyAlignment="1">
      <alignment horizontal="center"/>
    </xf>
    <xf numFmtId="167" fontId="32" fillId="0" borderId="17" xfId="47" applyNumberFormat="1" applyFont="1" applyBorder="1"/>
    <xf numFmtId="0" fontId="107" fillId="0" borderId="70" xfId="47" applyFont="1" applyBorder="1"/>
    <xf numFmtId="0" fontId="107" fillId="0" borderId="71" xfId="47" applyFont="1" applyBorder="1" applyAlignment="1">
      <alignment horizontal="center"/>
    </xf>
    <xf numFmtId="0" fontId="108" fillId="0" borderId="58" xfId="47" applyFont="1" applyBorder="1" applyAlignment="1">
      <alignment horizontal="center"/>
    </xf>
    <xf numFmtId="0" fontId="108" fillId="0" borderId="65" xfId="47" applyFont="1" applyBorder="1" applyAlignment="1">
      <alignment horizontal="center"/>
    </xf>
    <xf numFmtId="0" fontId="109" fillId="0" borderId="65" xfId="47" applyFont="1" applyBorder="1" applyAlignment="1">
      <alignment horizontal="center"/>
    </xf>
    <xf numFmtId="166" fontId="109" fillId="0" borderId="65" xfId="47" applyNumberFormat="1" applyFont="1" applyBorder="1"/>
    <xf numFmtId="2" fontId="109" fillId="0" borderId="17" xfId="47" applyNumberFormat="1" applyFont="1" applyBorder="1"/>
    <xf numFmtId="0" fontId="111" fillId="0" borderId="0" xfId="47" applyFont="1" applyAlignment="1">
      <alignment horizontal="centerContinuous"/>
    </xf>
    <xf numFmtId="0" fontId="20" fillId="0" borderId="0" xfId="47" applyFont="1" applyAlignment="1">
      <alignment horizontal="centerContinuous"/>
    </xf>
    <xf numFmtId="0" fontId="107" fillId="0" borderId="79" xfId="47" applyFont="1" applyBorder="1" applyAlignment="1">
      <alignment horizontal="centerContinuous"/>
    </xf>
    <xf numFmtId="0" fontId="107" fillId="0" borderId="80" xfId="47" applyFont="1" applyBorder="1" applyAlignment="1">
      <alignment horizontal="center"/>
    </xf>
    <xf numFmtId="0" fontId="107" fillId="0" borderId="80" xfId="47" applyFont="1" applyBorder="1" applyAlignment="1">
      <alignment horizontal="centerContinuous"/>
    </xf>
    <xf numFmtId="0" fontId="112" fillId="0" borderId="80" xfId="47" applyFont="1" applyBorder="1" applyAlignment="1">
      <alignment horizontal="center"/>
    </xf>
    <xf numFmtId="0" fontId="107" fillId="0" borderId="81" xfId="47" applyFont="1" applyBorder="1" applyAlignment="1">
      <alignment horizontal="center"/>
    </xf>
    <xf numFmtId="0" fontId="107" fillId="0" borderId="61" xfId="47" applyFont="1" applyBorder="1" applyAlignment="1">
      <alignment horizontal="center"/>
    </xf>
    <xf numFmtId="0" fontId="113" fillId="0" borderId="61" xfId="47" applyFont="1" applyBorder="1" applyAlignment="1">
      <alignment horizontal="center"/>
    </xf>
    <xf numFmtId="0" fontId="107" fillId="0" borderId="82" xfId="47" applyFont="1" applyBorder="1" applyAlignment="1">
      <alignment horizontal="center"/>
    </xf>
    <xf numFmtId="0" fontId="114" fillId="0" borderId="17" xfId="47" applyFont="1" applyBorder="1" applyAlignment="1">
      <alignment horizontal="center"/>
    </xf>
    <xf numFmtId="1" fontId="32" fillId="0" borderId="17" xfId="47" applyNumberFormat="1" applyFont="1" applyBorder="1" applyAlignment="1">
      <alignment horizontal="center"/>
    </xf>
    <xf numFmtId="166" fontId="32" fillId="0" borderId="17" xfId="47" applyNumberFormat="1" applyFont="1" applyBorder="1" applyAlignment="1">
      <alignment horizontal="center"/>
    </xf>
    <xf numFmtId="2" fontId="32" fillId="0" borderId="17" xfId="47" applyNumberFormat="1" applyFont="1" applyBorder="1" applyAlignment="1">
      <alignment horizontal="center"/>
    </xf>
    <xf numFmtId="0" fontId="107" fillId="0" borderId="83" xfId="47" applyFont="1" applyBorder="1"/>
    <xf numFmtId="0" fontId="32" fillId="0" borderId="84" xfId="47" applyFont="1" applyBorder="1"/>
    <xf numFmtId="0" fontId="32" fillId="0" borderId="85" xfId="47" applyFont="1" applyBorder="1"/>
    <xf numFmtId="0" fontId="32" fillId="0" borderId="56" xfId="47" applyFont="1" applyBorder="1" applyAlignment="1">
      <alignment horizontal="center"/>
    </xf>
    <xf numFmtId="0" fontId="32" fillId="0" borderId="3" xfId="47" applyFont="1" applyBorder="1" applyAlignment="1">
      <alignment horizontal="center"/>
    </xf>
    <xf numFmtId="0" fontId="32" fillId="0" borderId="44" xfId="47" applyFont="1" applyBorder="1"/>
    <xf numFmtId="0" fontId="32" fillId="0" borderId="0" xfId="47" applyFont="1" applyFill="1" applyBorder="1" applyAlignment="1">
      <alignment horizontal="center"/>
    </xf>
    <xf numFmtId="0" fontId="32" fillId="0" borderId="83" xfId="47" applyFont="1" applyBorder="1" applyAlignment="1">
      <alignment horizontal="center"/>
    </xf>
    <xf numFmtId="0" fontId="32" fillId="0" borderId="84" xfId="47" applyFont="1" applyBorder="1" applyAlignment="1">
      <alignment horizontal="center"/>
    </xf>
    <xf numFmtId="1" fontId="32" fillId="0" borderId="84" xfId="47" applyNumberFormat="1" applyFont="1" applyBorder="1" applyAlignment="1">
      <alignment horizontal="center"/>
    </xf>
    <xf numFmtId="2" fontId="32" fillId="0" borderId="84" xfId="47" applyNumberFormat="1" applyFont="1" applyBorder="1"/>
    <xf numFmtId="1" fontId="32" fillId="0" borderId="85" xfId="47" applyNumberFormat="1" applyFont="1" applyBorder="1"/>
    <xf numFmtId="0" fontId="32" fillId="0" borderId="86" xfId="47" applyFont="1" applyBorder="1" applyAlignment="1">
      <alignment horizontal="center"/>
    </xf>
    <xf numFmtId="1" fontId="108" fillId="0" borderId="87" xfId="47" applyNumberFormat="1" applyFont="1" applyBorder="1"/>
    <xf numFmtId="1" fontId="32" fillId="0" borderId="87" xfId="47" applyNumberFormat="1" applyFont="1" applyBorder="1"/>
    <xf numFmtId="0" fontId="32" fillId="0" borderId="83" xfId="47" applyFont="1" applyBorder="1" applyAlignment="1">
      <alignment horizontal="right"/>
    </xf>
    <xf numFmtId="1" fontId="114" fillId="0" borderId="84" xfId="47" applyNumberFormat="1" applyFont="1" applyBorder="1" applyAlignment="1">
      <alignment horizontal="center"/>
    </xf>
    <xf numFmtId="0" fontId="32" fillId="0" borderId="86" xfId="47" applyFont="1" applyBorder="1" applyAlignment="1">
      <alignment horizontal="right"/>
    </xf>
    <xf numFmtId="0" fontId="32" fillId="0" borderId="87" xfId="47" applyFont="1" applyBorder="1"/>
    <xf numFmtId="0" fontId="32" fillId="0" borderId="88" xfId="47" applyFont="1" applyBorder="1" applyAlignment="1">
      <alignment horizontal="right"/>
    </xf>
    <xf numFmtId="0" fontId="32" fillId="0" borderId="89" xfId="47" applyFont="1" applyBorder="1"/>
    <xf numFmtId="0" fontId="32" fillId="0" borderId="89" xfId="47" applyFont="1" applyBorder="1" applyAlignment="1">
      <alignment horizontal="center"/>
    </xf>
    <xf numFmtId="0" fontId="32" fillId="0" borderId="90" xfId="47" applyFont="1" applyBorder="1" applyAlignment="1">
      <alignment horizontal="left"/>
    </xf>
    <xf numFmtId="0" fontId="107" fillId="0" borderId="0" xfId="47" applyFont="1" applyFill="1" applyBorder="1" applyAlignment="1">
      <alignment horizontal="right"/>
    </xf>
    <xf numFmtId="0" fontId="107" fillId="0" borderId="0" xfId="47" applyFont="1" applyFill="1" applyBorder="1"/>
    <xf numFmtId="1" fontId="67" fillId="0" borderId="0" xfId="47" applyNumberFormat="1" applyFont="1" applyBorder="1" applyAlignment="1">
      <alignment horizontal="center"/>
    </xf>
    <xf numFmtId="0" fontId="115" fillId="0" borderId="0" xfId="47" applyFont="1"/>
    <xf numFmtId="0" fontId="92" fillId="0" borderId="0" xfId="47" applyFont="1"/>
    <xf numFmtId="0" fontId="104" fillId="0" borderId="0" xfId="47" applyFont="1" applyAlignment="1">
      <alignment horizontal="right"/>
    </xf>
    <xf numFmtId="0" fontId="104" fillId="0" borderId="0" xfId="47" applyFont="1" applyAlignment="1">
      <alignment horizontal="left"/>
    </xf>
    <xf numFmtId="0" fontId="116" fillId="0" borderId="0" xfId="47" applyFont="1"/>
    <xf numFmtId="166" fontId="116" fillId="0" borderId="0" xfId="47" applyNumberFormat="1" applyFont="1" applyAlignment="1">
      <alignment horizontal="center"/>
    </xf>
    <xf numFmtId="0" fontId="117" fillId="0" borderId="0" xfId="47" applyFont="1"/>
    <xf numFmtId="1" fontId="68" fillId="0" borderId="0" xfId="47" applyNumberFormat="1" applyAlignment="1">
      <alignment horizontal="center"/>
    </xf>
    <xf numFmtId="2" fontId="117" fillId="0" borderId="0" xfId="47" applyNumberFormat="1" applyFont="1"/>
    <xf numFmtId="0" fontId="68" fillId="0" borderId="0" xfId="47" applyAlignment="1">
      <alignment horizontal="center"/>
    </xf>
    <xf numFmtId="2" fontId="68" fillId="0" borderId="0" xfId="47" applyNumberFormat="1" applyAlignment="1">
      <alignment horizontal="center"/>
    </xf>
    <xf numFmtId="0" fontId="118" fillId="0" borderId="0" xfId="47" applyFont="1" applyAlignment="1">
      <alignment horizontal="center"/>
    </xf>
    <xf numFmtId="3" fontId="68" fillId="0" borderId="0" xfId="47" applyNumberFormat="1"/>
    <xf numFmtId="4" fontId="68" fillId="0" borderId="0" xfId="47" applyNumberFormat="1"/>
    <xf numFmtId="3" fontId="117" fillId="0" borderId="0" xfId="47" applyNumberFormat="1" applyFont="1"/>
    <xf numFmtId="4" fontId="117" fillId="0" borderId="0" xfId="47" applyNumberFormat="1" applyFont="1"/>
    <xf numFmtId="167" fontId="118" fillId="0" borderId="0" xfId="47" applyNumberFormat="1" applyFont="1" applyAlignment="1">
      <alignment horizontal="center"/>
    </xf>
    <xf numFmtId="166" fontId="68" fillId="0" borderId="0" xfId="47" applyNumberFormat="1" applyAlignment="1">
      <alignment horizontal="center"/>
    </xf>
    <xf numFmtId="166" fontId="106" fillId="0" borderId="0" xfId="47" applyNumberFormat="1" applyFont="1" applyAlignment="1">
      <alignment horizontal="center"/>
    </xf>
    <xf numFmtId="4" fontId="106" fillId="0" borderId="0" xfId="47" applyNumberFormat="1" applyFont="1"/>
    <xf numFmtId="1" fontId="117" fillId="0" borderId="0" xfId="47" applyNumberFormat="1" applyFont="1"/>
    <xf numFmtId="2" fontId="106" fillId="0" borderId="0" xfId="47" applyNumberFormat="1" applyFont="1"/>
    <xf numFmtId="4" fontId="96" fillId="26" borderId="5" xfId="47" applyNumberFormat="1" applyFont="1" applyFill="1" applyBorder="1" applyAlignment="1">
      <alignment horizontal="center"/>
    </xf>
    <xf numFmtId="4" fontId="96" fillId="23" borderId="5" xfId="47" applyNumberFormat="1" applyFont="1" applyFill="1" applyBorder="1" applyAlignment="1">
      <alignment horizontal="center"/>
    </xf>
    <xf numFmtId="4" fontId="96" fillId="27" borderId="5" xfId="47" applyNumberFormat="1" applyFont="1" applyFill="1" applyBorder="1" applyAlignment="1">
      <alignment horizontal="center"/>
    </xf>
    <xf numFmtId="0" fontId="0" fillId="28" borderId="0" xfId="0" applyFill="1"/>
    <xf numFmtId="0" fontId="0" fillId="28" borderId="5" xfId="0" applyFill="1" applyBorder="1"/>
    <xf numFmtId="0" fontId="0" fillId="28" borderId="0" xfId="0" applyFill="1" applyAlignment="1">
      <alignment horizontal="center"/>
    </xf>
    <xf numFmtId="0" fontId="3" fillId="27" borderId="0" xfId="0" applyFont="1" applyFill="1"/>
    <xf numFmtId="0" fontId="0" fillId="27" borderId="5" xfId="0" applyFill="1" applyBorder="1"/>
    <xf numFmtId="0" fontId="119" fillId="0" borderId="0" xfId="0" applyFont="1"/>
    <xf numFmtId="0" fontId="119" fillId="0" borderId="6" xfId="0" applyFont="1" applyBorder="1" applyAlignment="1">
      <alignment horizontal="center"/>
    </xf>
    <xf numFmtId="0" fontId="119" fillId="0" borderId="91" xfId="0" applyFont="1" applyBorder="1" applyAlignment="1">
      <alignment horizontal="center"/>
    </xf>
    <xf numFmtId="0" fontId="119" fillId="0" borderId="69" xfId="0" applyFont="1" applyBorder="1" applyAlignment="1">
      <alignment horizontal="center"/>
    </xf>
    <xf numFmtId="0" fontId="119" fillId="0" borderId="7" xfId="0" applyFont="1" applyBorder="1" applyAlignment="1">
      <alignment horizontal="center"/>
    </xf>
    <xf numFmtId="0" fontId="67" fillId="0" borderId="0" xfId="0" applyFont="1" applyAlignment="1">
      <alignment horizontal="center" vertical="center"/>
    </xf>
    <xf numFmtId="2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1" fontId="120" fillId="0" borderId="92" xfId="0" applyNumberFormat="1" applyFont="1" applyBorder="1" applyAlignment="1">
      <alignment horizontal="center" vertical="center"/>
    </xf>
    <xf numFmtId="0" fontId="67" fillId="0" borderId="0" xfId="0" applyFont="1" applyAlignment="1">
      <alignment horizontal="center"/>
    </xf>
    <xf numFmtId="0" fontId="68" fillId="0" borderId="0" xfId="0" applyFont="1" applyAlignment="1">
      <alignment horizontal="center"/>
    </xf>
    <xf numFmtId="0" fontId="66" fillId="16" borderId="5" xfId="0" applyFont="1" applyFill="1" applyBorder="1" applyAlignment="1">
      <alignment horizontal="center"/>
    </xf>
    <xf numFmtId="2" fontId="67" fillId="16" borderId="5" xfId="0" applyNumberFormat="1" applyFont="1" applyFill="1" applyBorder="1" applyAlignment="1">
      <alignment horizontal="center"/>
    </xf>
    <xf numFmtId="0" fontId="0" fillId="16" borderId="0" xfId="0" applyFill="1"/>
    <xf numFmtId="0" fontId="68" fillId="16" borderId="5" xfId="0" applyFont="1" applyFill="1" applyBorder="1" applyAlignment="1">
      <alignment horizontal="center"/>
    </xf>
    <xf numFmtId="2" fontId="68" fillId="16" borderId="5" xfId="0" applyNumberFormat="1" applyFont="1" applyFill="1" applyBorder="1"/>
    <xf numFmtId="2" fontId="0" fillId="16" borderId="5" xfId="0" applyNumberFormat="1" applyFill="1" applyBorder="1"/>
    <xf numFmtId="2" fontId="0" fillId="16" borderId="0" xfId="0" applyNumberFormat="1" applyFill="1"/>
    <xf numFmtId="2" fontId="0" fillId="16" borderId="0" xfId="0" applyNumberFormat="1" applyFill="1" applyAlignment="1">
      <alignment horizontal="center"/>
    </xf>
    <xf numFmtId="2" fontId="0" fillId="16" borderId="0" xfId="0" applyNumberFormat="1" applyFill="1" applyBorder="1"/>
    <xf numFmtId="1" fontId="126" fillId="0" borderId="55" xfId="0" applyNumberFormat="1" applyFont="1" applyBorder="1" applyAlignment="1">
      <alignment horizontal="center" vertical="center"/>
    </xf>
    <xf numFmtId="2" fontId="126" fillId="0" borderId="93" xfId="0" applyNumberFormat="1" applyFont="1" applyBorder="1" applyAlignment="1">
      <alignment horizontal="center" vertical="center"/>
    </xf>
    <xf numFmtId="0" fontId="123" fillId="0" borderId="81" xfId="0" applyFont="1" applyBorder="1" applyAlignment="1">
      <alignment horizontal="center" vertical="center"/>
    </xf>
    <xf numFmtId="0" fontId="113" fillId="0" borderId="0" xfId="48" applyFont="1" applyAlignment="1">
      <alignment horizontal="centerContinuous"/>
    </xf>
    <xf numFmtId="0" fontId="107" fillId="0" borderId="0" xfId="48" applyFont="1" applyAlignment="1">
      <alignment horizontal="centerContinuous"/>
    </xf>
    <xf numFmtId="0" fontId="32" fillId="0" borderId="0" xfId="48" applyFont="1" applyAlignment="1">
      <alignment horizontal="centerContinuous"/>
    </xf>
    <xf numFmtId="166" fontId="32" fillId="0" borderId="0" xfId="48" applyNumberFormat="1" applyFont="1" applyAlignment="1">
      <alignment horizontal="centerContinuous"/>
    </xf>
    <xf numFmtId="0" fontId="32" fillId="0" borderId="0" xfId="48" applyFont="1"/>
    <xf numFmtId="166" fontId="107" fillId="0" borderId="0" xfId="48" applyNumberFormat="1" applyFont="1" applyAlignment="1">
      <alignment horizontal="centerContinuous"/>
    </xf>
    <xf numFmtId="0" fontId="127" fillId="0" borderId="0" xfId="48" applyFont="1" applyAlignment="1">
      <alignment horizontal="center"/>
    </xf>
    <xf numFmtId="0" fontId="107" fillId="0" borderId="0" xfId="48" applyFont="1" applyAlignment="1">
      <alignment horizontal="center"/>
    </xf>
    <xf numFmtId="166" fontId="107" fillId="0" borderId="0" xfId="48" applyNumberFormat="1" applyFont="1" applyAlignment="1">
      <alignment horizontal="center"/>
    </xf>
    <xf numFmtId="166" fontId="110" fillId="0" borderId="0" xfId="48" applyNumberFormat="1" applyFont="1" applyAlignment="1">
      <alignment horizontal="center"/>
    </xf>
    <xf numFmtId="0" fontId="92" fillId="0" borderId="0" xfId="48" applyFont="1"/>
    <xf numFmtId="166" fontId="37" fillId="0" borderId="0" xfId="48" applyNumberFormat="1" applyFont="1"/>
    <xf numFmtId="0" fontId="37" fillId="0" borderId="0" xfId="48" applyFont="1"/>
    <xf numFmtId="171" fontId="37" fillId="0" borderId="0" xfId="48" applyNumberFormat="1" applyFont="1"/>
    <xf numFmtId="172" fontId="37" fillId="0" borderId="0" xfId="48" applyNumberFormat="1" applyFont="1"/>
    <xf numFmtId="166" fontId="32" fillId="0" borderId="0" xfId="48" applyNumberFormat="1" applyFont="1" applyAlignment="1">
      <alignment horizontal="center"/>
    </xf>
    <xf numFmtId="167" fontId="81" fillId="0" borderId="0" xfId="48" applyNumberFormat="1" applyFont="1" applyAlignment="1">
      <alignment horizontal="center"/>
    </xf>
    <xf numFmtId="167" fontId="32" fillId="0" borderId="0" xfId="48" applyNumberFormat="1" applyFont="1" applyAlignment="1">
      <alignment horizontal="center"/>
    </xf>
    <xf numFmtId="3" fontId="107" fillId="0" borderId="0" xfId="48" applyNumberFormat="1" applyFont="1" applyAlignment="1">
      <alignment horizontal="right"/>
    </xf>
    <xf numFmtId="185" fontId="107" fillId="0" borderId="0" xfId="48" applyNumberFormat="1" applyFont="1" applyAlignment="1">
      <alignment horizontal="right"/>
    </xf>
    <xf numFmtId="3" fontId="32" fillId="0" borderId="0" xfId="48" applyNumberFormat="1" applyFont="1"/>
    <xf numFmtId="3" fontId="107" fillId="0" borderId="0" xfId="48" applyNumberFormat="1" applyFont="1" applyAlignment="1">
      <alignment horizontal="center"/>
    </xf>
    <xf numFmtId="166" fontId="92" fillId="0" borderId="0" xfId="48" applyNumberFormat="1" applyFont="1"/>
    <xf numFmtId="1" fontId="32" fillId="0" borderId="0" xfId="48" applyNumberFormat="1" applyFont="1" applyAlignment="1">
      <alignment horizontal="center"/>
    </xf>
    <xf numFmtId="1" fontId="32" fillId="0" borderId="0" xfId="48" applyNumberFormat="1" applyFont="1"/>
    <xf numFmtId="2" fontId="37" fillId="0" borderId="0" xfId="48" applyNumberFormat="1" applyFont="1"/>
    <xf numFmtId="1" fontId="107" fillId="0" borderId="0" xfId="48" applyNumberFormat="1" applyFont="1"/>
    <xf numFmtId="172" fontId="92" fillId="0" borderId="0" xfId="48" applyNumberFormat="1" applyFont="1"/>
    <xf numFmtId="2" fontId="107" fillId="0" borderId="0" xfId="48" applyNumberFormat="1" applyFont="1" applyAlignment="1">
      <alignment horizontal="center"/>
    </xf>
    <xf numFmtId="166" fontId="32" fillId="0" borderId="0" xfId="48" applyNumberFormat="1" applyFont="1"/>
    <xf numFmtId="0" fontId="32" fillId="0" borderId="0" xfId="48" applyFont="1" applyAlignment="1">
      <alignment horizontal="right"/>
    </xf>
    <xf numFmtId="3" fontId="32" fillId="0" borderId="0" xfId="48" applyNumberFormat="1" applyFont="1" applyAlignment="1">
      <alignment horizontal="right"/>
    </xf>
    <xf numFmtId="0" fontId="32" fillId="0" borderId="0" xfId="48" applyFont="1" applyAlignment="1">
      <alignment horizontal="center"/>
    </xf>
    <xf numFmtId="3" fontId="32" fillId="0" borderId="0" xfId="48" applyNumberFormat="1" applyFont="1" applyAlignment="1">
      <alignment horizontal="center"/>
    </xf>
    <xf numFmtId="185" fontId="32" fillId="0" borderId="0" xfId="48" applyNumberFormat="1" applyFont="1" applyAlignment="1">
      <alignment horizontal="right"/>
    </xf>
    <xf numFmtId="1" fontId="37" fillId="0" borderId="0" xfId="48" applyNumberFormat="1" applyFont="1"/>
    <xf numFmtId="1" fontId="92" fillId="0" borderId="0" xfId="48" applyNumberFormat="1" applyFont="1"/>
    <xf numFmtId="2" fontId="92" fillId="0" borderId="0" xfId="48" applyNumberFormat="1" applyFont="1"/>
    <xf numFmtId="166" fontId="128" fillId="0" borderId="0" xfId="48" applyNumberFormat="1" applyFont="1"/>
    <xf numFmtId="0" fontId="129" fillId="0" borderId="0" xfId="48" applyFont="1"/>
    <xf numFmtId="1" fontId="107" fillId="0" borderId="0" xfId="48" applyNumberFormat="1" applyFont="1" applyAlignment="1">
      <alignment horizontal="center"/>
    </xf>
    <xf numFmtId="0" fontId="130" fillId="0" borderId="0" xfId="48" applyFont="1"/>
    <xf numFmtId="167" fontId="37" fillId="0" borderId="0" xfId="48" applyNumberFormat="1" applyFont="1"/>
    <xf numFmtId="167" fontId="32" fillId="0" borderId="0" xfId="48" applyNumberFormat="1" applyFont="1"/>
    <xf numFmtId="0" fontId="104" fillId="0" borderId="0" xfId="48" applyFont="1"/>
    <xf numFmtId="0" fontId="68" fillId="0" borderId="0" xfId="48"/>
    <xf numFmtId="0" fontId="68" fillId="0" borderId="89" xfId="48" applyBorder="1" applyAlignment="1">
      <alignment horizontal="center"/>
    </xf>
    <xf numFmtId="0" fontId="68" fillId="0" borderId="89" xfId="48" applyBorder="1"/>
    <xf numFmtId="0" fontId="68" fillId="0" borderId="0" xfId="48" applyBorder="1" applyAlignment="1">
      <alignment horizontal="center"/>
    </xf>
    <xf numFmtId="0" fontId="68" fillId="0" borderId="94" xfId="48" applyBorder="1"/>
    <xf numFmtId="0" fontId="68" fillId="0" borderId="85" xfId="48" applyBorder="1"/>
    <xf numFmtId="0" fontId="68" fillId="0" borderId="95" xfId="48" applyBorder="1"/>
    <xf numFmtId="0" fontId="68" fillId="0" borderId="87" xfId="48" applyBorder="1"/>
    <xf numFmtId="0" fontId="104" fillId="0" borderId="0" xfId="48" applyFont="1" applyAlignment="1">
      <alignment horizontal="center"/>
    </xf>
    <xf numFmtId="1" fontId="68" fillId="0" borderId="0" xfId="48" applyNumberFormat="1"/>
    <xf numFmtId="1" fontId="117" fillId="0" borderId="0" xfId="48" applyNumberFormat="1" applyFont="1"/>
    <xf numFmtId="2" fontId="68" fillId="0" borderId="0" xfId="48" applyNumberFormat="1"/>
    <xf numFmtId="2" fontId="106" fillId="0" borderId="0" xfId="48" applyNumberFormat="1" applyFont="1"/>
    <xf numFmtId="0" fontId="68" fillId="0" borderId="0" xfId="48" applyAlignment="1">
      <alignment horizontal="center"/>
    </xf>
    <xf numFmtId="166" fontId="68" fillId="0" borderId="0" xfId="48" applyNumberFormat="1"/>
    <xf numFmtId="167" fontId="68" fillId="0" borderId="0" xfId="48" applyNumberFormat="1"/>
    <xf numFmtId="0" fontId="80" fillId="0" borderId="0" xfId="48" applyFont="1" applyAlignment="1">
      <alignment horizontal="centerContinuous"/>
    </xf>
    <xf numFmtId="0" fontId="131" fillId="0" borderId="0" xfId="48" applyFont="1" applyAlignment="1">
      <alignment horizontal="centerContinuous"/>
    </xf>
    <xf numFmtId="0" fontId="131" fillId="0" borderId="0" xfId="48" applyFont="1" applyAlignment="1"/>
    <xf numFmtId="0" fontId="131" fillId="0" borderId="0" xfId="48" applyFont="1"/>
    <xf numFmtId="0" fontId="80" fillId="0" borderId="0" xfId="48" applyFont="1" applyBorder="1" applyAlignment="1">
      <alignment horizontal="centerContinuous"/>
    </xf>
    <xf numFmtId="0" fontId="131" fillId="0" borderId="0" xfId="48" applyFont="1" applyBorder="1" applyAlignment="1">
      <alignment horizontal="centerContinuous"/>
    </xf>
    <xf numFmtId="0" fontId="131" fillId="0" borderId="0" xfId="48" applyFont="1" applyBorder="1" applyAlignment="1"/>
    <xf numFmtId="0" fontId="131" fillId="0" borderId="0" xfId="48" applyFont="1" applyBorder="1"/>
    <xf numFmtId="0" fontId="80" fillId="0" borderId="70" xfId="48" applyFont="1" applyBorder="1" applyAlignment="1">
      <alignment horizontal="center"/>
    </xf>
    <xf numFmtId="0" fontId="80" fillId="0" borderId="74" xfId="48" applyFont="1" applyBorder="1" applyAlignment="1">
      <alignment horizontal="centerContinuous"/>
    </xf>
    <xf numFmtId="0" fontId="80" fillId="0" borderId="58" xfId="48" applyFont="1" applyBorder="1" applyAlignment="1">
      <alignment horizontal="centerContinuous"/>
    </xf>
    <xf numFmtId="0" fontId="131" fillId="0" borderId="96" xfId="48" applyFont="1" applyBorder="1" applyAlignment="1">
      <alignment horizontal="centerContinuous"/>
    </xf>
    <xf numFmtId="0" fontId="132" fillId="0" borderId="74" xfId="48" applyFont="1" applyBorder="1" applyAlignment="1">
      <alignment horizontal="centerContinuous"/>
    </xf>
    <xf numFmtId="0" fontId="132" fillId="0" borderId="58" xfId="48" applyFont="1" applyBorder="1" applyAlignment="1">
      <alignment horizontal="centerContinuous"/>
    </xf>
    <xf numFmtId="0" fontId="131" fillId="0" borderId="58" xfId="48" applyFont="1" applyBorder="1" applyAlignment="1">
      <alignment horizontal="centerContinuous"/>
    </xf>
    <xf numFmtId="0" fontId="80" fillId="0" borderId="71" xfId="48" applyFont="1" applyBorder="1" applyAlignment="1">
      <alignment horizontal="center"/>
    </xf>
    <xf numFmtId="0" fontId="132" fillId="0" borderId="60" xfId="48" applyFont="1" applyBorder="1" applyAlignment="1">
      <alignment horizontal="center"/>
    </xf>
    <xf numFmtId="0" fontId="132" fillId="0" borderId="62" xfId="48" applyFont="1" applyBorder="1" applyAlignment="1">
      <alignment horizontal="center"/>
    </xf>
    <xf numFmtId="0" fontId="133" fillId="0" borderId="62" xfId="48" applyFont="1" applyBorder="1" applyAlignment="1">
      <alignment horizontal="center"/>
    </xf>
    <xf numFmtId="0" fontId="132" fillId="0" borderId="78" xfId="48" applyFont="1" applyBorder="1" applyAlignment="1">
      <alignment horizontal="center"/>
    </xf>
    <xf numFmtId="0" fontId="133" fillId="0" borderId="78" xfId="48" applyFont="1" applyBorder="1" applyAlignment="1">
      <alignment horizontal="center"/>
    </xf>
    <xf numFmtId="0" fontId="131" fillId="0" borderId="97" xfId="48" applyFont="1" applyBorder="1"/>
    <xf numFmtId="0" fontId="131" fillId="0" borderId="98" xfId="48" applyFont="1" applyBorder="1"/>
    <xf numFmtId="166" fontId="131" fillId="0" borderId="17" xfId="48" applyNumberFormat="1" applyFont="1" applyBorder="1"/>
    <xf numFmtId="2" fontId="131" fillId="0" borderId="17" xfId="48" applyNumberFormat="1" applyFont="1" applyBorder="1"/>
    <xf numFmtId="3" fontId="131" fillId="0" borderId="17" xfId="48" applyNumberFormat="1" applyFont="1" applyBorder="1"/>
    <xf numFmtId="2" fontId="131" fillId="0" borderId="99" xfId="48" applyNumberFormat="1" applyFont="1" applyBorder="1"/>
    <xf numFmtId="0" fontId="131" fillId="0" borderId="17" xfId="48" applyFont="1" applyBorder="1"/>
    <xf numFmtId="166" fontId="131" fillId="0" borderId="17" xfId="48" applyNumberFormat="1" applyFont="1" applyBorder="1" applyAlignment="1">
      <alignment horizontal="right"/>
    </xf>
    <xf numFmtId="166" fontId="131" fillId="0" borderId="99" xfId="48" applyNumberFormat="1" applyFont="1" applyBorder="1"/>
    <xf numFmtId="2" fontId="131" fillId="0" borderId="17" xfId="48" applyNumberFormat="1" applyFont="1" applyBorder="1" applyAlignment="1">
      <alignment horizontal="right"/>
    </xf>
    <xf numFmtId="1" fontId="131" fillId="0" borderId="99" xfId="48" applyNumberFormat="1" applyFont="1" applyBorder="1"/>
    <xf numFmtId="167" fontId="131" fillId="0" borderId="99" xfId="48" applyNumberFormat="1" applyFont="1" applyBorder="1"/>
    <xf numFmtId="0" fontId="131" fillId="0" borderId="71" xfId="48" applyFont="1" applyBorder="1"/>
    <xf numFmtId="0" fontId="131" fillId="0" borderId="62" xfId="48" applyFont="1" applyBorder="1"/>
    <xf numFmtId="2" fontId="131" fillId="0" borderId="62" xfId="48" applyNumberFormat="1" applyFont="1" applyBorder="1"/>
    <xf numFmtId="3" fontId="131" fillId="0" borderId="62" xfId="48" applyNumberFormat="1" applyFont="1" applyBorder="1"/>
    <xf numFmtId="2" fontId="131" fillId="0" borderId="78" xfId="48" applyNumberFormat="1" applyFont="1" applyBorder="1"/>
    <xf numFmtId="0" fontId="131" fillId="0" borderId="60" xfId="48" applyFont="1" applyBorder="1"/>
    <xf numFmtId="166" fontId="131" fillId="0" borderId="62" xfId="48" applyNumberFormat="1" applyFont="1" applyBorder="1" applyAlignment="1">
      <alignment horizontal="right"/>
    </xf>
    <xf numFmtId="167" fontId="131" fillId="0" borderId="78" xfId="48" applyNumberFormat="1" applyFont="1" applyBorder="1"/>
    <xf numFmtId="0" fontId="132" fillId="0" borderId="62" xfId="48" applyFont="1" applyBorder="1" applyAlignment="1">
      <alignment horizontal="centerContinuous"/>
    </xf>
    <xf numFmtId="0" fontId="131" fillId="0" borderId="82" xfId="48" applyFont="1" applyBorder="1" applyAlignment="1">
      <alignment horizontal="centerContinuous"/>
    </xf>
    <xf numFmtId="166" fontId="131" fillId="0" borderId="98" xfId="48" applyNumberFormat="1" applyFont="1" applyBorder="1"/>
    <xf numFmtId="172" fontId="131" fillId="0" borderId="17" xfId="48" applyNumberFormat="1" applyFont="1" applyBorder="1"/>
    <xf numFmtId="4" fontId="131" fillId="0" borderId="17" xfId="48" applyNumberFormat="1" applyFont="1" applyBorder="1"/>
    <xf numFmtId="4" fontId="131" fillId="0" borderId="17" xfId="48" applyNumberFormat="1" applyFont="1" applyBorder="1" applyAlignment="1">
      <alignment horizontal="centerContinuous"/>
    </xf>
    <xf numFmtId="4" fontId="131" fillId="0" borderId="99" xfId="48" applyNumberFormat="1" applyFont="1" applyBorder="1" applyAlignment="1">
      <alignment horizontal="centerContinuous"/>
    </xf>
    <xf numFmtId="166" fontId="131" fillId="0" borderId="60" xfId="48" applyNumberFormat="1" applyFont="1" applyBorder="1"/>
    <xf numFmtId="166" fontId="131" fillId="0" borderId="62" xfId="48" applyNumberFormat="1" applyFont="1" applyBorder="1"/>
    <xf numFmtId="172" fontId="131" fillId="0" borderId="62" xfId="48" applyNumberFormat="1" applyFont="1" applyBorder="1"/>
    <xf numFmtId="4" fontId="131" fillId="0" borderId="62" xfId="48" applyNumberFormat="1" applyFont="1" applyBorder="1"/>
    <xf numFmtId="4" fontId="131" fillId="0" borderId="78" xfId="48" applyNumberFormat="1" applyFont="1" applyBorder="1" applyAlignment="1">
      <alignment horizontal="centerContinuous"/>
    </xf>
    <xf numFmtId="166" fontId="131" fillId="0" borderId="0" xfId="48" applyNumberFormat="1" applyFont="1" applyBorder="1"/>
    <xf numFmtId="2" fontId="131" fillId="0" borderId="0" xfId="48" applyNumberFormat="1" applyFont="1" applyBorder="1"/>
    <xf numFmtId="3" fontId="131" fillId="0" borderId="0" xfId="48" applyNumberFormat="1" applyFont="1" applyBorder="1"/>
    <xf numFmtId="172" fontId="131" fillId="0" borderId="0" xfId="48" applyNumberFormat="1" applyFont="1" applyBorder="1"/>
    <xf numFmtId="4" fontId="131" fillId="0" borderId="0" xfId="48" applyNumberFormat="1" applyFont="1" applyBorder="1"/>
    <xf numFmtId="4" fontId="131" fillId="0" borderId="0" xfId="48" applyNumberFormat="1" applyFont="1" applyBorder="1" applyAlignment="1">
      <alignment horizontal="centerContinuous"/>
    </xf>
    <xf numFmtId="0" fontId="127" fillId="0" borderId="55" xfId="48" applyFont="1" applyBorder="1" applyAlignment="1">
      <alignment horizontal="centerContinuous"/>
    </xf>
    <xf numFmtId="0" fontId="131" fillId="0" borderId="4" xfId="48" applyFont="1" applyBorder="1" applyAlignment="1">
      <alignment horizontal="centerContinuous"/>
    </xf>
    <xf numFmtId="0" fontId="131" fillId="0" borderId="54" xfId="48" applyFont="1" applyBorder="1" applyAlignment="1">
      <alignment horizontal="centerContinuous"/>
    </xf>
    <xf numFmtId="0" fontId="132" fillId="0" borderId="79" xfId="48" applyFont="1" applyBorder="1" applyAlignment="1">
      <alignment horizontal="centerContinuous"/>
    </xf>
    <xf numFmtId="0" fontId="127" fillId="0" borderId="58" xfId="48" applyFont="1" applyBorder="1" applyAlignment="1">
      <alignment horizontal="centerContinuous"/>
    </xf>
    <xf numFmtId="0" fontId="131" fillId="0" borderId="58" xfId="48" applyFont="1" applyBorder="1"/>
    <xf numFmtId="0" fontId="132" fillId="0" borderId="96" xfId="48" applyFont="1" applyBorder="1" applyAlignment="1">
      <alignment horizontal="centerContinuous"/>
    </xf>
    <xf numFmtId="0" fontId="127" fillId="0" borderId="100" xfId="48" applyFont="1" applyBorder="1" applyAlignment="1">
      <alignment horizontal="center"/>
    </xf>
    <xf numFmtId="0" fontId="127" fillId="0" borderId="8" xfId="48" applyFont="1" applyBorder="1" applyAlignment="1">
      <alignment horizontal="center"/>
    </xf>
    <xf numFmtId="0" fontId="127" fillId="0" borderId="101" xfId="48" applyFont="1" applyBorder="1" applyAlignment="1">
      <alignment horizontal="center"/>
    </xf>
    <xf numFmtId="0" fontId="132" fillId="0" borderId="61" xfId="48" applyFont="1" applyBorder="1" applyAlignment="1">
      <alignment horizontal="center"/>
    </xf>
    <xf numFmtId="0" fontId="127" fillId="0" borderId="60" xfId="48" applyFont="1" applyBorder="1" applyAlignment="1">
      <alignment horizontal="center"/>
    </xf>
    <xf numFmtId="0" fontId="127" fillId="0" borderId="61" xfId="48" applyFont="1" applyBorder="1" applyAlignment="1">
      <alignment horizontal="center"/>
    </xf>
    <xf numFmtId="0" fontId="127" fillId="0" borderId="82" xfId="48" applyFont="1" applyBorder="1" applyAlignment="1">
      <alignment horizontal="center"/>
    </xf>
    <xf numFmtId="172" fontId="131" fillId="0" borderId="98" xfId="48" applyNumberFormat="1" applyFont="1" applyBorder="1"/>
    <xf numFmtId="172" fontId="131" fillId="0" borderId="16" xfId="48" applyNumberFormat="1" applyFont="1" applyBorder="1"/>
    <xf numFmtId="185" fontId="132" fillId="0" borderId="17" xfId="48" applyNumberFormat="1" applyFont="1" applyBorder="1"/>
    <xf numFmtId="3" fontId="131" fillId="0" borderId="99" xfId="48" applyNumberFormat="1" applyFont="1" applyBorder="1"/>
    <xf numFmtId="9" fontId="127" fillId="0" borderId="57" xfId="48" applyNumberFormat="1" applyFont="1" applyBorder="1"/>
    <xf numFmtId="1" fontId="131" fillId="0" borderId="80" xfId="48" applyNumberFormat="1" applyFont="1" applyBorder="1"/>
    <xf numFmtId="0" fontId="131" fillId="0" borderId="81" xfId="48" applyFont="1" applyBorder="1"/>
    <xf numFmtId="9" fontId="127" fillId="0" borderId="100" xfId="48" applyNumberFormat="1" applyFont="1" applyBorder="1"/>
    <xf numFmtId="1" fontId="131" fillId="0" borderId="8" xfId="48" applyNumberFormat="1" applyFont="1" applyBorder="1"/>
    <xf numFmtId="0" fontId="131" fillId="0" borderId="101" xfId="48" applyFont="1" applyBorder="1"/>
    <xf numFmtId="9" fontId="127" fillId="0" borderId="98" xfId="48" applyNumberFormat="1" applyFont="1" applyBorder="1"/>
    <xf numFmtId="1" fontId="131" fillId="0" borderId="16" xfId="48" applyNumberFormat="1" applyFont="1" applyBorder="1"/>
    <xf numFmtId="0" fontId="131" fillId="0" borderId="102" xfId="48" applyFont="1" applyBorder="1"/>
    <xf numFmtId="172" fontId="131" fillId="0" borderId="60" xfId="48" applyNumberFormat="1" applyFont="1" applyBorder="1"/>
    <xf numFmtId="172" fontId="131" fillId="0" borderId="61" xfId="48" applyNumberFormat="1" applyFont="1" applyBorder="1"/>
    <xf numFmtId="185" fontId="132" fillId="0" borderId="62" xfId="48" applyNumberFormat="1" applyFont="1" applyBorder="1"/>
    <xf numFmtId="3" fontId="131" fillId="0" borderId="78" xfId="48" applyNumberFormat="1" applyFont="1" applyBorder="1"/>
    <xf numFmtId="9" fontId="127" fillId="0" borderId="60" xfId="48" applyNumberFormat="1" applyFont="1" applyBorder="1"/>
    <xf numFmtId="166" fontId="131" fillId="0" borderId="61" xfId="48" applyNumberFormat="1" applyFont="1" applyBorder="1"/>
    <xf numFmtId="0" fontId="131" fillId="0" borderId="82" xfId="48" applyFont="1" applyBorder="1"/>
    <xf numFmtId="0" fontId="131" fillId="0" borderId="16" xfId="48" applyFont="1" applyBorder="1"/>
    <xf numFmtId="2" fontId="85" fillId="0" borderId="58" xfId="48" applyNumberFormat="1" applyFont="1" applyBorder="1"/>
    <xf numFmtId="0" fontId="131" fillId="0" borderId="61" xfId="48" applyFont="1" applyBorder="1"/>
    <xf numFmtId="0" fontId="131" fillId="0" borderId="29" xfId="48" applyFont="1" applyBorder="1"/>
    <xf numFmtId="0" fontId="104" fillId="0" borderId="0" xfId="48" applyFont="1" applyAlignment="1">
      <alignment horizontal="right"/>
    </xf>
    <xf numFmtId="2" fontId="68" fillId="0" borderId="0" xfId="48" applyNumberFormat="1" applyAlignment="1">
      <alignment horizontal="center"/>
    </xf>
    <xf numFmtId="1" fontId="68" fillId="0" borderId="0" xfId="48" applyNumberFormat="1" applyAlignment="1">
      <alignment horizontal="center"/>
    </xf>
    <xf numFmtId="171" fontId="68" fillId="0" borderId="0" xfId="48" applyNumberFormat="1" applyAlignment="1">
      <alignment horizontal="center"/>
    </xf>
    <xf numFmtId="167" fontId="68" fillId="0" borderId="0" xfId="48" applyNumberFormat="1" applyAlignment="1">
      <alignment horizontal="center"/>
    </xf>
    <xf numFmtId="2" fontId="117" fillId="0" borderId="0" xfId="48" applyNumberFormat="1" applyFont="1" applyAlignment="1">
      <alignment horizontal="center"/>
    </xf>
    <xf numFmtId="0" fontId="104" fillId="0" borderId="0" xfId="48" applyFont="1" applyBorder="1" applyAlignment="1">
      <alignment horizontal="center"/>
    </xf>
    <xf numFmtId="171" fontId="104" fillId="0" borderId="0" xfId="48" applyNumberFormat="1" applyFont="1" applyBorder="1" applyAlignment="1">
      <alignment horizontal="center"/>
    </xf>
    <xf numFmtId="167" fontId="104" fillId="0" borderId="0" xfId="48" applyNumberFormat="1" applyFont="1" applyBorder="1"/>
    <xf numFmtId="171" fontId="68" fillId="0" borderId="0" xfId="48" applyNumberFormat="1"/>
    <xf numFmtId="0" fontId="104" fillId="0" borderId="0" xfId="48" applyFont="1" applyAlignment="1">
      <alignment horizontal="left"/>
    </xf>
    <xf numFmtId="1" fontId="104" fillId="0" borderId="0" xfId="48" applyNumberFormat="1" applyFont="1" applyAlignment="1">
      <alignment horizontal="left"/>
    </xf>
    <xf numFmtId="166" fontId="68" fillId="0" borderId="0" xfId="48" applyNumberFormat="1" applyAlignment="1">
      <alignment horizontal="center"/>
    </xf>
    <xf numFmtId="167" fontId="106" fillId="0" borderId="0" xfId="48" applyNumberFormat="1" applyFont="1" applyAlignment="1">
      <alignment horizontal="center"/>
    </xf>
    <xf numFmtId="166" fontId="104" fillId="0" borderId="0" xfId="48" applyNumberFormat="1" applyFont="1" applyAlignment="1">
      <alignment horizontal="center"/>
    </xf>
    <xf numFmtId="2" fontId="106" fillId="0" borderId="0" xfId="48" applyNumberFormat="1" applyFont="1" applyAlignment="1">
      <alignment horizontal="center"/>
    </xf>
    <xf numFmtId="0" fontId="106" fillId="0" borderId="0" xfId="48" applyFont="1" applyAlignment="1">
      <alignment horizontal="center"/>
    </xf>
    <xf numFmtId="166" fontId="106" fillId="0" borderId="0" xfId="48" applyNumberFormat="1" applyFont="1" applyAlignment="1">
      <alignment horizontal="center"/>
    </xf>
    <xf numFmtId="184" fontId="106" fillId="0" borderId="0" xfId="48" applyNumberFormat="1" applyFont="1" applyAlignment="1">
      <alignment horizontal="center"/>
    </xf>
    <xf numFmtId="186" fontId="68" fillId="0" borderId="0" xfId="48" applyNumberFormat="1"/>
    <xf numFmtId="166" fontId="104" fillId="0" borderId="0" xfId="48" applyNumberFormat="1" applyFont="1"/>
    <xf numFmtId="186" fontId="106" fillId="0" borderId="0" xfId="48" applyNumberFormat="1" applyFont="1" applyAlignment="1">
      <alignment horizontal="center"/>
    </xf>
    <xf numFmtId="0" fontId="134" fillId="0" borderId="0" xfId="48" applyFont="1" applyBorder="1"/>
    <xf numFmtId="0" fontId="135" fillId="0" borderId="0" xfId="48" applyFont="1" applyBorder="1" applyAlignment="1">
      <alignment horizontal="centerContinuous"/>
    </xf>
    <xf numFmtId="0" fontId="134" fillId="0" borderId="0" xfId="48" applyFont="1" applyBorder="1" applyAlignment="1">
      <alignment horizontal="centerContinuous"/>
    </xf>
    <xf numFmtId="2" fontId="134" fillId="0" borderId="0" xfId="48" applyNumberFormat="1" applyFont="1" applyBorder="1" applyAlignment="1">
      <alignment horizontal="centerContinuous"/>
    </xf>
    <xf numFmtId="0" fontId="135" fillId="0" borderId="0" xfId="48" applyFont="1" applyBorder="1" applyAlignment="1">
      <alignment horizontal="center"/>
    </xf>
    <xf numFmtId="2" fontId="135" fillId="0" borderId="0" xfId="48" applyNumberFormat="1" applyFont="1" applyBorder="1" applyAlignment="1">
      <alignment horizontal="centerContinuous"/>
    </xf>
    <xf numFmtId="1" fontId="135" fillId="0" borderId="0" xfId="48" applyNumberFormat="1" applyFont="1" applyBorder="1"/>
    <xf numFmtId="3" fontId="135" fillId="0" borderId="0" xfId="48" applyNumberFormat="1" applyFont="1" applyBorder="1"/>
    <xf numFmtId="166" fontId="135" fillId="0" borderId="0" xfId="48" applyNumberFormat="1" applyFont="1" applyBorder="1"/>
    <xf numFmtId="0" fontId="135" fillId="0" borderId="0" xfId="48" applyFont="1" applyAlignment="1">
      <alignment horizontal="right"/>
    </xf>
    <xf numFmtId="0" fontId="135" fillId="0" borderId="0" xfId="48" applyFont="1" applyBorder="1"/>
    <xf numFmtId="2" fontId="134" fillId="0" borderId="0" xfId="48" applyNumberFormat="1" applyFont="1" applyBorder="1"/>
    <xf numFmtId="0" fontId="88" fillId="0" borderId="0" xfId="48" applyFont="1" applyBorder="1" applyAlignment="1">
      <alignment horizontal="centerContinuous"/>
    </xf>
    <xf numFmtId="0" fontId="85" fillId="0" borderId="0" xfId="48" applyFont="1" applyBorder="1" applyAlignment="1">
      <alignment horizontal="centerContinuous"/>
    </xf>
    <xf numFmtId="0" fontId="85" fillId="0" borderId="0" xfId="48" applyFont="1"/>
    <xf numFmtId="0" fontId="85" fillId="0" borderId="0" xfId="48" applyFont="1" applyAlignment="1">
      <alignment horizontal="center"/>
    </xf>
    <xf numFmtId="0" fontId="136" fillId="0" borderId="0" xfId="48" applyFont="1" applyBorder="1" applyAlignment="1">
      <alignment horizontal="centerContinuous"/>
    </xf>
    <xf numFmtId="1" fontId="110" fillId="0" borderId="0" xfId="48" applyNumberFormat="1" applyFont="1" applyBorder="1"/>
    <xf numFmtId="3" fontId="110" fillId="0" borderId="0" xfId="48" applyNumberFormat="1" applyFont="1" applyBorder="1"/>
    <xf numFmtId="166" fontId="110" fillId="0" borderId="0" xfId="48" applyNumberFormat="1" applyFont="1" applyBorder="1"/>
    <xf numFmtId="0" fontId="110" fillId="0" borderId="0" xfId="48" applyFont="1" applyAlignment="1">
      <alignment horizontal="right"/>
    </xf>
    <xf numFmtId="0" fontId="110" fillId="0" borderId="0" xfId="48" applyFont="1" applyBorder="1"/>
    <xf numFmtId="2" fontId="136" fillId="0" borderId="0" xfId="48" applyNumberFormat="1" applyFont="1" applyBorder="1"/>
    <xf numFmtId="0" fontId="136" fillId="0" borderId="0" xfId="48" applyFont="1" applyBorder="1"/>
    <xf numFmtId="0" fontId="110" fillId="0" borderId="6" xfId="48" applyFont="1" applyBorder="1" applyAlignment="1">
      <alignment horizontal="center"/>
    </xf>
    <xf numFmtId="0" fontId="88" fillId="0" borderId="91" xfId="48" applyFont="1" applyBorder="1" applyAlignment="1">
      <alignment horizontal="centerContinuous"/>
    </xf>
    <xf numFmtId="0" fontId="84" fillId="0" borderId="91" xfId="48" applyFont="1" applyBorder="1" applyAlignment="1">
      <alignment horizontal="centerContinuous"/>
    </xf>
    <xf numFmtId="0" fontId="84" fillId="0" borderId="91" xfId="48" applyFont="1" applyBorder="1" applyAlignment="1">
      <alignment horizontal="center"/>
    </xf>
    <xf numFmtId="0" fontId="84" fillId="0" borderId="81" xfId="48" applyFont="1" applyBorder="1" applyAlignment="1">
      <alignment horizontal="center"/>
    </xf>
    <xf numFmtId="0" fontId="110" fillId="0" borderId="69" xfId="48" applyFont="1" applyBorder="1" applyAlignment="1">
      <alignment horizontal="center"/>
    </xf>
    <xf numFmtId="0" fontId="88" fillId="0" borderId="7" xfId="48" applyFont="1" applyBorder="1" applyAlignment="1">
      <alignment horizontal="center"/>
    </xf>
    <xf numFmtId="0" fontId="84" fillId="0" borderId="7" xfId="48" applyFont="1" applyBorder="1" applyAlignment="1">
      <alignment horizontal="center"/>
    </xf>
    <xf numFmtId="0" fontId="84" fillId="0" borderId="82" xfId="48" applyFont="1" applyBorder="1" applyAlignment="1">
      <alignment horizontal="center"/>
    </xf>
    <xf numFmtId="0" fontId="110" fillId="0" borderId="0" xfId="48" applyFont="1" applyBorder="1" applyAlignment="1">
      <alignment horizontal="center"/>
    </xf>
    <xf numFmtId="0" fontId="88" fillId="0" borderId="17" xfId="48" applyFont="1" applyBorder="1" applyAlignment="1">
      <alignment horizontal="centerContinuous"/>
    </xf>
    <xf numFmtId="0" fontId="85" fillId="0" borderId="0" xfId="48" applyFont="1" applyBorder="1" applyAlignment="1">
      <alignment horizontal="right"/>
    </xf>
    <xf numFmtId="2" fontId="85" fillId="0" borderId="0" xfId="48" applyNumberFormat="1" applyFont="1" applyBorder="1"/>
    <xf numFmtId="0" fontId="85" fillId="0" borderId="0" xfId="48" applyFont="1" applyBorder="1"/>
    <xf numFmtId="0" fontId="85" fillId="0" borderId="70" xfId="48" applyFont="1" applyBorder="1"/>
    <xf numFmtId="0" fontId="85" fillId="0" borderId="0" xfId="48" applyFont="1" applyAlignment="1">
      <alignment horizontal="right"/>
    </xf>
    <xf numFmtId="0" fontId="88" fillId="0" borderId="41" xfId="48" applyFont="1" applyBorder="1" applyAlignment="1">
      <alignment horizontal="center"/>
    </xf>
    <xf numFmtId="0" fontId="88" fillId="0" borderId="5" xfId="48" applyFont="1" applyBorder="1" applyAlignment="1">
      <alignment horizontal="center"/>
    </xf>
    <xf numFmtId="0" fontId="136" fillId="0" borderId="0" xfId="48" applyFont="1" applyBorder="1" applyAlignment="1">
      <alignment horizontal="left"/>
    </xf>
    <xf numFmtId="0" fontId="85" fillId="0" borderId="71" xfId="48" applyFont="1" applyBorder="1"/>
    <xf numFmtId="2" fontId="110" fillId="0" borderId="0" xfId="48" applyNumberFormat="1" applyFont="1" applyBorder="1" applyAlignment="1">
      <alignment horizontal="centerContinuous"/>
    </xf>
    <xf numFmtId="2" fontId="136" fillId="0" borderId="0" xfId="48" applyNumberFormat="1" applyFont="1" applyBorder="1" applyAlignment="1">
      <alignment horizontal="center"/>
    </xf>
    <xf numFmtId="2" fontId="136" fillId="0" borderId="0" xfId="48" applyNumberFormat="1" applyFont="1" applyBorder="1" applyAlignment="1">
      <alignment horizontal="centerContinuous"/>
    </xf>
    <xf numFmtId="0" fontId="110" fillId="0" borderId="0" xfId="48" applyFont="1" applyBorder="1" applyAlignment="1">
      <alignment horizontal="centerContinuous"/>
    </xf>
    <xf numFmtId="0" fontId="136" fillId="0" borderId="6" xfId="48" applyFont="1" applyBorder="1" applyAlignment="1">
      <alignment horizontal="centerContinuous"/>
    </xf>
    <xf numFmtId="0" fontId="136" fillId="0" borderId="91" xfId="48" applyFont="1" applyBorder="1" applyAlignment="1">
      <alignment horizontal="centerContinuous"/>
    </xf>
    <xf numFmtId="0" fontId="136" fillId="0" borderId="81" xfId="48" applyFont="1" applyBorder="1" applyAlignment="1">
      <alignment horizontal="centerContinuous"/>
    </xf>
    <xf numFmtId="2" fontId="136" fillId="0" borderId="0" xfId="48" applyNumberFormat="1" applyFont="1" applyBorder="1" applyAlignment="1">
      <alignment horizontal="left"/>
    </xf>
    <xf numFmtId="0" fontId="136" fillId="0" borderId="103" xfId="48" applyFont="1" applyBorder="1" applyAlignment="1">
      <alignment horizontal="centerContinuous"/>
    </xf>
    <xf numFmtId="0" fontId="136" fillId="0" borderId="101" xfId="48" applyFont="1" applyBorder="1" applyAlignment="1">
      <alignment horizontal="centerContinuous"/>
    </xf>
    <xf numFmtId="2" fontId="110" fillId="0" borderId="0" xfId="48" applyNumberFormat="1" applyFont="1" applyBorder="1" applyAlignment="1">
      <alignment horizontal="left"/>
    </xf>
    <xf numFmtId="0" fontId="136" fillId="0" borderId="69" xfId="48" applyFont="1" applyBorder="1" applyAlignment="1">
      <alignment horizontal="center"/>
    </xf>
    <xf numFmtId="0" fontId="136" fillId="0" borderId="7" xfId="48" applyFont="1" applyBorder="1" applyAlignment="1">
      <alignment horizontal="center"/>
    </xf>
    <xf numFmtId="0" fontId="136" fillId="0" borderId="82" xfId="48" applyFont="1" applyBorder="1" applyAlignment="1">
      <alignment horizontal="center"/>
    </xf>
    <xf numFmtId="0" fontId="110" fillId="0" borderId="0" xfId="48" applyFont="1" applyBorder="1" applyAlignment="1">
      <alignment horizontal="left"/>
    </xf>
    <xf numFmtId="0" fontId="82" fillId="0" borderId="0" xfId="48" applyFont="1" applyBorder="1" applyAlignment="1">
      <alignment horizontal="left"/>
    </xf>
    <xf numFmtId="0" fontId="82" fillId="0" borderId="0" xfId="48" applyFont="1" applyBorder="1" applyAlignment="1">
      <alignment horizontal="center"/>
    </xf>
    <xf numFmtId="0" fontId="82" fillId="0" borderId="0" xfId="48" applyFont="1" applyBorder="1" applyAlignment="1">
      <alignment horizontal="centerContinuous"/>
    </xf>
    <xf numFmtId="0" fontId="82" fillId="0" borderId="0" xfId="48" applyFont="1" applyBorder="1" applyAlignment="1">
      <alignment horizontal="right"/>
    </xf>
    <xf numFmtId="0" fontId="82" fillId="0" borderId="0" xfId="48" applyFont="1" applyBorder="1" applyAlignment="1"/>
    <xf numFmtId="0" fontId="83" fillId="0" borderId="0" xfId="48" applyFont="1" applyBorder="1"/>
    <xf numFmtId="0" fontId="137" fillId="0" borderId="0" xfId="48" applyFont="1" applyBorder="1"/>
    <xf numFmtId="0" fontId="82" fillId="0" borderId="0" xfId="48" applyFont="1" applyBorder="1"/>
    <xf numFmtId="0" fontId="68" fillId="0" borderId="0" xfId="48" applyBorder="1"/>
    <xf numFmtId="0" fontId="88" fillId="0" borderId="57" xfId="48" applyFont="1" applyBorder="1" applyAlignment="1">
      <alignment horizontal="center"/>
    </xf>
    <xf numFmtId="0" fontId="88" fillId="0" borderId="58" xfId="48" applyFont="1" applyBorder="1" applyAlignment="1">
      <alignment horizontal="left"/>
    </xf>
    <xf numFmtId="0" fontId="89" fillId="0" borderId="59" xfId="48" applyFont="1" applyBorder="1" applyAlignment="1">
      <alignment horizontal="centerContinuous"/>
    </xf>
    <xf numFmtId="0" fontId="88" fillId="0" borderId="59" xfId="48" applyFont="1" applyBorder="1" applyAlignment="1">
      <alignment horizontal="centerContinuous"/>
    </xf>
    <xf numFmtId="0" fontId="88" fillId="0" borderId="59" xfId="48" applyFont="1" applyBorder="1" applyAlignment="1">
      <alignment horizontal="left"/>
    </xf>
    <xf numFmtId="0" fontId="88" fillId="0" borderId="59" xfId="48" applyFont="1" applyBorder="1" applyAlignment="1">
      <alignment horizontal="center"/>
    </xf>
    <xf numFmtId="0" fontId="88" fillId="0" borderId="58" xfId="48" applyFont="1" applyBorder="1" applyAlignment="1">
      <alignment horizontal="center"/>
    </xf>
    <xf numFmtId="0" fontId="88" fillId="0" borderId="79" xfId="48" applyFont="1" applyBorder="1" applyAlignment="1">
      <alignment horizontal="centerContinuous"/>
    </xf>
    <xf numFmtId="0" fontId="88" fillId="0" borderId="79" xfId="48" applyFont="1" applyBorder="1" applyAlignment="1">
      <alignment horizontal="center"/>
    </xf>
    <xf numFmtId="0" fontId="88" fillId="0" borderId="104" xfId="48" applyFont="1" applyBorder="1" applyAlignment="1">
      <alignment horizontal="centerContinuous"/>
    </xf>
    <xf numFmtId="0" fontId="88" fillId="0" borderId="100" xfId="48" applyFont="1" applyBorder="1" applyAlignment="1">
      <alignment horizontal="center"/>
    </xf>
    <xf numFmtId="0" fontId="88" fillId="0" borderId="8" xfId="48" applyFont="1" applyBorder="1" applyAlignment="1">
      <alignment horizontal="center"/>
    </xf>
    <xf numFmtId="0" fontId="88" fillId="0" borderId="8" xfId="48" applyFont="1" applyBorder="1" applyAlignment="1">
      <alignment horizontal="centerContinuous"/>
    </xf>
    <xf numFmtId="0" fontId="89" fillId="0" borderId="8" xfId="48" applyFont="1" applyBorder="1" applyAlignment="1">
      <alignment horizontal="centerContinuous"/>
    </xf>
    <xf numFmtId="0" fontId="88" fillId="0" borderId="29" xfId="48" applyFont="1" applyBorder="1" applyAlignment="1">
      <alignment horizontal="left"/>
    </xf>
    <xf numFmtId="0" fontId="88" fillId="0" borderId="29" xfId="48" applyFont="1" applyBorder="1" applyAlignment="1">
      <alignment horizontal="center"/>
    </xf>
    <xf numFmtId="0" fontId="84" fillId="0" borderId="0" xfId="48" applyFont="1" applyBorder="1" applyAlignment="1"/>
    <xf numFmtId="0" fontId="84" fillId="0" borderId="0" xfId="48" applyFont="1" applyBorder="1" applyAlignment="1">
      <alignment horizontal="center"/>
    </xf>
    <xf numFmtId="0" fontId="88" fillId="0" borderId="101" xfId="48" applyFont="1" applyBorder="1" applyAlignment="1">
      <alignment horizontal="centerContinuous"/>
    </xf>
    <xf numFmtId="0" fontId="88" fillId="0" borderId="60" xfId="48" applyFont="1" applyBorder="1" applyAlignment="1">
      <alignment horizontal="center"/>
    </xf>
    <xf numFmtId="0" fontId="88" fillId="0" borderId="61" xfId="48" applyFont="1" applyBorder="1" applyAlignment="1">
      <alignment horizontal="center"/>
    </xf>
    <xf numFmtId="0" fontId="88" fillId="0" borderId="62" xfId="48" applyFont="1" applyBorder="1" applyAlignment="1">
      <alignment horizontal="center"/>
    </xf>
    <xf numFmtId="0" fontId="88" fillId="0" borderId="62" xfId="48" applyFont="1" applyBorder="1" applyAlignment="1">
      <alignment horizontal="centerContinuous"/>
    </xf>
    <xf numFmtId="0" fontId="88" fillId="0" borderId="105" xfId="48" applyFont="1" applyBorder="1" applyAlignment="1">
      <alignment horizontal="center"/>
    </xf>
    <xf numFmtId="0" fontId="88" fillId="0" borderId="106" xfId="48" applyFont="1" applyBorder="1" applyAlignment="1">
      <alignment horizontal="center"/>
    </xf>
    <xf numFmtId="0" fontId="84" fillId="0" borderId="107" xfId="48" applyFont="1" applyBorder="1" applyAlignment="1">
      <alignment horizontal="center"/>
    </xf>
    <xf numFmtId="0" fontId="85" fillId="0" borderId="16" xfId="48" applyFont="1" applyBorder="1" applyAlignment="1">
      <alignment horizontal="center"/>
    </xf>
    <xf numFmtId="0" fontId="85" fillId="0" borderId="17" xfId="48" applyFont="1" applyBorder="1" applyAlignment="1">
      <alignment horizontal="center"/>
    </xf>
    <xf numFmtId="166" fontId="85" fillId="0" borderId="17" xfId="48" applyNumberFormat="1" applyFont="1" applyBorder="1" applyAlignment="1">
      <alignment horizontal="center"/>
    </xf>
    <xf numFmtId="1" fontId="85" fillId="0" borderId="17" xfId="48" applyNumberFormat="1" applyFont="1" applyBorder="1" applyAlignment="1">
      <alignment horizontal="center"/>
    </xf>
    <xf numFmtId="2" fontId="85" fillId="0" borderId="0" xfId="48" applyNumberFormat="1" applyFont="1" applyBorder="1" applyAlignment="1">
      <alignment horizontal="center"/>
    </xf>
    <xf numFmtId="1" fontId="85" fillId="0" borderId="17" xfId="48" applyNumberFormat="1" applyFont="1" applyBorder="1"/>
    <xf numFmtId="166" fontId="85" fillId="0" borderId="17" xfId="48" applyNumberFormat="1" applyFont="1" applyBorder="1"/>
    <xf numFmtId="2" fontId="85" fillId="0" borderId="17" xfId="48" applyNumberFormat="1" applyFont="1" applyBorder="1"/>
    <xf numFmtId="1" fontId="88" fillId="0" borderId="17" xfId="48" applyNumberFormat="1" applyFont="1" applyBorder="1"/>
    <xf numFmtId="166" fontId="88" fillId="0" borderId="17" xfId="48" applyNumberFormat="1" applyFont="1" applyBorder="1" applyAlignment="1">
      <alignment horizontal="center"/>
    </xf>
    <xf numFmtId="1" fontId="88" fillId="0" borderId="22" xfId="48" applyNumberFormat="1" applyFont="1" applyBorder="1"/>
    <xf numFmtId="0" fontId="88" fillId="0" borderId="0" xfId="48" applyFont="1" applyBorder="1"/>
    <xf numFmtId="0" fontId="84" fillId="0" borderId="64" xfId="48" applyFont="1" applyBorder="1" applyAlignment="1">
      <alignment horizontal="center"/>
    </xf>
    <xf numFmtId="0" fontId="85" fillId="0" borderId="27" xfId="48" applyFont="1" applyBorder="1" applyAlignment="1">
      <alignment horizontal="center"/>
    </xf>
    <xf numFmtId="166" fontId="85" fillId="0" borderId="65" xfId="48" applyNumberFormat="1" applyFont="1" applyBorder="1" applyAlignment="1">
      <alignment horizontal="center"/>
    </xf>
    <xf numFmtId="1" fontId="85" fillId="0" borderId="65" xfId="48" applyNumberFormat="1" applyFont="1" applyBorder="1" applyAlignment="1">
      <alignment horizontal="center"/>
    </xf>
    <xf numFmtId="0" fontId="85" fillId="0" borderId="65" xfId="48" applyFont="1" applyBorder="1" applyAlignment="1">
      <alignment horizontal="center"/>
    </xf>
    <xf numFmtId="2" fontId="85" fillId="0" borderId="65" xfId="48" applyNumberFormat="1" applyFont="1" applyBorder="1" applyAlignment="1">
      <alignment horizontal="center"/>
    </xf>
    <xf numFmtId="1" fontId="85" fillId="0" borderId="17" xfId="48" applyNumberFormat="1" applyFont="1" applyBorder="1" applyAlignment="1">
      <alignment horizontal="right"/>
    </xf>
    <xf numFmtId="1" fontId="85" fillId="0" borderId="65" xfId="48" applyNumberFormat="1" applyFont="1" applyBorder="1"/>
    <xf numFmtId="1" fontId="85" fillId="0" borderId="0" xfId="48" applyNumberFormat="1" applyFont="1" applyBorder="1"/>
    <xf numFmtId="0" fontId="88" fillId="0" borderId="80" xfId="48" applyFont="1" applyBorder="1" applyAlignment="1">
      <alignment horizontal="left"/>
    </xf>
    <xf numFmtId="2" fontId="85" fillId="0" borderId="17" xfId="48" applyNumberFormat="1" applyFont="1" applyBorder="1" applyAlignment="1">
      <alignment horizontal="centerContinuous"/>
    </xf>
    <xf numFmtId="0" fontId="85" fillId="0" borderId="17" xfId="48" applyFont="1" applyBorder="1" applyAlignment="1">
      <alignment horizontal="centerContinuous"/>
    </xf>
    <xf numFmtId="0" fontId="88" fillId="0" borderId="0" xfId="48" applyFont="1"/>
    <xf numFmtId="166" fontId="88" fillId="0" borderId="65" xfId="48" applyNumberFormat="1" applyFont="1" applyBorder="1" applyAlignment="1">
      <alignment horizontal="center"/>
    </xf>
    <xf numFmtId="1" fontId="85" fillId="0" borderId="65" xfId="48" applyNumberFormat="1" applyFont="1" applyBorder="1" applyAlignment="1">
      <alignment horizontal="right"/>
    </xf>
    <xf numFmtId="0" fontId="139" fillId="0" borderId="0" xfId="45" applyFont="1" applyAlignment="1">
      <alignment vertical="center"/>
    </xf>
    <xf numFmtId="0" fontId="75" fillId="0" borderId="0" xfId="45"/>
    <xf numFmtId="0" fontId="114" fillId="0" borderId="0" xfId="45" applyFont="1" applyAlignment="1"/>
    <xf numFmtId="0" fontId="114" fillId="0" borderId="43" xfId="45" applyFont="1" applyBorder="1"/>
    <xf numFmtId="0" fontId="114" fillId="0" borderId="0" xfId="45" applyFont="1"/>
    <xf numFmtId="0" fontId="107" fillId="0" borderId="0" xfId="45" applyFont="1" applyAlignment="1"/>
    <xf numFmtId="3" fontId="107" fillId="0" borderId="0" xfId="45" applyNumberFormat="1" applyFont="1" applyAlignment="1">
      <alignment horizontal="right"/>
    </xf>
    <xf numFmtId="2" fontId="107" fillId="0" borderId="0" xfId="45" applyNumberFormat="1" applyFont="1" applyAlignment="1">
      <alignment horizontal="right"/>
    </xf>
    <xf numFmtId="0" fontId="107" fillId="0" borderId="0" xfId="45" applyFont="1" applyAlignment="1">
      <alignment horizontal="right"/>
    </xf>
    <xf numFmtId="2" fontId="140" fillId="0" borderId="0" xfId="45" applyNumberFormat="1" applyFont="1"/>
    <xf numFmtId="0" fontId="141" fillId="0" borderId="0" xfId="45" applyFont="1" applyAlignment="1">
      <alignment horizontal="left"/>
    </xf>
    <xf numFmtId="0" fontId="75" fillId="0" borderId="0" xfId="45" applyAlignment="1">
      <alignment horizontal="center"/>
    </xf>
    <xf numFmtId="0" fontId="114" fillId="0" borderId="56" xfId="45" applyFont="1" applyBorder="1" applyAlignment="1">
      <alignment horizontal="center"/>
    </xf>
    <xf numFmtId="0" fontId="114" fillId="0" borderId="3" xfId="45" applyFont="1" applyBorder="1" applyAlignment="1">
      <alignment horizontal="center"/>
    </xf>
    <xf numFmtId="0" fontId="114" fillId="0" borderId="44" xfId="45" applyFont="1" applyBorder="1" applyAlignment="1">
      <alignment horizontal="center"/>
    </xf>
    <xf numFmtId="49" fontId="75" fillId="0" borderId="86" xfId="45" applyNumberFormat="1" applyBorder="1" applyAlignment="1">
      <alignment horizontal="center"/>
    </xf>
    <xf numFmtId="1" fontId="75" fillId="0" borderId="0" xfId="45" applyNumberFormat="1" applyBorder="1" applyAlignment="1">
      <alignment horizontal="center"/>
    </xf>
    <xf numFmtId="1" fontId="75" fillId="0" borderId="87" xfId="45" applyNumberFormat="1" applyBorder="1" applyAlignment="1">
      <alignment horizontal="center"/>
    </xf>
    <xf numFmtId="0" fontId="107" fillId="0" borderId="86" xfId="45" applyFont="1" applyBorder="1" applyAlignment="1">
      <alignment horizontal="center" vertical="center"/>
    </xf>
    <xf numFmtId="0" fontId="107" fillId="0" borderId="0" xfId="45" applyFont="1" applyBorder="1" applyAlignment="1">
      <alignment horizontal="center" vertical="center"/>
    </xf>
    <xf numFmtId="3" fontId="32" fillId="0" borderId="0" xfId="45" applyNumberFormat="1" applyFont="1" applyBorder="1" applyAlignment="1">
      <alignment horizontal="center" vertical="center"/>
    </xf>
    <xf numFmtId="3" fontId="32" fillId="0" borderId="0" xfId="45" applyNumberFormat="1" applyFont="1" applyBorder="1" applyAlignment="1">
      <alignment horizontal="center"/>
    </xf>
    <xf numFmtId="0" fontId="32" fillId="0" borderId="0" xfId="45" applyNumberFormat="1" applyFont="1" applyBorder="1" applyAlignment="1">
      <alignment horizontal="center" vertical="center"/>
    </xf>
    <xf numFmtId="0" fontId="107" fillId="0" borderId="88" xfId="45" applyFont="1" applyBorder="1" applyAlignment="1">
      <alignment horizontal="center" vertical="center"/>
    </xf>
    <xf numFmtId="0" fontId="107" fillId="0" borderId="89" xfId="45" applyFont="1" applyBorder="1" applyAlignment="1">
      <alignment horizontal="center" vertical="center"/>
    </xf>
    <xf numFmtId="3" fontId="32" fillId="0" borderId="89" xfId="45" applyNumberFormat="1" applyFont="1" applyBorder="1" applyAlignment="1">
      <alignment horizontal="center" vertical="center"/>
    </xf>
    <xf numFmtId="0" fontId="107" fillId="0" borderId="0" xfId="45" applyFont="1" applyBorder="1" applyAlignment="1">
      <alignment vertical="center"/>
    </xf>
    <xf numFmtId="4" fontId="114" fillId="0" borderId="0" xfId="45" applyNumberFormat="1" applyFont="1" applyBorder="1" applyAlignment="1">
      <alignment horizontal="center" vertical="center"/>
    </xf>
    <xf numFmtId="49" fontId="75" fillId="0" borderId="88" xfId="45" applyNumberFormat="1" applyBorder="1" applyAlignment="1">
      <alignment horizontal="center"/>
    </xf>
    <xf numFmtId="1" fontId="75" fillId="0" borderId="89" xfId="45" applyNumberFormat="1" applyBorder="1" applyAlignment="1">
      <alignment horizontal="center"/>
    </xf>
    <xf numFmtId="1" fontId="75" fillId="0" borderId="90" xfId="45" applyNumberFormat="1" applyBorder="1" applyAlignment="1">
      <alignment horizontal="center"/>
    </xf>
    <xf numFmtId="172" fontId="114" fillId="0" borderId="108" xfId="45" applyNumberFormat="1" applyFont="1" applyBorder="1" applyAlignment="1">
      <alignment horizontal="center" vertical="center"/>
    </xf>
    <xf numFmtId="172" fontId="114" fillId="0" borderId="109" xfId="45" applyNumberFormat="1" applyFont="1" applyBorder="1" applyAlignment="1">
      <alignment horizontal="center" vertical="center"/>
    </xf>
    <xf numFmtId="172" fontId="114" fillId="0" borderId="110" xfId="45" applyNumberFormat="1" applyFont="1" applyBorder="1" applyAlignment="1">
      <alignment horizontal="center" vertical="center"/>
    </xf>
    <xf numFmtId="0" fontId="114" fillId="0" borderId="83" xfId="45" applyFont="1" applyBorder="1" applyAlignment="1">
      <alignment horizontal="center"/>
    </xf>
    <xf numFmtId="0" fontId="114" fillId="0" borderId="85" xfId="45" applyFont="1" applyBorder="1" applyAlignment="1">
      <alignment horizontal="center"/>
    </xf>
    <xf numFmtId="49" fontId="107" fillId="0" borderId="0" xfId="45" applyNumberFormat="1" applyFont="1" applyAlignment="1"/>
    <xf numFmtId="0" fontId="107" fillId="0" borderId="86" xfId="45" applyFont="1" applyBorder="1" applyAlignment="1">
      <alignment horizontal="center"/>
    </xf>
    <xf numFmtId="0" fontId="107" fillId="0" borderId="87" xfId="45" applyFont="1" applyBorder="1" applyAlignment="1">
      <alignment horizontal="center"/>
    </xf>
    <xf numFmtId="0" fontId="107" fillId="0" borderId="0" xfId="45" applyFont="1"/>
    <xf numFmtId="0" fontId="107" fillId="0" borderId="0" xfId="45" applyFont="1" applyAlignment="1">
      <alignment horizontal="center"/>
    </xf>
    <xf numFmtId="0" fontId="75" fillId="0" borderId="86" xfId="45" applyBorder="1" applyAlignment="1">
      <alignment horizontal="center"/>
    </xf>
    <xf numFmtId="2" fontId="75" fillId="0" borderId="87" xfId="45" applyNumberFormat="1" applyBorder="1" applyAlignment="1">
      <alignment horizontal="center"/>
    </xf>
    <xf numFmtId="0" fontId="75" fillId="0" borderId="0" xfId="45" applyNumberFormat="1"/>
    <xf numFmtId="49" fontId="107" fillId="0" borderId="86" xfId="45" applyNumberFormat="1" applyFont="1" applyBorder="1" applyAlignment="1">
      <alignment horizontal="center"/>
    </xf>
    <xf numFmtId="0" fontId="75" fillId="0" borderId="86" xfId="45" applyNumberFormat="1" applyBorder="1" applyAlignment="1">
      <alignment horizontal="center"/>
    </xf>
    <xf numFmtId="0" fontId="75" fillId="0" borderId="88" xfId="45" applyNumberFormat="1" applyBorder="1" applyAlignment="1">
      <alignment horizontal="center"/>
    </xf>
    <xf numFmtId="2" fontId="75" fillId="0" borderId="90" xfId="45" applyNumberFormat="1" applyBorder="1" applyAlignment="1">
      <alignment horizontal="center"/>
    </xf>
    <xf numFmtId="0" fontId="75" fillId="0" borderId="0" xfId="45" applyNumberFormat="1" applyAlignment="1">
      <alignment horizontal="center"/>
    </xf>
    <xf numFmtId="0" fontId="75" fillId="0" borderId="0" xfId="45" applyBorder="1" applyAlignment="1">
      <alignment horizontal="center"/>
    </xf>
    <xf numFmtId="0" fontId="75" fillId="0" borderId="0" xfId="45" applyBorder="1"/>
    <xf numFmtId="0" fontId="75" fillId="0" borderId="0" xfId="45" applyBorder="1" applyAlignment="1" applyProtection="1">
      <alignment horizontal="center" vertical="center"/>
      <protection locked="0"/>
    </xf>
    <xf numFmtId="187" fontId="75" fillId="0" borderId="0" xfId="45" applyNumberFormat="1" applyBorder="1"/>
    <xf numFmtId="0" fontId="144" fillId="0" borderId="0" xfId="45" applyFont="1" applyAlignment="1">
      <alignment horizontal="center"/>
    </xf>
    <xf numFmtId="0" fontId="107" fillId="0" borderId="111" xfId="48" applyFont="1" applyBorder="1" applyAlignment="1">
      <alignment horizontal="center" vertical="center"/>
    </xf>
    <xf numFmtId="0" fontId="113" fillId="0" borderId="112" xfId="48" applyFont="1" applyBorder="1" applyAlignment="1">
      <alignment horizontal="center" vertical="center"/>
    </xf>
    <xf numFmtId="0" fontId="113" fillId="0" borderId="113" xfId="48" applyFont="1" applyBorder="1" applyAlignment="1">
      <alignment horizontal="center" vertical="center"/>
    </xf>
    <xf numFmtId="0" fontId="113" fillId="0" borderId="114" xfId="48" applyFont="1" applyBorder="1" applyAlignment="1">
      <alignment horizontal="center" vertical="center"/>
    </xf>
    <xf numFmtId="0" fontId="113" fillId="0" borderId="115" xfId="48" applyFont="1" applyBorder="1" applyAlignment="1">
      <alignment horizontal="center" vertical="center"/>
    </xf>
    <xf numFmtId="0" fontId="146" fillId="0" borderId="82" xfId="48" applyFont="1" applyBorder="1" applyAlignment="1">
      <alignment horizontal="center" vertical="center"/>
    </xf>
    <xf numFmtId="0" fontId="146" fillId="0" borderId="71" xfId="48" applyFont="1" applyBorder="1" applyAlignment="1">
      <alignment horizontal="center" vertical="center"/>
    </xf>
    <xf numFmtId="0" fontId="146" fillId="0" borderId="116" xfId="48" applyFont="1" applyBorder="1" applyAlignment="1">
      <alignment horizontal="center" vertical="center"/>
    </xf>
    <xf numFmtId="0" fontId="113" fillId="0" borderId="117" xfId="48" applyFont="1" applyBorder="1" applyAlignment="1">
      <alignment horizontal="center" vertical="center"/>
    </xf>
    <xf numFmtId="0" fontId="146" fillId="0" borderId="54" xfId="48" applyFont="1" applyBorder="1" applyAlignment="1">
      <alignment horizontal="center" vertical="center"/>
    </xf>
    <xf numFmtId="0" fontId="146" fillId="0" borderId="5" xfId="48" applyFont="1" applyBorder="1" applyAlignment="1">
      <alignment horizontal="center" vertical="center"/>
    </xf>
    <xf numFmtId="0" fontId="146" fillId="0" borderId="92" xfId="48" applyFont="1" applyBorder="1" applyAlignment="1">
      <alignment horizontal="center" vertical="center"/>
    </xf>
    <xf numFmtId="0" fontId="113" fillId="0" borderId="118" xfId="48" applyFont="1" applyBorder="1" applyAlignment="1">
      <alignment horizontal="center" vertical="center"/>
    </xf>
    <xf numFmtId="0" fontId="146" fillId="0" borderId="119" xfId="48" applyFont="1" applyBorder="1" applyAlignment="1">
      <alignment horizontal="center" vertical="center"/>
    </xf>
    <xf numFmtId="0" fontId="146" fillId="0" borderId="120" xfId="48" applyFont="1" applyBorder="1" applyAlignment="1">
      <alignment horizontal="center" vertical="center"/>
    </xf>
    <xf numFmtId="0" fontId="146" fillId="0" borderId="93" xfId="48" applyFont="1" applyBorder="1" applyAlignment="1">
      <alignment horizontal="center" vertical="center"/>
    </xf>
    <xf numFmtId="0" fontId="68" fillId="0" borderId="0" xfId="48" applyAlignment="1">
      <alignment vertical="center"/>
    </xf>
    <xf numFmtId="0" fontId="107" fillId="0" borderId="111" xfId="48" applyFont="1" applyBorder="1" applyAlignment="1">
      <alignment vertical="center"/>
    </xf>
    <xf numFmtId="0" fontId="107" fillId="0" borderId="121" xfId="48" applyFont="1" applyBorder="1" applyAlignment="1">
      <alignment vertical="center"/>
    </xf>
    <xf numFmtId="0" fontId="146" fillId="0" borderId="122" xfId="48" applyFont="1" applyBorder="1" applyAlignment="1">
      <alignment horizontal="center" vertical="center"/>
    </xf>
    <xf numFmtId="0" fontId="146" fillId="0" borderId="38" xfId="48" applyFont="1" applyBorder="1" applyAlignment="1">
      <alignment horizontal="center" vertical="center"/>
    </xf>
    <xf numFmtId="0" fontId="146" fillId="0" borderId="39" xfId="48" applyFont="1" applyBorder="1" applyAlignment="1">
      <alignment horizontal="center" vertical="center"/>
    </xf>
    <xf numFmtId="0" fontId="68" fillId="0" borderId="0" xfId="48" applyAlignment="1">
      <alignment horizontal="center" vertical="center"/>
    </xf>
    <xf numFmtId="0" fontId="107" fillId="0" borderId="123" xfId="48" applyFont="1" applyBorder="1" applyAlignment="1">
      <alignment vertical="center"/>
    </xf>
    <xf numFmtId="0" fontId="147" fillId="0" borderId="124" xfId="48" applyFont="1" applyBorder="1" applyAlignment="1">
      <alignment horizontal="center" vertical="center"/>
    </xf>
    <xf numFmtId="0" fontId="147" fillId="0" borderId="32" xfId="48" applyFont="1" applyBorder="1" applyAlignment="1">
      <alignment horizontal="center" vertical="center"/>
    </xf>
    <xf numFmtId="0" fontId="113" fillId="0" borderId="32" xfId="48" applyFont="1" applyBorder="1" applyAlignment="1">
      <alignment horizontal="center" vertical="center"/>
    </xf>
    <xf numFmtId="0" fontId="113" fillId="0" borderId="33" xfId="48" applyFont="1" applyBorder="1" applyAlignment="1">
      <alignment horizontal="center" vertical="center"/>
    </xf>
    <xf numFmtId="0" fontId="107" fillId="0" borderId="125" xfId="48" applyFont="1" applyBorder="1" applyAlignment="1">
      <alignment vertical="center"/>
    </xf>
    <xf numFmtId="0" fontId="113" fillId="0" borderId="126" xfId="48" applyFont="1" applyBorder="1" applyAlignment="1">
      <alignment horizontal="center" vertical="center"/>
    </xf>
    <xf numFmtId="0" fontId="113" fillId="0" borderId="127" xfId="48" applyFont="1" applyBorder="1" applyAlignment="1">
      <alignment horizontal="center" vertical="center"/>
    </xf>
    <xf numFmtId="0" fontId="113" fillId="0" borderId="128" xfId="48" applyFont="1" applyBorder="1" applyAlignment="1">
      <alignment horizontal="center" vertical="center"/>
    </xf>
    <xf numFmtId="3" fontId="68" fillId="0" borderId="0" xfId="47" applyNumberFormat="1" applyFont="1"/>
    <xf numFmtId="3" fontId="32" fillId="0" borderId="58" xfId="47" applyNumberFormat="1" applyFont="1" applyBorder="1"/>
    <xf numFmtId="166" fontId="121" fillId="0" borderId="93" xfId="0" applyNumberFormat="1" applyFont="1" applyBorder="1" applyAlignment="1">
      <alignment horizontal="center" vertical="center"/>
    </xf>
    <xf numFmtId="0" fontId="119" fillId="0" borderId="0" xfId="0" applyFont="1" applyFill="1" applyBorder="1" applyAlignment="1">
      <alignment horizontal="center"/>
    </xf>
    <xf numFmtId="0" fontId="119" fillId="0" borderId="82" xfId="0" applyFont="1" applyBorder="1" applyAlignment="1">
      <alignment horizontal="right"/>
    </xf>
    <xf numFmtId="166" fontId="119" fillId="0" borderId="82" xfId="0" applyNumberFormat="1" applyFont="1" applyBorder="1" applyAlignment="1">
      <alignment horizontal="right"/>
    </xf>
    <xf numFmtId="2" fontId="85" fillId="0" borderId="0" xfId="47" applyNumberFormat="1" applyFont="1" applyBorder="1" applyAlignment="1">
      <alignment horizontal="center"/>
    </xf>
    <xf numFmtId="0" fontId="68" fillId="0" borderId="0" xfId="47" applyFont="1"/>
    <xf numFmtId="2" fontId="102" fillId="0" borderId="70" xfId="47" applyNumberFormat="1" applyFont="1" applyBorder="1" applyAlignment="1">
      <alignment horizontal="center"/>
    </xf>
    <xf numFmtId="0" fontId="148" fillId="0" borderId="71" xfId="47" applyFont="1" applyBorder="1" applyAlignment="1">
      <alignment horizontal="center"/>
    </xf>
    <xf numFmtId="0" fontId="99" fillId="0" borderId="7" xfId="47" applyFont="1" applyBorder="1" applyAlignment="1">
      <alignment horizontal="center"/>
    </xf>
    <xf numFmtId="0" fontId="98" fillId="0" borderId="0" xfId="47" applyFont="1" applyBorder="1" applyAlignment="1">
      <alignment horizontal="left"/>
    </xf>
    <xf numFmtId="0" fontId="99" fillId="0" borderId="129" xfId="47" applyFont="1" applyBorder="1" applyAlignment="1">
      <alignment horizontal="center"/>
    </xf>
    <xf numFmtId="0" fontId="99" fillId="0" borderId="130" xfId="47" applyFont="1" applyBorder="1" applyAlignment="1">
      <alignment horizontal="center"/>
    </xf>
    <xf numFmtId="1" fontId="97" fillId="0" borderId="131" xfId="47" applyNumberFormat="1" applyFont="1" applyBorder="1" applyAlignment="1">
      <alignment horizontal="center"/>
    </xf>
    <xf numFmtId="2" fontId="97" fillId="0" borderId="131" xfId="47" applyNumberFormat="1" applyFont="1" applyBorder="1" applyAlignment="1">
      <alignment horizontal="right"/>
    </xf>
    <xf numFmtId="0" fontId="105" fillId="0" borderId="54" xfId="47" applyFont="1" applyBorder="1" applyAlignment="1">
      <alignment horizontal="center"/>
    </xf>
    <xf numFmtId="2" fontId="97" fillId="0" borderId="132" xfId="47" applyNumberFormat="1" applyFont="1" applyBorder="1" applyAlignment="1">
      <alignment horizontal="center"/>
    </xf>
    <xf numFmtId="0" fontId="117" fillId="0" borderId="0" xfId="47" applyFont="1" applyAlignment="1">
      <alignment horizontal="center"/>
    </xf>
    <xf numFmtId="166" fontId="117" fillId="0" borderId="0" xfId="47" applyNumberFormat="1" applyFont="1" applyAlignment="1">
      <alignment horizontal="center"/>
    </xf>
    <xf numFmtId="2" fontId="116" fillId="0" borderId="0" xfId="47" applyNumberFormat="1" applyFont="1" applyAlignment="1">
      <alignment horizontal="center"/>
    </xf>
    <xf numFmtId="1" fontId="94" fillId="0" borderId="0" xfId="47" applyNumberFormat="1" applyFont="1" applyBorder="1" applyAlignment="1">
      <alignment horizontal="right"/>
    </xf>
    <xf numFmtId="166" fontId="1" fillId="0" borderId="0" xfId="0" applyNumberFormat="1" applyFont="1"/>
    <xf numFmtId="1" fontId="32" fillId="0" borderId="65" xfId="47" applyNumberFormat="1" applyFont="1" applyBorder="1"/>
    <xf numFmtId="1" fontId="32" fillId="0" borderId="58" xfId="47" applyNumberFormat="1" applyFont="1" applyBorder="1"/>
    <xf numFmtId="1" fontId="32" fillId="0" borderId="68" xfId="47" applyNumberFormat="1" applyFont="1" applyBorder="1"/>
    <xf numFmtId="185" fontId="32" fillId="0" borderId="0" xfId="48" applyNumberFormat="1" applyFont="1" applyAlignment="1">
      <alignment horizontal="center"/>
    </xf>
    <xf numFmtId="166" fontId="129" fillId="0" borderId="0" xfId="48" applyNumberFormat="1" applyFont="1"/>
    <xf numFmtId="166" fontId="130" fillId="0" borderId="0" xfId="48" applyNumberFormat="1" applyFont="1"/>
    <xf numFmtId="166" fontId="32" fillId="0" borderId="0" xfId="48" applyNumberFormat="1" applyFont="1" applyAlignment="1">
      <alignment horizontal="right"/>
    </xf>
    <xf numFmtId="0" fontId="107" fillId="0" borderId="83" xfId="47" applyFont="1" applyBorder="1" applyAlignment="1">
      <alignment horizontal="centerContinuous"/>
    </xf>
    <xf numFmtId="0" fontId="107" fillId="0" borderId="84" xfId="47" applyFont="1" applyBorder="1" applyAlignment="1">
      <alignment horizontal="centerContinuous"/>
    </xf>
    <xf numFmtId="0" fontId="107" fillId="0" borderId="85" xfId="47" applyFont="1" applyBorder="1" applyAlignment="1">
      <alignment horizontal="centerContinuous"/>
    </xf>
    <xf numFmtId="0" fontId="107" fillId="0" borderId="133" xfId="47" applyFont="1" applyBorder="1" applyAlignment="1">
      <alignment horizontal="centerContinuous"/>
    </xf>
    <xf numFmtId="0" fontId="107" fillId="0" borderId="134" xfId="47" applyFont="1" applyBorder="1" applyAlignment="1">
      <alignment horizontal="center"/>
    </xf>
    <xf numFmtId="0" fontId="107" fillId="0" borderId="135" xfId="47" applyFont="1" applyBorder="1" applyAlignment="1">
      <alignment horizontal="center"/>
    </xf>
    <xf numFmtId="0" fontId="107" fillId="0" borderId="136" xfId="47" applyFont="1" applyBorder="1" applyAlignment="1">
      <alignment horizontal="center"/>
    </xf>
    <xf numFmtId="0" fontId="32" fillId="0" borderId="133" xfId="47" applyFont="1" applyBorder="1" applyAlignment="1">
      <alignment horizontal="center"/>
    </xf>
    <xf numFmtId="2" fontId="32" fillId="0" borderId="137" xfId="47" applyNumberFormat="1" applyFont="1" applyBorder="1"/>
    <xf numFmtId="0" fontId="32" fillId="0" borderId="64" xfId="47" applyFont="1" applyBorder="1" applyAlignment="1">
      <alignment horizontal="center"/>
    </xf>
    <xf numFmtId="2" fontId="32" fillId="0" borderId="138" xfId="47" applyNumberFormat="1" applyFont="1" applyBorder="1"/>
    <xf numFmtId="0" fontId="110" fillId="0" borderId="62" xfId="48" applyFont="1" applyBorder="1" applyAlignment="1">
      <alignment horizontal="center"/>
    </xf>
    <xf numFmtId="3" fontId="132" fillId="0" borderId="17" xfId="48" applyNumberFormat="1" applyFont="1" applyBorder="1"/>
    <xf numFmtId="3" fontId="32" fillId="0" borderId="0" xfId="47" applyNumberFormat="1" applyFont="1"/>
    <xf numFmtId="0" fontId="20" fillId="0" borderId="0" xfId="47" applyFont="1" applyBorder="1" applyAlignment="1">
      <alignment horizontal="left"/>
    </xf>
    <xf numFmtId="0" fontId="20" fillId="0" borderId="0" xfId="47" applyFont="1" applyAlignment="1">
      <alignment horizontal="left"/>
    </xf>
    <xf numFmtId="0" fontId="32" fillId="0" borderId="0" xfId="47" applyFont="1" applyAlignment="1">
      <alignment horizontal="centerContinuous"/>
    </xf>
    <xf numFmtId="0" fontId="107" fillId="0" borderId="0" xfId="47" applyFont="1"/>
    <xf numFmtId="0" fontId="32" fillId="0" borderId="17" xfId="47" applyFont="1" applyBorder="1"/>
    <xf numFmtId="2" fontId="32" fillId="0" borderId="17" xfId="47" applyNumberFormat="1" applyFont="1" applyBorder="1" applyAlignment="1">
      <alignment horizontal="right"/>
    </xf>
    <xf numFmtId="0" fontId="32" fillId="0" borderId="65" xfId="47" applyFont="1" applyBorder="1"/>
    <xf numFmtId="4" fontId="32" fillId="0" borderId="65" xfId="47" applyNumberFormat="1" applyFont="1" applyBorder="1"/>
    <xf numFmtId="0" fontId="20" fillId="0" borderId="0" xfId="47" applyFont="1" applyBorder="1" applyAlignment="1">
      <alignment horizontal="centerContinuous"/>
    </xf>
    <xf numFmtId="0" fontId="107" fillId="0" borderId="59" xfId="47" applyFont="1" applyBorder="1" applyAlignment="1">
      <alignment horizontal="centerContinuous"/>
    </xf>
    <xf numFmtId="0" fontId="149" fillId="0" borderId="0" xfId="47" applyFont="1" applyBorder="1" applyAlignment="1">
      <alignment horizontal="center"/>
    </xf>
    <xf numFmtId="166" fontId="108" fillId="0" borderId="58" xfId="47" applyNumberFormat="1" applyFont="1" applyBorder="1" applyAlignment="1">
      <alignment horizontal="center"/>
    </xf>
    <xf numFmtId="0" fontId="107" fillId="0" borderId="65" xfId="47" applyFont="1" applyBorder="1" applyAlignment="1">
      <alignment horizontal="center"/>
    </xf>
    <xf numFmtId="2" fontId="32" fillId="0" borderId="65" xfId="47" applyNumberFormat="1" applyFont="1" applyBorder="1" applyAlignment="1">
      <alignment horizontal="center"/>
    </xf>
    <xf numFmtId="0" fontId="32" fillId="0" borderId="65" xfId="47" applyFont="1" applyBorder="1" applyAlignment="1">
      <alignment horizontal="left"/>
    </xf>
    <xf numFmtId="0" fontId="107" fillId="0" borderId="61" xfId="47" applyFont="1" applyBorder="1" applyAlignment="1">
      <alignment horizontal="left"/>
    </xf>
    <xf numFmtId="1" fontId="32" fillId="0" borderId="0" xfId="47" applyNumberFormat="1" applyFont="1"/>
    <xf numFmtId="0" fontId="107" fillId="0" borderId="76" xfId="47" applyFont="1" applyBorder="1" applyAlignment="1">
      <alignment horizontal="left"/>
    </xf>
    <xf numFmtId="172" fontId="32" fillId="0" borderId="0" xfId="47" applyNumberFormat="1" applyFont="1" applyBorder="1"/>
    <xf numFmtId="172" fontId="32" fillId="0" borderId="65" xfId="47" applyNumberFormat="1" applyFont="1" applyBorder="1"/>
    <xf numFmtId="0" fontId="81" fillId="0" borderId="0" xfId="44"/>
    <xf numFmtId="0" fontId="150" fillId="0" borderId="43" xfId="44" applyFont="1" applyBorder="1" applyAlignment="1">
      <alignment vertical="top" wrapText="1"/>
    </xf>
    <xf numFmtId="0" fontId="150" fillId="0" borderId="44" xfId="44" applyFont="1" applyBorder="1" applyAlignment="1">
      <alignment vertical="top" wrapText="1"/>
    </xf>
    <xf numFmtId="0" fontId="137" fillId="0" borderId="110" xfId="44" applyFont="1" applyBorder="1" applyAlignment="1">
      <alignment vertical="top" wrapText="1"/>
    </xf>
    <xf numFmtId="0" fontId="150" fillId="0" borderId="90" xfId="44" applyFont="1" applyBorder="1" applyAlignment="1">
      <alignment vertical="top" wrapText="1"/>
    </xf>
    <xf numFmtId="0" fontId="81" fillId="0" borderId="0" xfId="44" applyAlignment="1">
      <alignment horizontal="center"/>
    </xf>
    <xf numFmtId="0" fontId="151" fillId="29" borderId="110" xfId="44" applyFont="1" applyFill="1" applyBorder="1" applyAlignment="1">
      <alignment vertical="top" wrapText="1"/>
    </xf>
    <xf numFmtId="0" fontId="151" fillId="29" borderId="90" xfId="44" applyFont="1" applyFill="1" applyBorder="1" applyAlignment="1">
      <alignment vertical="top" wrapText="1"/>
    </xf>
    <xf numFmtId="0" fontId="151" fillId="0" borderId="110" xfId="44" applyFont="1" applyBorder="1" applyAlignment="1">
      <alignment vertical="top" wrapText="1"/>
    </xf>
    <xf numFmtId="0" fontId="151" fillId="0" borderId="90" xfId="44" applyFont="1" applyBorder="1" applyAlignment="1">
      <alignment vertical="top" wrapText="1"/>
    </xf>
    <xf numFmtId="0" fontId="152" fillId="0" borderId="43" xfId="44" applyFont="1" applyBorder="1" applyAlignment="1">
      <alignment horizontal="center" vertical="top" wrapText="1"/>
    </xf>
    <xf numFmtId="0" fontId="152" fillId="0" borderId="44" xfId="44" applyFont="1" applyBorder="1" applyAlignment="1">
      <alignment horizontal="center" vertical="top" wrapText="1"/>
    </xf>
    <xf numFmtId="0" fontId="153" fillId="0" borderId="110" xfId="44" applyFont="1" applyBorder="1" applyAlignment="1">
      <alignment horizontal="center" vertical="top" wrapText="1"/>
    </xf>
    <xf numFmtId="0" fontId="152" fillId="0" borderId="90" xfId="44" applyFont="1" applyBorder="1" applyAlignment="1">
      <alignment horizontal="center" vertical="top" wrapText="1"/>
    </xf>
    <xf numFmtId="0" fontId="154" fillId="29" borderId="110" xfId="44" applyFont="1" applyFill="1" applyBorder="1" applyAlignment="1">
      <alignment horizontal="center" vertical="top" wrapText="1"/>
    </xf>
    <xf numFmtId="0" fontId="154" fillId="29" borderId="90" xfId="44" applyFont="1" applyFill="1" applyBorder="1" applyAlignment="1">
      <alignment horizontal="center" vertical="top" wrapText="1"/>
    </xf>
    <xf numFmtId="0" fontId="154" fillId="0" borderId="110" xfId="44" applyFont="1" applyBorder="1" applyAlignment="1">
      <alignment horizontal="center" vertical="top" wrapText="1"/>
    </xf>
    <xf numFmtId="0" fontId="154" fillId="0" borderId="90" xfId="44" applyFont="1" applyBorder="1" applyAlignment="1">
      <alignment horizontal="center" vertical="top" wrapText="1"/>
    </xf>
    <xf numFmtId="0" fontId="155" fillId="29" borderId="90" xfId="44" applyFont="1" applyFill="1" applyBorder="1" applyAlignment="1">
      <alignment horizontal="center" vertical="top" wrapText="1"/>
    </xf>
    <xf numFmtId="0" fontId="153" fillId="0" borderId="110" xfId="44" applyFont="1" applyBorder="1" applyAlignment="1">
      <alignment vertical="top" wrapText="1"/>
    </xf>
    <xf numFmtId="0" fontId="152" fillId="0" borderId="90" xfId="44" applyFont="1" applyBorder="1" applyAlignment="1">
      <alignment vertical="top" wrapText="1"/>
    </xf>
    <xf numFmtId="0" fontId="154" fillId="29" borderId="110" xfId="44" applyFont="1" applyFill="1" applyBorder="1" applyAlignment="1">
      <alignment vertical="top" wrapText="1"/>
    </xf>
    <xf numFmtId="0" fontId="154" fillId="29" borderId="90" xfId="44" applyFont="1" applyFill="1" applyBorder="1" applyAlignment="1">
      <alignment vertical="top" wrapText="1"/>
    </xf>
    <xf numFmtId="0" fontId="154" fillId="0" borderId="110" xfId="44" applyFont="1" applyBorder="1" applyAlignment="1">
      <alignment vertical="top" wrapText="1"/>
    </xf>
    <xf numFmtId="0" fontId="154" fillId="0" borderId="90" xfId="44" applyFont="1" applyBorder="1" applyAlignment="1">
      <alignment vertical="top" wrapText="1"/>
    </xf>
    <xf numFmtId="0" fontId="137" fillId="0" borderId="0" xfId="44" applyFont="1"/>
    <xf numFmtId="166" fontId="91" fillId="0" borderId="0" xfId="47" applyNumberFormat="1" applyFont="1" applyBorder="1" applyAlignment="1">
      <alignment horizontal="left"/>
    </xf>
    <xf numFmtId="166" fontId="84" fillId="0" borderId="0" xfId="47" applyNumberFormat="1" applyFont="1" applyBorder="1" applyAlignment="1">
      <alignment horizontal="centerContinuous"/>
    </xf>
    <xf numFmtId="166" fontId="89" fillId="0" borderId="0" xfId="47" applyNumberFormat="1" applyFont="1" applyBorder="1" applyAlignment="1">
      <alignment horizontal="centerContinuous"/>
    </xf>
    <xf numFmtId="172" fontId="68" fillId="0" borderId="0" xfId="47" applyNumberFormat="1" applyAlignment="1">
      <alignment horizontal="center"/>
    </xf>
    <xf numFmtId="185" fontId="91" fillId="0" borderId="0" xfId="47" applyNumberFormat="1" applyFont="1" applyFill="1" applyBorder="1" applyAlignment="1">
      <alignment horizontal="right"/>
    </xf>
    <xf numFmtId="3" fontId="177" fillId="0" borderId="0" xfId="47" applyNumberFormat="1" applyFont="1" applyAlignment="1">
      <alignment horizontal="center"/>
    </xf>
    <xf numFmtId="3" fontId="68" fillId="0" borderId="0" xfId="47" applyNumberFormat="1" applyAlignment="1">
      <alignment horizontal="center"/>
    </xf>
    <xf numFmtId="3" fontId="178" fillId="0" borderId="0" xfId="47" applyNumberFormat="1" applyFont="1" applyAlignment="1">
      <alignment horizontal="center"/>
    </xf>
    <xf numFmtId="0" fontId="3" fillId="0" borderId="0" xfId="46" applyAlignment="1">
      <alignment horizontal="center" vertical="center"/>
    </xf>
    <xf numFmtId="0" fontId="1" fillId="0" borderId="0" xfId="46" applyFont="1" applyAlignment="1">
      <alignment horizontal="center" vertical="center"/>
    </xf>
    <xf numFmtId="0" fontId="1" fillId="0" borderId="0" xfId="46" applyFont="1" applyAlignment="1">
      <alignment horizontal="center" vertical="center" wrapText="1"/>
    </xf>
    <xf numFmtId="0" fontId="89" fillId="0" borderId="0" xfId="46" applyFont="1" applyAlignment="1">
      <alignment horizontal="center" vertical="center"/>
    </xf>
    <xf numFmtId="0" fontId="3" fillId="0" borderId="0" xfId="46" applyAlignment="1">
      <alignment horizontal="center" vertical="center" wrapText="1"/>
    </xf>
    <xf numFmtId="166" fontId="3" fillId="0" borderId="0" xfId="46" applyNumberFormat="1" applyAlignment="1">
      <alignment horizontal="center" vertical="center"/>
    </xf>
    <xf numFmtId="3" fontId="3" fillId="0" borderId="0" xfId="46" applyNumberFormat="1" applyAlignment="1">
      <alignment horizontal="right" vertical="center"/>
    </xf>
    <xf numFmtId="172" fontId="3" fillId="0" borderId="0" xfId="46" applyNumberFormat="1" applyAlignment="1">
      <alignment horizontal="right" vertical="center"/>
    </xf>
    <xf numFmtId="0" fontId="3" fillId="0" borderId="0" xfId="46" applyFill="1" applyAlignment="1">
      <alignment horizontal="center" vertical="center"/>
    </xf>
    <xf numFmtId="166" fontId="3" fillId="0" borderId="0" xfId="46" applyNumberFormat="1" applyFill="1" applyAlignment="1">
      <alignment horizontal="center" vertical="center"/>
    </xf>
    <xf numFmtId="3" fontId="3" fillId="0" borderId="0" xfId="46" applyNumberFormat="1" applyFill="1" applyAlignment="1">
      <alignment horizontal="right" vertical="center"/>
    </xf>
    <xf numFmtId="172" fontId="3" fillId="0" borderId="0" xfId="46" applyNumberFormat="1" applyFill="1" applyAlignment="1">
      <alignment horizontal="right" vertical="center"/>
    </xf>
    <xf numFmtId="172" fontId="3" fillId="0" borderId="0" xfId="46" applyNumberFormat="1" applyAlignment="1">
      <alignment horizontal="center" vertical="center"/>
    </xf>
    <xf numFmtId="0" fontId="156" fillId="0" borderId="0" xfId="0" applyFont="1"/>
    <xf numFmtId="0" fontId="157" fillId="0" borderId="0" xfId="0" applyFont="1"/>
    <xf numFmtId="0" fontId="159" fillId="0" borderId="139" xfId="0" applyFont="1" applyBorder="1" applyAlignment="1">
      <alignment horizontal="center" wrapText="1"/>
    </xf>
    <xf numFmtId="0" fontId="85" fillId="0" borderId="140" xfId="0" applyFont="1" applyBorder="1" applyAlignment="1">
      <alignment wrapText="1"/>
    </xf>
    <xf numFmtId="0" fontId="162" fillId="0" borderId="141" xfId="0" applyFont="1" applyBorder="1" applyAlignment="1">
      <alignment horizontal="center" wrapText="1"/>
    </xf>
    <xf numFmtId="0" fontId="162" fillId="0" borderId="139" xfId="0" applyFont="1" applyBorder="1" applyAlignment="1">
      <alignment horizontal="center" wrapText="1"/>
    </xf>
    <xf numFmtId="0" fontId="162" fillId="0" borderId="142" xfId="0" applyFont="1" applyBorder="1" applyAlignment="1">
      <alignment horizontal="center" wrapText="1"/>
    </xf>
    <xf numFmtId="0" fontId="85" fillId="0" borderId="0" xfId="0" applyFont="1" applyAlignment="1">
      <alignment wrapText="1"/>
    </xf>
    <xf numFmtId="0" fontId="162" fillId="0" borderId="143" xfId="0" applyFont="1" applyFill="1" applyBorder="1" applyAlignment="1">
      <alignment horizontal="center" wrapText="1"/>
    </xf>
    <xf numFmtId="0" fontId="157" fillId="0" borderId="139" xfId="0" applyFont="1" applyBorder="1" applyAlignment="1">
      <alignment horizontal="center" wrapText="1"/>
    </xf>
    <xf numFmtId="3" fontId="0" fillId="0" borderId="0" xfId="0" applyNumberFormat="1"/>
    <xf numFmtId="0" fontId="157" fillId="0" borderId="141" xfId="0" applyFont="1" applyBorder="1" applyAlignment="1">
      <alignment horizontal="center" wrapText="1"/>
    </xf>
    <xf numFmtId="0" fontId="157" fillId="0" borderId="144" xfId="0" applyFont="1" applyBorder="1" applyAlignment="1">
      <alignment horizontal="center" wrapText="1"/>
    </xf>
    <xf numFmtId="0" fontId="157" fillId="0" borderId="142" xfId="0" applyFont="1" applyBorder="1" applyAlignment="1">
      <alignment horizontal="center" wrapText="1"/>
    </xf>
    <xf numFmtId="0" fontId="0" fillId="0" borderId="145" xfId="0" applyBorder="1"/>
    <xf numFmtId="0" fontId="157" fillId="0" borderId="141" xfId="0" applyFont="1" applyBorder="1" applyAlignment="1">
      <alignment horizontal="center" vertical="top" wrapText="1"/>
    </xf>
    <xf numFmtId="0" fontId="157" fillId="0" borderId="144" xfId="0" applyFont="1" applyBorder="1" applyAlignment="1">
      <alignment horizontal="center" vertical="top" wrapText="1"/>
    </xf>
    <xf numFmtId="0" fontId="157" fillId="0" borderId="142" xfId="0" applyFont="1" applyBorder="1" applyAlignment="1">
      <alignment horizontal="center" vertical="top" wrapText="1"/>
    </xf>
    <xf numFmtId="16" fontId="157" fillId="0" borderId="139" xfId="0" applyNumberFormat="1" applyFont="1" applyBorder="1" applyAlignment="1">
      <alignment horizontal="center" vertical="top" wrapText="1"/>
    </xf>
    <xf numFmtId="0" fontId="157" fillId="0" borderId="139" xfId="0" applyFont="1" applyBorder="1" applyAlignment="1">
      <alignment horizontal="center" vertical="top" wrapText="1"/>
    </xf>
    <xf numFmtId="0" fontId="0" fillId="0" borderId="142" xfId="0" applyBorder="1" applyAlignment="1">
      <alignment vertical="top" wrapText="1"/>
    </xf>
    <xf numFmtId="0" fontId="0" fillId="0" borderId="142" xfId="0" applyBorder="1" applyAlignment="1">
      <alignment wrapText="1"/>
    </xf>
    <xf numFmtId="17" fontId="157" fillId="0" borderId="139" xfId="0" applyNumberFormat="1" applyFont="1" applyBorder="1" applyAlignment="1">
      <alignment horizontal="center" wrapText="1"/>
    </xf>
    <xf numFmtId="0" fontId="0" fillId="0" borderId="144" xfId="0" applyBorder="1" applyAlignment="1">
      <alignment vertical="top" wrapText="1"/>
    </xf>
    <xf numFmtId="17" fontId="157" fillId="0" borderId="139" xfId="0" applyNumberFormat="1" applyFont="1" applyBorder="1" applyAlignment="1">
      <alignment horizontal="center" vertical="top" wrapText="1"/>
    </xf>
    <xf numFmtId="0" fontId="137" fillId="0" borderId="0" xfId="0" applyFont="1"/>
    <xf numFmtId="0" fontId="107" fillId="0" borderId="0" xfId="0" applyFont="1" applyBorder="1" applyAlignment="1">
      <alignment horizontal="center"/>
    </xf>
    <xf numFmtId="0" fontId="107" fillId="0" borderId="0" xfId="0" applyFont="1" applyBorder="1" applyAlignment="1">
      <alignment horizontal="center" vertical="top" wrapText="1"/>
    </xf>
    <xf numFmtId="0" fontId="107" fillId="0" borderId="0" xfId="0" applyFont="1" applyBorder="1" applyAlignment="1">
      <alignment horizontal="left"/>
    </xf>
    <xf numFmtId="0" fontId="32" fillId="0" borderId="0" xfId="0" applyFont="1" applyBorder="1" applyAlignment="1">
      <alignment horizontal="center" vertical="top" wrapText="1"/>
    </xf>
    <xf numFmtId="166" fontId="32" fillId="0" borderId="0" xfId="0" applyNumberFormat="1" applyFont="1" applyBorder="1" applyAlignment="1">
      <alignment horizontal="right" vertical="top" wrapText="1"/>
    </xf>
    <xf numFmtId="3" fontId="32" fillId="0" borderId="0" xfId="0" applyNumberFormat="1" applyFont="1" applyBorder="1" applyAlignment="1">
      <alignment horizontal="right" vertical="top" wrapText="1"/>
    </xf>
    <xf numFmtId="172" fontId="32" fillId="0" borderId="0" xfId="0" applyNumberFormat="1" applyFont="1" applyBorder="1" applyAlignment="1">
      <alignment horizontal="right" vertical="top" wrapText="1"/>
    </xf>
    <xf numFmtId="4" fontId="32" fillId="0" borderId="0" xfId="0" applyNumberFormat="1" applyFont="1" applyBorder="1" applyAlignment="1">
      <alignment horizontal="right" vertical="top" wrapText="1"/>
    </xf>
    <xf numFmtId="3" fontId="32" fillId="0" borderId="0" xfId="0" applyNumberFormat="1" applyFont="1" applyBorder="1"/>
    <xf numFmtId="172" fontId="32" fillId="0" borderId="0" xfId="0" applyNumberFormat="1" applyFont="1" applyBorder="1"/>
    <xf numFmtId="4" fontId="32" fillId="0" borderId="0" xfId="0" applyNumberFormat="1" applyFont="1" applyBorder="1"/>
    <xf numFmtId="0" fontId="0" fillId="0" borderId="0" xfId="0" applyBorder="1" applyAlignment="1">
      <alignment horizontal="center"/>
    </xf>
    <xf numFmtId="166" fontId="0" fillId="0" borderId="0" xfId="0" applyNumberFormat="1" applyBorder="1" applyAlignment="1">
      <alignment horizontal="right"/>
    </xf>
    <xf numFmtId="3" fontId="0" fillId="0" borderId="0" xfId="0" applyNumberFormat="1" applyBorder="1"/>
    <xf numFmtId="1" fontId="0" fillId="0" borderId="0" xfId="0" applyNumberFormat="1" applyBorder="1"/>
    <xf numFmtId="0" fontId="107" fillId="0" borderId="0" xfId="0" applyFont="1" applyBorder="1"/>
    <xf numFmtId="166" fontId="0" fillId="0" borderId="0" xfId="0" applyNumberFormat="1" applyBorder="1"/>
    <xf numFmtId="0" fontId="37" fillId="0" borderId="0" xfId="0" applyFont="1" applyAlignment="1">
      <alignment horizontal="right"/>
    </xf>
    <xf numFmtId="0" fontId="74" fillId="0" borderId="0" xfId="0" applyFont="1" applyAlignment="1">
      <alignment horizontal="right"/>
    </xf>
    <xf numFmtId="3" fontId="85" fillId="0" borderId="0" xfId="47" applyNumberFormat="1" applyFont="1" applyBorder="1" applyAlignment="1">
      <alignment horizontal="center"/>
    </xf>
    <xf numFmtId="4" fontId="91" fillId="0" borderId="0" xfId="47" applyNumberFormat="1" applyFont="1" applyFill="1" applyBorder="1" applyAlignment="1">
      <alignment horizontal="right"/>
    </xf>
    <xf numFmtId="1" fontId="68" fillId="0" borderId="0" xfId="47" applyNumberFormat="1" applyBorder="1" applyAlignment="1">
      <alignment horizontal="right"/>
    </xf>
    <xf numFmtId="166" fontId="68" fillId="0" borderId="0" xfId="47" applyNumberFormat="1" applyBorder="1" applyAlignment="1">
      <alignment horizontal="right"/>
    </xf>
    <xf numFmtId="3" fontId="179" fillId="0" borderId="0" xfId="47" applyNumberFormat="1" applyFont="1" applyBorder="1" applyAlignment="1">
      <alignment horizontal="center"/>
    </xf>
    <xf numFmtId="167" fontId="32" fillId="0" borderId="0" xfId="47" applyNumberFormat="1" applyFont="1" applyBorder="1" applyAlignment="1">
      <alignment horizontal="center"/>
    </xf>
    <xf numFmtId="3" fontId="68" fillId="0" borderId="0" xfId="47" applyNumberFormat="1" applyAlignment="1">
      <alignment horizontal="right"/>
    </xf>
    <xf numFmtId="172" fontId="68" fillId="0" borderId="0" xfId="47" applyNumberFormat="1"/>
    <xf numFmtId="3" fontId="95" fillId="0" borderId="0" xfId="47" applyNumberFormat="1" applyFont="1" applyBorder="1" applyAlignment="1">
      <alignment horizontal="right"/>
    </xf>
    <xf numFmtId="3" fontId="95" fillId="0" borderId="0" xfId="47" applyNumberFormat="1" applyFont="1" applyBorder="1" applyAlignment="1">
      <alignment horizontal="center"/>
    </xf>
    <xf numFmtId="3" fontId="37" fillId="0" borderId="0" xfId="48" applyNumberFormat="1" applyFont="1"/>
    <xf numFmtId="167" fontId="32" fillId="0" borderId="0" xfId="48" applyNumberFormat="1" applyFont="1" applyAlignment="1">
      <alignment horizontal="left"/>
    </xf>
    <xf numFmtId="2" fontId="32" fillId="0" borderId="0" xfId="48" applyNumberFormat="1" applyFont="1" applyAlignment="1">
      <alignment horizontal="center"/>
    </xf>
    <xf numFmtId="3" fontId="68" fillId="0" borderId="0" xfId="47" applyNumberFormat="1" applyBorder="1"/>
    <xf numFmtId="0" fontId="173" fillId="0" borderId="58" xfId="47" applyFont="1" applyBorder="1" applyAlignment="1">
      <alignment horizontal="centerContinuous"/>
    </xf>
    <xf numFmtId="0" fontId="173" fillId="0" borderId="59" xfId="47" applyFont="1" applyBorder="1" applyAlignment="1">
      <alignment horizontal="center"/>
    </xf>
    <xf numFmtId="0" fontId="173" fillId="0" borderId="59" xfId="47" applyFont="1" applyBorder="1" applyAlignment="1">
      <alignment horizontal="centerContinuous"/>
    </xf>
    <xf numFmtId="0" fontId="173" fillId="0" borderId="67" xfId="47" applyFont="1" applyBorder="1" applyAlignment="1">
      <alignment horizontal="centerContinuous"/>
    </xf>
    <xf numFmtId="0" fontId="173" fillId="0" borderId="68" xfId="47" applyFont="1" applyBorder="1" applyAlignment="1">
      <alignment horizontal="centerContinuous"/>
    </xf>
    <xf numFmtId="0" fontId="173" fillId="0" borderId="0" xfId="47" applyFont="1" applyFill="1" applyBorder="1" applyAlignment="1">
      <alignment horizontal="center"/>
    </xf>
    <xf numFmtId="2" fontId="93" fillId="0" borderId="0" xfId="47" applyNumberFormat="1" applyFont="1" applyFill="1" applyBorder="1"/>
    <xf numFmtId="0" fontId="93" fillId="0" borderId="0" xfId="47" applyFont="1" applyFill="1" applyBorder="1"/>
    <xf numFmtId="172" fontId="93" fillId="0" borderId="64" xfId="47" applyNumberFormat="1" applyFont="1" applyBorder="1"/>
    <xf numFmtId="172" fontId="93" fillId="0" borderId="65" xfId="47" applyNumberFormat="1" applyFont="1" applyBorder="1"/>
    <xf numFmtId="172" fontId="93" fillId="0" borderId="138" xfId="47" applyNumberFormat="1" applyFont="1" applyBorder="1"/>
    <xf numFmtId="172" fontId="93" fillId="0" borderId="146" xfId="47" applyNumberFormat="1" applyFont="1" applyBorder="1"/>
    <xf numFmtId="172" fontId="93" fillId="0" borderId="147" xfId="47" applyNumberFormat="1" applyFont="1" applyBorder="1"/>
    <xf numFmtId="172" fontId="93" fillId="0" borderId="148" xfId="47" applyNumberFormat="1" applyFont="1" applyBorder="1"/>
    <xf numFmtId="0" fontId="173" fillId="16" borderId="0" xfId="47" applyFont="1" applyFill="1" applyAlignment="1">
      <alignment horizontal="center"/>
    </xf>
    <xf numFmtId="2" fontId="93" fillId="16" borderId="0" xfId="47" applyNumberFormat="1" applyFont="1" applyFill="1"/>
    <xf numFmtId="0" fontId="93" fillId="16" borderId="0" xfId="47" applyFont="1" applyFill="1"/>
    <xf numFmtId="0" fontId="93" fillId="0" borderId="0" xfId="47" applyFont="1"/>
    <xf numFmtId="0" fontId="173" fillId="0" borderId="0" xfId="47" applyFont="1" applyBorder="1" applyAlignment="1">
      <alignment horizontal="centerContinuous"/>
    </xf>
    <xf numFmtId="0" fontId="173" fillId="0" borderId="0" xfId="47" applyFont="1" applyBorder="1" applyAlignment="1"/>
    <xf numFmtId="0" fontId="173" fillId="0" borderId="0" xfId="47" applyFont="1" applyBorder="1" applyAlignment="1">
      <alignment horizontal="right"/>
    </xf>
    <xf numFmtId="2" fontId="173" fillId="0" borderId="0" xfId="47" applyNumberFormat="1" applyFont="1" applyBorder="1" applyAlignment="1">
      <alignment horizontal="left"/>
    </xf>
    <xf numFmtId="2" fontId="93" fillId="0" borderId="0" xfId="47" applyNumberFormat="1" applyFont="1" applyBorder="1" applyAlignment="1"/>
    <xf numFmtId="4" fontId="93" fillId="0" borderId="0" xfId="47" applyNumberFormat="1" applyFont="1" applyBorder="1" applyAlignment="1"/>
    <xf numFmtId="0" fontId="93" fillId="0" borderId="0" xfId="47" applyFont="1" applyAlignment="1"/>
    <xf numFmtId="0" fontId="175" fillId="0" borderId="0" xfId="47" applyFont="1" applyBorder="1" applyAlignment="1">
      <alignment horizontal="centerContinuous"/>
    </xf>
    <xf numFmtId="3" fontId="173" fillId="0" borderId="0" xfId="47" applyNumberFormat="1" applyFont="1" applyBorder="1" applyAlignment="1">
      <alignment horizontal="centerContinuous"/>
    </xf>
    <xf numFmtId="2" fontId="173" fillId="0" borderId="0" xfId="47" applyNumberFormat="1" applyFont="1" applyBorder="1" applyAlignment="1">
      <alignment horizontal="centerContinuous"/>
    </xf>
    <xf numFmtId="2" fontId="93" fillId="0" borderId="0" xfId="47" applyNumberFormat="1" applyFont="1" applyBorder="1" applyAlignment="1">
      <alignment horizontal="centerContinuous"/>
    </xf>
    <xf numFmtId="3" fontId="173" fillId="0" borderId="0" xfId="47" applyNumberFormat="1" applyFont="1" applyBorder="1" applyAlignment="1">
      <alignment horizontal="center"/>
    </xf>
    <xf numFmtId="0" fontId="173" fillId="0" borderId="83" xfId="47" applyFont="1" applyBorder="1" applyAlignment="1">
      <alignment horizontal="centerContinuous"/>
    </xf>
    <xf numFmtId="0" fontId="173" fillId="0" borderId="84" xfId="47" applyFont="1" applyBorder="1" applyAlignment="1">
      <alignment horizontal="centerContinuous"/>
    </xf>
    <xf numFmtId="0" fontId="173" fillId="0" borderId="85" xfId="47" applyFont="1" applyBorder="1" applyAlignment="1">
      <alignment horizontal="centerContinuous"/>
    </xf>
    <xf numFmtId="0" fontId="173" fillId="0" borderId="57" xfId="47" applyFont="1" applyBorder="1" applyAlignment="1">
      <alignment horizontal="center"/>
    </xf>
    <xf numFmtId="0" fontId="173" fillId="0" borderId="133" xfId="47" applyFont="1" applyBorder="1" applyAlignment="1">
      <alignment horizontal="centerContinuous"/>
    </xf>
    <xf numFmtId="0" fontId="173" fillId="0" borderId="134" xfId="47" applyFont="1" applyBorder="1" applyAlignment="1">
      <alignment horizontal="center"/>
    </xf>
    <xf numFmtId="0" fontId="173" fillId="0" borderId="60" xfId="47" applyFont="1" applyBorder="1" applyAlignment="1">
      <alignment horizontal="center"/>
    </xf>
    <xf numFmtId="0" fontId="173" fillId="0" borderId="61" xfId="47" applyFont="1" applyBorder="1" applyAlignment="1">
      <alignment horizontal="center"/>
    </xf>
    <xf numFmtId="0" fontId="173" fillId="0" borderId="62" xfId="47" applyFont="1" applyBorder="1" applyAlignment="1">
      <alignment horizontal="center"/>
    </xf>
    <xf numFmtId="0" fontId="173" fillId="0" borderId="62" xfId="47" applyFont="1" applyBorder="1" applyAlignment="1">
      <alignment horizontal="centerContinuous"/>
    </xf>
    <xf numFmtId="0" fontId="173" fillId="0" borderId="63" xfId="47" applyFont="1" applyBorder="1" applyAlignment="1">
      <alignment horizontal="centerContinuous"/>
    </xf>
    <xf numFmtId="0" fontId="173" fillId="0" borderId="69" xfId="47" applyFont="1" applyBorder="1" applyAlignment="1">
      <alignment horizontal="center"/>
    </xf>
    <xf numFmtId="0" fontId="173" fillId="0" borderId="135" xfId="47" applyFont="1" applyBorder="1" applyAlignment="1">
      <alignment horizontal="center"/>
    </xf>
    <xf numFmtId="0" fontId="173" fillId="0" borderId="77" xfId="47" applyFont="1" applyBorder="1" applyAlignment="1">
      <alignment horizontal="center"/>
    </xf>
    <xf numFmtId="0" fontId="173" fillId="0" borderId="136" xfId="47" applyFont="1" applyBorder="1" applyAlignment="1">
      <alignment horizontal="center"/>
    </xf>
    <xf numFmtId="0" fontId="93" fillId="0" borderId="0" xfId="47" applyFont="1" applyAlignment="1">
      <alignment horizontal="center"/>
    </xf>
    <xf numFmtId="0" fontId="173" fillId="0" borderId="64" xfId="47" applyFont="1" applyBorder="1" applyAlignment="1">
      <alignment horizontal="center"/>
    </xf>
    <xf numFmtId="1" fontId="93" fillId="0" borderId="27" xfId="47" applyNumberFormat="1" applyFont="1" applyBorder="1" applyAlignment="1">
      <alignment horizontal="center"/>
    </xf>
    <xf numFmtId="3" fontId="93" fillId="0" borderId="27" xfId="47" applyNumberFormat="1" applyFont="1" applyBorder="1" applyAlignment="1">
      <alignment horizontal="right"/>
    </xf>
    <xf numFmtId="3" fontId="93" fillId="0" borderId="27" xfId="47" applyNumberFormat="1" applyFont="1" applyBorder="1" applyAlignment="1">
      <alignment horizontal="center"/>
    </xf>
    <xf numFmtId="1" fontId="93" fillId="0" borderId="65" xfId="47" applyNumberFormat="1" applyFont="1" applyBorder="1" applyAlignment="1">
      <alignment horizontal="center"/>
    </xf>
    <xf numFmtId="2" fontId="93" fillId="0" borderId="65" xfId="47" applyNumberFormat="1" applyFont="1" applyBorder="1" applyAlignment="1">
      <alignment horizontal="right"/>
    </xf>
    <xf numFmtId="0" fontId="93" fillId="0" borderId="65" xfId="47" applyFont="1" applyBorder="1" applyAlignment="1">
      <alignment horizontal="centerContinuous"/>
    </xf>
    <xf numFmtId="2" fontId="93" fillId="0" borderId="65" xfId="47" applyNumberFormat="1" applyFont="1" applyBorder="1" applyAlignment="1">
      <alignment horizontal="centerContinuous"/>
    </xf>
    <xf numFmtId="166" fontId="93" fillId="0" borderId="65" xfId="47" applyNumberFormat="1" applyFont="1" applyBorder="1" applyAlignment="1">
      <alignment horizontal="centerContinuous"/>
    </xf>
    <xf numFmtId="4" fontId="93" fillId="0" borderId="72" xfId="47" applyNumberFormat="1" applyFont="1" applyBorder="1" applyAlignment="1">
      <alignment horizontal="right"/>
    </xf>
    <xf numFmtId="0" fontId="93" fillId="0" borderId="133" xfId="47" applyFont="1" applyBorder="1" applyAlignment="1">
      <alignment horizontal="center"/>
    </xf>
    <xf numFmtId="0" fontId="93" fillId="0" borderId="58" xfId="47" applyFont="1" applyBorder="1" applyAlignment="1">
      <alignment horizontal="center"/>
    </xf>
    <xf numFmtId="2" fontId="93" fillId="0" borderId="58" xfId="47" applyNumberFormat="1" applyFont="1" applyBorder="1"/>
    <xf numFmtId="2" fontId="93" fillId="0" borderId="17" xfId="47" applyNumberFormat="1" applyFont="1" applyBorder="1"/>
    <xf numFmtId="166" fontId="93" fillId="0" borderId="58" xfId="47" applyNumberFormat="1" applyFont="1" applyBorder="1"/>
    <xf numFmtId="2" fontId="93" fillId="0" borderId="137" xfId="47" applyNumberFormat="1" applyFont="1" applyBorder="1"/>
    <xf numFmtId="2" fontId="93" fillId="0" borderId="0" xfId="47" applyNumberFormat="1" applyFont="1"/>
    <xf numFmtId="1" fontId="93" fillId="0" borderId="0" xfId="47" applyNumberFormat="1" applyFont="1"/>
    <xf numFmtId="167" fontId="93" fillId="0" borderId="0" xfId="47" applyNumberFormat="1" applyFont="1" applyAlignment="1">
      <alignment horizontal="center"/>
    </xf>
    <xf numFmtId="0" fontId="93" fillId="0" borderId="64" xfId="47" applyFont="1" applyBorder="1" applyAlignment="1">
      <alignment horizontal="center"/>
    </xf>
    <xf numFmtId="0" fontId="93" fillId="0" borderId="65" xfId="47" applyFont="1" applyBorder="1" applyAlignment="1">
      <alignment horizontal="center"/>
    </xf>
    <xf numFmtId="2" fontId="93" fillId="0" borderId="65" xfId="47" applyNumberFormat="1" applyFont="1" applyBorder="1"/>
    <xf numFmtId="3" fontId="93" fillId="0" borderId="65" xfId="47" applyNumberFormat="1" applyFont="1" applyBorder="1"/>
    <xf numFmtId="166" fontId="93" fillId="0" borderId="65" xfId="47" applyNumberFormat="1" applyFont="1" applyBorder="1"/>
    <xf numFmtId="2" fontId="93" fillId="0" borderId="138" xfId="47" applyNumberFormat="1" applyFont="1" applyBorder="1"/>
    <xf numFmtId="167" fontId="93" fillId="0" borderId="0" xfId="47" applyNumberFormat="1" applyFont="1"/>
    <xf numFmtId="0" fontId="93" fillId="0" borderId="0" xfId="47" applyFont="1" applyBorder="1" applyAlignment="1">
      <alignment horizontal="center"/>
    </xf>
    <xf numFmtId="167" fontId="93" fillId="0" borderId="0" xfId="47" applyNumberFormat="1" applyFont="1" applyBorder="1" applyAlignment="1">
      <alignment horizontal="center"/>
    </xf>
    <xf numFmtId="2" fontId="93" fillId="0" borderId="0" xfId="47" applyNumberFormat="1" applyFont="1" applyBorder="1" applyAlignment="1">
      <alignment horizontal="center"/>
    </xf>
    <xf numFmtId="0" fontId="173" fillId="0" borderId="71" xfId="47" applyFont="1" applyBorder="1" applyAlignment="1">
      <alignment horizontal="centerContinuous"/>
    </xf>
    <xf numFmtId="167" fontId="173" fillId="0" borderId="0" xfId="47" applyNumberFormat="1" applyFont="1" applyAlignment="1">
      <alignment horizontal="center"/>
    </xf>
    <xf numFmtId="0" fontId="173" fillId="0" borderId="149" xfId="47" applyFont="1" applyBorder="1" applyAlignment="1">
      <alignment horizontal="center"/>
    </xf>
    <xf numFmtId="2" fontId="93" fillId="0" borderId="0" xfId="47" applyNumberFormat="1" applyFont="1" applyBorder="1" applyAlignment="1">
      <alignment horizontal="right"/>
    </xf>
    <xf numFmtId="0" fontId="93" fillId="0" borderId="0" xfId="47" applyFont="1" applyBorder="1" applyAlignment="1">
      <alignment horizontal="centerContinuous"/>
    </xf>
    <xf numFmtId="166" fontId="93" fillId="0" borderId="0" xfId="47" applyNumberFormat="1" applyFont="1" applyBorder="1" applyAlignment="1">
      <alignment horizontal="centerContinuous"/>
    </xf>
    <xf numFmtId="0" fontId="93" fillId="0" borderId="0" xfId="47" applyFont="1" applyFill="1" applyBorder="1" applyAlignment="1"/>
    <xf numFmtId="0" fontId="93" fillId="0" borderId="0" xfId="47" applyFont="1" applyFill="1" applyBorder="1" applyAlignment="1">
      <alignment horizontal="center"/>
    </xf>
    <xf numFmtId="4" fontId="173" fillId="0" borderId="5" xfId="47" applyNumberFormat="1" applyFont="1" applyBorder="1" applyAlignment="1">
      <alignment horizontal="center"/>
    </xf>
    <xf numFmtId="2" fontId="173" fillId="0" borderId="55" xfId="47" applyNumberFormat="1" applyFont="1" applyBorder="1" applyAlignment="1">
      <alignment horizontal="center"/>
    </xf>
    <xf numFmtId="2" fontId="93" fillId="0" borderId="0" xfId="47" applyNumberFormat="1" applyFont="1" applyFill="1" applyBorder="1" applyAlignment="1">
      <alignment horizontal="center"/>
    </xf>
    <xf numFmtId="4" fontId="173" fillId="0" borderId="55" xfId="47" applyNumberFormat="1" applyFont="1" applyBorder="1" applyAlignment="1">
      <alignment horizontal="centerContinuous"/>
    </xf>
    <xf numFmtId="2" fontId="173" fillId="0" borderId="4" xfId="47" applyNumberFormat="1" applyFont="1" applyBorder="1" applyAlignment="1">
      <alignment horizontal="centerContinuous"/>
    </xf>
    <xf numFmtId="3" fontId="173" fillId="0" borderId="5" xfId="47" applyNumberFormat="1" applyFont="1" applyBorder="1" applyAlignment="1">
      <alignment horizontal="center"/>
    </xf>
    <xf numFmtId="3" fontId="173" fillId="0" borderId="55" xfId="47" applyNumberFormat="1" applyFont="1" applyBorder="1" applyAlignment="1">
      <alignment horizontal="center"/>
    </xf>
    <xf numFmtId="0" fontId="173" fillId="0" borderId="0" xfId="47" applyFont="1" applyFill="1" applyBorder="1" applyAlignment="1">
      <alignment horizontal="centerContinuous"/>
    </xf>
    <xf numFmtId="0" fontId="93" fillId="0" borderId="0" xfId="47" applyFont="1" applyBorder="1" applyAlignment="1"/>
    <xf numFmtId="0" fontId="173" fillId="0" borderId="70" xfId="47" applyFont="1" applyBorder="1" applyAlignment="1">
      <alignment horizontal="center"/>
    </xf>
    <xf numFmtId="0" fontId="173" fillId="0" borderId="0" xfId="47" applyFont="1" applyBorder="1" applyAlignment="1">
      <alignment horizontal="center"/>
    </xf>
    <xf numFmtId="0" fontId="93" fillId="0" borderId="0" xfId="47" applyFont="1" applyBorder="1"/>
    <xf numFmtId="0" fontId="173" fillId="0" borderId="71" xfId="47" applyFont="1" applyBorder="1" applyAlignment="1">
      <alignment horizontal="center"/>
    </xf>
    <xf numFmtId="1" fontId="176" fillId="0" borderId="27" xfId="47" applyNumberFormat="1" applyFont="1" applyBorder="1" applyAlignment="1">
      <alignment horizontal="center"/>
    </xf>
    <xf numFmtId="3" fontId="176" fillId="0" borderId="27" xfId="47" applyNumberFormat="1" applyFont="1" applyBorder="1" applyAlignment="1">
      <alignment horizontal="center"/>
    </xf>
    <xf numFmtId="0" fontId="93" fillId="0" borderId="65" xfId="47" applyFont="1" applyBorder="1" applyAlignment="1">
      <alignment horizontal="right"/>
    </xf>
    <xf numFmtId="166" fontId="93" fillId="0" borderId="65" xfId="47" applyNumberFormat="1" applyFont="1" applyBorder="1" applyAlignment="1">
      <alignment horizontal="right"/>
    </xf>
    <xf numFmtId="3" fontId="93" fillId="0" borderId="66" xfId="47" applyNumberFormat="1" applyFont="1" applyBorder="1" applyAlignment="1">
      <alignment horizontal="right"/>
    </xf>
    <xf numFmtId="3" fontId="173" fillId="0" borderId="72" xfId="47" applyNumberFormat="1" applyFont="1" applyBorder="1" applyAlignment="1">
      <alignment horizontal="right"/>
    </xf>
    <xf numFmtId="166" fontId="93" fillId="0" borderId="0" xfId="47" applyNumberFormat="1" applyFont="1" applyFill="1" applyBorder="1" applyAlignment="1">
      <alignment horizontal="center"/>
    </xf>
    <xf numFmtId="166" fontId="93" fillId="0" borderId="0" xfId="47" applyNumberFormat="1" applyFont="1" applyFill="1" applyBorder="1"/>
    <xf numFmtId="2" fontId="173" fillId="0" borderId="0" xfId="47" applyNumberFormat="1" applyFont="1" applyBorder="1"/>
    <xf numFmtId="2" fontId="93" fillId="0" borderId="0" xfId="47" applyNumberFormat="1" applyFont="1" applyBorder="1"/>
    <xf numFmtId="0" fontId="93" fillId="0" borderId="98" xfId="47" applyFont="1" applyBorder="1" applyAlignment="1">
      <alignment horizontal="center"/>
    </xf>
    <xf numFmtId="0" fontId="93" fillId="0" borderId="17" xfId="47" applyFont="1" applyBorder="1" applyAlignment="1">
      <alignment horizontal="center"/>
    </xf>
    <xf numFmtId="2" fontId="173" fillId="0" borderId="17" xfId="47" applyNumberFormat="1" applyFont="1" applyBorder="1"/>
    <xf numFmtId="0" fontId="93" fillId="0" borderId="149" xfId="47" applyFont="1" applyBorder="1" applyAlignment="1">
      <alignment horizontal="center"/>
    </xf>
    <xf numFmtId="2" fontId="173" fillId="0" borderId="65" xfId="47" applyNumberFormat="1" applyFont="1" applyBorder="1"/>
    <xf numFmtId="0" fontId="173" fillId="0" borderId="78" xfId="47" applyFont="1" applyBorder="1" applyAlignment="1">
      <alignment horizontal="centerContinuous"/>
    </xf>
    <xf numFmtId="3" fontId="176" fillId="0" borderId="27" xfId="47" applyNumberFormat="1" applyFont="1" applyBorder="1" applyAlignment="1">
      <alignment horizontal="right"/>
    </xf>
    <xf numFmtId="4" fontId="93" fillId="0" borderId="27" xfId="47" applyNumberFormat="1" applyFont="1" applyBorder="1" applyAlignment="1">
      <alignment horizontal="right"/>
    </xf>
    <xf numFmtId="1" fontId="93" fillId="0" borderId="65" xfId="47" applyNumberFormat="1" applyFont="1" applyBorder="1" applyAlignment="1">
      <alignment horizontal="right"/>
    </xf>
    <xf numFmtId="1" fontId="176" fillId="0" borderId="27" xfId="47" applyNumberFormat="1" applyFont="1" applyBorder="1" applyAlignment="1">
      <alignment horizontal="right"/>
    </xf>
    <xf numFmtId="1" fontId="93" fillId="0" borderId="27" xfId="47" applyNumberFormat="1" applyFont="1" applyBorder="1" applyAlignment="1">
      <alignment horizontal="right"/>
    </xf>
    <xf numFmtId="166" fontId="93" fillId="0" borderId="0" xfId="47" applyNumberFormat="1" applyFont="1"/>
    <xf numFmtId="166" fontId="93" fillId="0" borderId="0" xfId="47" applyNumberFormat="1" applyFont="1" applyFill="1" applyBorder="1" applyAlignment="1">
      <alignment horizontal="centerContinuous"/>
    </xf>
    <xf numFmtId="0" fontId="175" fillId="0" borderId="0" xfId="47" applyFont="1" applyBorder="1" applyAlignment="1">
      <alignment horizontal="left"/>
    </xf>
    <xf numFmtId="172" fontId="93" fillId="0" borderId="27" xfId="47" applyNumberFormat="1" applyFont="1" applyBorder="1" applyAlignment="1">
      <alignment horizontal="right"/>
    </xf>
    <xf numFmtId="0" fontId="93" fillId="16" borderId="0" xfId="47" applyFont="1" applyFill="1" applyBorder="1" applyAlignment="1">
      <alignment horizontal="center"/>
    </xf>
    <xf numFmtId="0" fontId="93" fillId="16" borderId="0" xfId="47" applyFont="1" applyFill="1" applyBorder="1"/>
    <xf numFmtId="2" fontId="93" fillId="26" borderId="5" xfId="47" applyNumberFormat="1" applyFont="1" applyFill="1" applyBorder="1" applyAlignment="1">
      <alignment horizontal="center"/>
    </xf>
    <xf numFmtId="2" fontId="93" fillId="23" borderId="5" xfId="47" applyNumberFormat="1" applyFont="1" applyFill="1" applyBorder="1" applyAlignment="1">
      <alignment horizontal="center"/>
    </xf>
    <xf numFmtId="2" fontId="93" fillId="27" borderId="5" xfId="47" applyNumberFormat="1" applyFont="1" applyFill="1" applyBorder="1" applyAlignment="1">
      <alignment horizontal="center"/>
    </xf>
    <xf numFmtId="1" fontId="105" fillId="0" borderId="27" xfId="47" applyNumberFormat="1" applyFont="1" applyBorder="1" applyAlignment="1">
      <alignment horizontal="center"/>
    </xf>
    <xf numFmtId="167" fontId="107" fillId="0" borderId="0" xfId="48" applyNumberFormat="1" applyFont="1" applyAlignment="1">
      <alignment horizontal="center"/>
    </xf>
    <xf numFmtId="167" fontId="32" fillId="0" borderId="0" xfId="48" applyNumberFormat="1" applyFont="1" applyAlignment="1">
      <alignment horizontal="right"/>
    </xf>
    <xf numFmtId="166" fontId="32" fillId="0" borderId="16" xfId="47" applyNumberFormat="1" applyFont="1" applyBorder="1"/>
    <xf numFmtId="166" fontId="32" fillId="0" borderId="22" xfId="47" applyNumberFormat="1" applyFont="1" applyBorder="1"/>
    <xf numFmtId="0" fontId="107" fillId="0" borderId="58" xfId="47" applyFont="1" applyBorder="1" applyAlignment="1">
      <alignment horizontal="center"/>
    </xf>
    <xf numFmtId="0" fontId="107" fillId="0" borderId="91" xfId="47" applyFont="1" applyBorder="1" applyAlignment="1">
      <alignment horizontal="center"/>
    </xf>
    <xf numFmtId="187" fontId="107" fillId="0" borderId="86" xfId="45" applyNumberFormat="1" applyFont="1" applyFill="1" applyBorder="1" applyAlignment="1">
      <alignment horizontal="center"/>
    </xf>
    <xf numFmtId="3" fontId="75" fillId="0" borderId="0" xfId="45" applyNumberFormat="1" applyFill="1" applyBorder="1" applyAlignment="1">
      <alignment horizontal="center"/>
    </xf>
    <xf numFmtId="3" fontId="75" fillId="0" borderId="87" xfId="45" applyNumberFormat="1" applyFill="1" applyBorder="1" applyAlignment="1">
      <alignment horizontal="center"/>
    </xf>
    <xf numFmtId="187" fontId="107" fillId="0" borderId="88" xfId="45" applyNumberFormat="1" applyFont="1" applyFill="1" applyBorder="1" applyAlignment="1">
      <alignment horizontal="center"/>
    </xf>
    <xf numFmtId="3" fontId="75" fillId="31" borderId="0" xfId="45" applyNumberFormat="1" applyFill="1" applyBorder="1" applyAlignment="1">
      <alignment horizontal="center"/>
    </xf>
    <xf numFmtId="3" fontId="75" fillId="31" borderId="86" xfId="45" applyNumberFormat="1" applyFill="1" applyBorder="1" applyAlignment="1">
      <alignment horizontal="center"/>
    </xf>
    <xf numFmtId="0" fontId="107" fillId="0" borderId="109" xfId="45" applyFont="1" applyFill="1" applyBorder="1" applyAlignment="1">
      <alignment horizontal="center"/>
    </xf>
    <xf numFmtId="3" fontId="32" fillId="0" borderId="109" xfId="45" applyNumberFormat="1" applyFont="1" applyBorder="1" applyAlignment="1">
      <alignment horizontal="center" vertical="center"/>
    </xf>
    <xf numFmtId="0" fontId="32" fillId="0" borderId="109" xfId="45" applyFont="1" applyBorder="1" applyAlignment="1">
      <alignment horizontal="center" vertical="center"/>
    </xf>
    <xf numFmtId="3" fontId="32" fillId="0" borderId="110" xfId="45" applyNumberFormat="1" applyFont="1" applyBorder="1" applyAlignment="1">
      <alignment horizontal="center" vertical="center"/>
    </xf>
    <xf numFmtId="0" fontId="32" fillId="0" borderId="109" xfId="45" applyNumberFormat="1" applyFont="1" applyBorder="1" applyAlignment="1">
      <alignment horizontal="center" vertical="center"/>
    </xf>
    <xf numFmtId="3" fontId="32" fillId="0" borderId="109" xfId="45" applyNumberFormat="1" applyFont="1" applyBorder="1" applyAlignment="1">
      <alignment horizontal="center"/>
    </xf>
    <xf numFmtId="0" fontId="32" fillId="0" borderId="109" xfId="45" applyFont="1" applyBorder="1" applyAlignment="1">
      <alignment horizontal="center"/>
    </xf>
    <xf numFmtId="3" fontId="75" fillId="31" borderId="86" xfId="45" applyNumberFormat="1" applyFill="1" applyBorder="1" applyAlignment="1">
      <alignment horizontal="right"/>
    </xf>
    <xf numFmtId="3" fontId="75" fillId="0" borderId="87" xfId="45" applyNumberFormat="1" applyFill="1" applyBorder="1" applyAlignment="1">
      <alignment horizontal="right"/>
    </xf>
    <xf numFmtId="3" fontId="75" fillId="31" borderId="0" xfId="45" applyNumberFormat="1" applyFill="1" applyBorder="1" applyAlignment="1">
      <alignment horizontal="right"/>
    </xf>
    <xf numFmtId="3" fontId="75" fillId="0" borderId="0" xfId="45" applyNumberFormat="1" applyFill="1" applyBorder="1" applyAlignment="1">
      <alignment horizontal="right"/>
    </xf>
    <xf numFmtId="3" fontId="75" fillId="31" borderId="88" xfId="45" applyNumberFormat="1" applyFill="1" applyBorder="1" applyAlignment="1">
      <alignment horizontal="right"/>
    </xf>
    <xf numFmtId="3" fontId="75" fillId="0" borderId="90" xfId="45" applyNumberFormat="1" applyFill="1" applyBorder="1" applyAlignment="1">
      <alignment horizontal="right"/>
    </xf>
    <xf numFmtId="3" fontId="75" fillId="31" borderId="89" xfId="45" applyNumberFormat="1" applyFill="1" applyBorder="1" applyAlignment="1">
      <alignment horizontal="right"/>
    </xf>
    <xf numFmtId="3" fontId="75" fillId="0" borderId="89" xfId="45" applyNumberFormat="1" applyFill="1" applyBorder="1" applyAlignment="1">
      <alignment horizontal="right"/>
    </xf>
    <xf numFmtId="4" fontId="32" fillId="0" borderId="109" xfId="45" applyNumberFormat="1" applyFont="1" applyFill="1" applyBorder="1" applyAlignment="1">
      <alignment horizontal="right"/>
    </xf>
    <xf numFmtId="4" fontId="75" fillId="0" borderId="109" xfId="45" applyNumberFormat="1" applyFill="1" applyBorder="1" applyAlignment="1">
      <alignment horizontal="right"/>
    </xf>
    <xf numFmtId="4" fontId="75" fillId="0" borderId="110" xfId="45" applyNumberFormat="1" applyFill="1" applyBorder="1" applyAlignment="1">
      <alignment horizontal="right"/>
    </xf>
    <xf numFmtId="167" fontId="91" fillId="0" borderId="65" xfId="47" applyNumberFormat="1" applyFont="1" applyBorder="1" applyAlignment="1">
      <alignment horizontal="right"/>
    </xf>
    <xf numFmtId="0" fontId="107" fillId="0" borderId="150" xfId="47" applyFont="1" applyBorder="1" applyAlignment="1">
      <alignment horizontal="center"/>
    </xf>
    <xf numFmtId="166" fontId="32" fillId="0" borderId="88" xfId="47" applyNumberFormat="1" applyFont="1" applyBorder="1" applyAlignment="1">
      <alignment horizontal="center"/>
    </xf>
    <xf numFmtId="166" fontId="32" fillId="0" borderId="89" xfId="47" applyNumberFormat="1" applyFont="1" applyBorder="1" applyAlignment="1">
      <alignment horizontal="center"/>
    </xf>
    <xf numFmtId="166" fontId="32" fillId="0" borderId="90" xfId="47" applyNumberFormat="1" applyFont="1" applyBorder="1" applyAlignment="1">
      <alignment horizontal="center"/>
    </xf>
    <xf numFmtId="172" fontId="32" fillId="0" borderId="65" xfId="47" applyNumberFormat="1" applyFont="1" applyBorder="1" applyAlignment="1">
      <alignment horizontal="center"/>
    </xf>
    <xf numFmtId="0" fontId="107" fillId="0" borderId="5" xfId="0" applyFont="1" applyBorder="1" applyAlignment="1">
      <alignment horizontal="center"/>
    </xf>
    <xf numFmtId="0" fontId="107" fillId="0" borderId="5" xfId="0" applyFont="1" applyBorder="1" applyAlignment="1">
      <alignment horizontal="center" vertical="top" wrapText="1"/>
    </xf>
    <xf numFmtId="3" fontId="0" fillId="0" borderId="5" xfId="0" applyNumberFormat="1" applyBorder="1"/>
    <xf numFmtId="2" fontId="94" fillId="0" borderId="0" xfId="47" applyNumberFormat="1" applyFont="1" applyBorder="1" applyAlignment="1">
      <alignment horizontal="right"/>
    </xf>
    <xf numFmtId="171" fontId="32" fillId="0" borderId="0" xfId="47" applyNumberFormat="1" applyFont="1" applyBorder="1" applyAlignment="1">
      <alignment horizontal="center"/>
    </xf>
    <xf numFmtId="166" fontId="107" fillId="0" borderId="0" xfId="47" applyNumberFormat="1" applyFont="1" applyBorder="1" applyAlignment="1">
      <alignment horizontal="center"/>
    </xf>
    <xf numFmtId="0" fontId="68" fillId="0" borderId="0" xfId="47" applyBorder="1" applyAlignment="1">
      <alignment horizontal="left"/>
    </xf>
    <xf numFmtId="0" fontId="68" fillId="0" borderId="0" xfId="47" applyBorder="1" applyAlignment="1">
      <alignment horizontal="right"/>
    </xf>
    <xf numFmtId="166" fontId="67" fillId="0" borderId="0" xfId="47" applyNumberFormat="1" applyFont="1" applyBorder="1" applyAlignment="1">
      <alignment horizontal="right"/>
    </xf>
    <xf numFmtId="166" fontId="67" fillId="0" borderId="0" xfId="47" applyNumberFormat="1" applyFont="1" applyFill="1" applyBorder="1" applyAlignment="1">
      <alignment horizontal="center"/>
    </xf>
    <xf numFmtId="0" fontId="107" fillId="32" borderId="62" xfId="47" applyFont="1" applyFill="1" applyBorder="1" applyAlignment="1">
      <alignment horizontal="center"/>
    </xf>
    <xf numFmtId="166" fontId="32" fillId="32" borderId="17" xfId="47" applyNumberFormat="1" applyFont="1" applyFill="1" applyBorder="1"/>
    <xf numFmtId="166" fontId="67" fillId="0" borderId="0" xfId="47" applyNumberFormat="1" applyFont="1" applyBorder="1"/>
    <xf numFmtId="0" fontId="107" fillId="0" borderId="107" xfId="47" applyFont="1" applyBorder="1" applyAlignment="1">
      <alignment horizontal="centerContinuous"/>
    </xf>
    <xf numFmtId="0" fontId="107" fillId="0" borderId="17" xfId="47" applyFont="1" applyBorder="1" applyAlignment="1">
      <alignment horizontal="centerContinuous"/>
    </xf>
    <xf numFmtId="0" fontId="107" fillId="0" borderId="29" xfId="47" applyFont="1" applyBorder="1" applyAlignment="1">
      <alignment horizontal="center"/>
    </xf>
    <xf numFmtId="0" fontId="107" fillId="0" borderId="151" xfId="47" applyFont="1" applyBorder="1" applyAlignment="1">
      <alignment horizontal="center"/>
    </xf>
    <xf numFmtId="0" fontId="107" fillId="32" borderId="29" xfId="47" applyFont="1" applyFill="1" applyBorder="1" applyAlignment="1">
      <alignment horizontal="center"/>
    </xf>
    <xf numFmtId="172" fontId="91" fillId="0" borderId="0" xfId="47" applyNumberFormat="1" applyFont="1" applyBorder="1" applyAlignment="1">
      <alignment horizontal="center"/>
    </xf>
    <xf numFmtId="166" fontId="85" fillId="0" borderId="0" xfId="47" applyNumberFormat="1" applyFont="1" applyBorder="1" applyAlignment="1">
      <alignment horizontal="left"/>
    </xf>
    <xf numFmtId="0" fontId="173" fillId="0" borderId="0" xfId="47" applyFont="1"/>
    <xf numFmtId="166" fontId="173" fillId="0" borderId="0" xfId="47" applyNumberFormat="1" applyFont="1"/>
    <xf numFmtId="167" fontId="93" fillId="0" borderId="65" xfId="47" applyNumberFormat="1" applyFont="1" applyBorder="1" applyAlignment="1">
      <alignment horizontal="right"/>
    </xf>
    <xf numFmtId="172" fontId="93" fillId="0" borderId="58" xfId="47" applyNumberFormat="1" applyFont="1" applyBorder="1"/>
    <xf numFmtId="1" fontId="116" fillId="0" borderId="0" xfId="47" applyNumberFormat="1" applyFont="1" applyAlignment="1">
      <alignment horizontal="center"/>
    </xf>
    <xf numFmtId="172" fontId="32" fillId="0" borderId="58" xfId="47" applyNumberFormat="1" applyFont="1" applyBorder="1" applyAlignment="1">
      <alignment horizontal="center"/>
    </xf>
    <xf numFmtId="172" fontId="32" fillId="0" borderId="17" xfId="47" applyNumberFormat="1" applyFont="1" applyBorder="1"/>
    <xf numFmtId="2" fontId="107" fillId="0" borderId="0" xfId="47" applyNumberFormat="1" applyFont="1" applyBorder="1"/>
    <xf numFmtId="166" fontId="68" fillId="0" borderId="0" xfId="47" applyNumberFormat="1" applyBorder="1" applyAlignment="1">
      <alignment horizontal="center"/>
    </xf>
    <xf numFmtId="2" fontId="32" fillId="0" borderId="0" xfId="47" applyNumberFormat="1" applyFont="1" applyBorder="1" applyAlignment="1">
      <alignment horizontal="center"/>
    </xf>
    <xf numFmtId="4" fontId="68" fillId="0" borderId="0" xfId="47" applyNumberFormat="1" applyAlignment="1">
      <alignment horizontal="center"/>
    </xf>
    <xf numFmtId="1" fontId="85" fillId="0" borderId="0" xfId="47" applyNumberFormat="1" applyFont="1" applyBorder="1"/>
    <xf numFmtId="172" fontId="178" fillId="0" borderId="0" xfId="47" applyNumberFormat="1" applyFont="1" applyAlignment="1">
      <alignment horizontal="center"/>
    </xf>
    <xf numFmtId="166" fontId="32" fillId="0" borderId="65" xfId="47" applyNumberFormat="1" applyFont="1" applyBorder="1" applyAlignment="1">
      <alignment horizontal="center"/>
    </xf>
    <xf numFmtId="1" fontId="85" fillId="0" borderId="0" xfId="47" applyNumberFormat="1" applyFont="1" applyBorder="1" applyAlignment="1">
      <alignment horizontal="right"/>
    </xf>
    <xf numFmtId="0" fontId="85" fillId="0" borderId="0" xfId="47" applyFont="1" applyBorder="1" applyAlignment="1">
      <alignment horizontal="right"/>
    </xf>
    <xf numFmtId="4" fontId="32" fillId="0" borderId="17" xfId="47" applyNumberFormat="1" applyFont="1" applyBorder="1"/>
    <xf numFmtId="0" fontId="107" fillId="0" borderId="7" xfId="47" applyFont="1" applyBorder="1" applyAlignment="1">
      <alignment horizontal="center"/>
    </xf>
    <xf numFmtId="1" fontId="107" fillId="0" borderId="0" xfId="47" applyNumberFormat="1" applyFont="1" applyBorder="1" applyAlignment="1">
      <alignment horizontal="center"/>
    </xf>
    <xf numFmtId="0" fontId="107" fillId="0" borderId="152" xfId="47" applyFont="1" applyBorder="1" applyAlignment="1">
      <alignment horizontal="center"/>
    </xf>
    <xf numFmtId="0" fontId="107" fillId="0" borderId="129" xfId="47" applyFont="1" applyBorder="1" applyAlignment="1">
      <alignment horizontal="center"/>
    </xf>
    <xf numFmtId="0" fontId="107" fillId="0" borderId="79" xfId="47" applyFont="1" applyBorder="1" applyAlignment="1">
      <alignment horizontal="center"/>
    </xf>
    <xf numFmtId="0" fontId="67" fillId="0" borderId="153" xfId="47" applyFont="1" applyBorder="1" applyAlignment="1">
      <alignment horizontal="center"/>
    </xf>
    <xf numFmtId="0" fontId="67" fillId="0" borderId="154" xfId="47" applyFont="1" applyBorder="1" applyAlignment="1">
      <alignment horizontal="center"/>
    </xf>
    <xf numFmtId="0" fontId="67" fillId="0" borderId="155" xfId="47" applyFont="1" applyBorder="1" applyAlignment="1">
      <alignment horizontal="center"/>
    </xf>
    <xf numFmtId="0" fontId="107" fillId="0" borderId="56" xfId="47" applyFont="1" applyBorder="1" applyAlignment="1">
      <alignment horizontal="center"/>
    </xf>
    <xf numFmtId="0" fontId="107" fillId="0" borderId="3" xfId="47" applyFont="1" applyBorder="1" applyAlignment="1">
      <alignment horizontal="center"/>
    </xf>
    <xf numFmtId="0" fontId="107" fillId="0" borderId="44" xfId="47" applyFont="1" applyBorder="1" applyAlignment="1">
      <alignment horizontal="center"/>
    </xf>
    <xf numFmtId="0" fontId="98" fillId="0" borderId="56" xfId="47" applyFont="1" applyBorder="1" applyAlignment="1">
      <alignment horizontal="center"/>
    </xf>
    <xf numFmtId="0" fontId="98" fillId="0" borderId="3" xfId="47" applyFont="1" applyBorder="1" applyAlignment="1">
      <alignment horizontal="center"/>
    </xf>
    <xf numFmtId="0" fontId="98" fillId="0" borderId="44" xfId="47" applyFont="1" applyBorder="1" applyAlignment="1">
      <alignment horizontal="center"/>
    </xf>
    <xf numFmtId="0" fontId="173" fillId="0" borderId="86" xfId="47" applyFont="1" applyBorder="1" applyAlignment="1">
      <alignment horizontal="left"/>
    </xf>
    <xf numFmtId="0" fontId="173" fillId="0" borderId="0" xfId="47" applyFont="1" applyBorder="1" applyAlignment="1">
      <alignment horizontal="left"/>
    </xf>
    <xf numFmtId="0" fontId="173" fillId="0" borderId="6" xfId="47" applyFont="1" applyBorder="1" applyAlignment="1">
      <alignment horizontal="center"/>
    </xf>
    <xf numFmtId="0" fontId="173" fillId="0" borderId="81" xfId="47" applyFont="1" applyBorder="1" applyAlignment="1">
      <alignment horizontal="center"/>
    </xf>
    <xf numFmtId="0" fontId="82" fillId="0" borderId="56" xfId="47" applyFont="1" applyBorder="1" applyAlignment="1">
      <alignment horizontal="center"/>
    </xf>
    <xf numFmtId="0" fontId="82" fillId="0" borderId="3" xfId="47" applyFont="1" applyBorder="1" applyAlignment="1">
      <alignment horizontal="center"/>
    </xf>
    <xf numFmtId="0" fontId="82" fillId="0" borderId="44" xfId="47" applyFont="1" applyBorder="1" applyAlignment="1">
      <alignment horizontal="center"/>
    </xf>
    <xf numFmtId="0" fontId="123" fillId="0" borderId="156" xfId="0" applyFont="1" applyBorder="1" applyAlignment="1">
      <alignment horizontal="center" vertical="center"/>
    </xf>
    <xf numFmtId="0" fontId="123" fillId="0" borderId="5" xfId="0" applyFont="1" applyBorder="1" applyAlignment="1">
      <alignment horizontal="center" vertical="center"/>
    </xf>
    <xf numFmtId="0" fontId="125" fillId="0" borderId="157" xfId="0" applyFont="1" applyBorder="1" applyAlignment="1">
      <alignment horizontal="right" vertical="center"/>
    </xf>
    <xf numFmtId="0" fontId="125" fillId="0" borderId="120" xfId="0" applyFont="1" applyBorder="1" applyAlignment="1">
      <alignment horizontal="right" vertical="center"/>
    </xf>
    <xf numFmtId="0" fontId="122" fillId="0" borderId="158" xfId="0" applyFont="1" applyBorder="1" applyAlignment="1">
      <alignment horizontal="center" vertical="center"/>
    </xf>
    <xf numFmtId="0" fontId="122" fillId="0" borderId="159" xfId="0" applyFont="1" applyBorder="1" applyAlignment="1">
      <alignment horizontal="center" vertical="center"/>
    </xf>
    <xf numFmtId="0" fontId="122" fillId="0" borderId="160" xfId="0" applyFont="1" applyBorder="1" applyAlignment="1">
      <alignment horizontal="center" vertical="center"/>
    </xf>
    <xf numFmtId="0" fontId="122" fillId="0" borderId="16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71" fillId="0" borderId="0" xfId="0" applyFont="1" applyAlignment="1">
      <alignment horizontal="center"/>
    </xf>
    <xf numFmtId="0" fontId="145" fillId="0" borderId="56" xfId="48" applyFont="1" applyBorder="1" applyAlignment="1">
      <alignment horizontal="center" vertical="center"/>
    </xf>
    <xf numFmtId="0" fontId="145" fillId="0" borderId="3" xfId="48" applyFont="1" applyBorder="1" applyAlignment="1">
      <alignment horizontal="center" vertical="center"/>
    </xf>
    <xf numFmtId="0" fontId="145" fillId="0" borderId="44" xfId="48" applyFont="1" applyBorder="1" applyAlignment="1">
      <alignment horizontal="center" vertical="center"/>
    </xf>
    <xf numFmtId="0" fontId="139" fillId="0" borderId="0" xfId="45" applyFont="1" applyAlignment="1">
      <alignment horizontal="center" vertical="center"/>
    </xf>
    <xf numFmtId="0" fontId="142" fillId="0" borderId="0" xfId="45" applyFont="1" applyAlignment="1">
      <alignment horizontal="center" vertical="center"/>
    </xf>
    <xf numFmtId="49" fontId="143" fillId="0" borderId="83" xfId="45" applyNumberFormat="1" applyFont="1" applyFill="1" applyBorder="1" applyAlignment="1">
      <alignment horizontal="center" vertical="center"/>
    </xf>
    <xf numFmtId="49" fontId="143" fillId="0" borderId="85" xfId="45" applyNumberFormat="1" applyFont="1" applyFill="1" applyBorder="1" applyAlignment="1">
      <alignment horizontal="center" vertical="center"/>
    </xf>
    <xf numFmtId="49" fontId="143" fillId="0" borderId="86" xfId="45" applyNumberFormat="1" applyFont="1" applyFill="1" applyBorder="1" applyAlignment="1">
      <alignment horizontal="center" vertical="center"/>
    </xf>
    <xf numFmtId="49" fontId="143" fillId="0" borderId="87" xfId="45" applyNumberFormat="1" applyFont="1" applyFill="1" applyBorder="1" applyAlignment="1">
      <alignment horizontal="center" vertical="center"/>
    </xf>
    <xf numFmtId="49" fontId="107" fillId="0" borderId="84" xfId="45" applyNumberFormat="1" applyFont="1" applyBorder="1" applyAlignment="1">
      <alignment horizontal="center" vertical="center"/>
    </xf>
    <xf numFmtId="49" fontId="107" fillId="0" borderId="0" xfId="45" applyNumberFormat="1" applyFont="1" applyBorder="1" applyAlignment="1">
      <alignment horizontal="center" vertical="center"/>
    </xf>
    <xf numFmtId="0" fontId="114" fillId="0" borderId="83" xfId="45" applyFont="1" applyBorder="1" applyAlignment="1">
      <alignment horizontal="center" vertical="center"/>
    </xf>
    <xf numFmtId="0" fontId="114" fillId="0" borderId="84" xfId="45" applyFont="1" applyBorder="1" applyAlignment="1">
      <alignment horizontal="center" vertical="center"/>
    </xf>
    <xf numFmtId="0" fontId="114" fillId="0" borderId="86" xfId="45" applyFont="1" applyBorder="1" applyAlignment="1">
      <alignment horizontal="center" vertical="center"/>
    </xf>
    <xf numFmtId="0" fontId="114" fillId="0" borderId="0" xfId="45" applyFont="1" applyBorder="1" applyAlignment="1">
      <alignment horizontal="center" vertical="center"/>
    </xf>
    <xf numFmtId="49" fontId="107" fillId="0" borderId="108" xfId="45" applyNumberFormat="1" applyFont="1" applyBorder="1" applyAlignment="1">
      <alignment horizontal="center" vertical="center"/>
    </xf>
    <xf numFmtId="49" fontId="107" fillId="0" borderId="109" xfId="45" applyNumberFormat="1" applyFont="1" applyBorder="1" applyAlignment="1">
      <alignment horizontal="center" vertical="center"/>
    </xf>
    <xf numFmtId="0" fontId="114" fillId="0" borderId="83" xfId="45" applyFont="1" applyFill="1" applyBorder="1" applyAlignment="1">
      <alignment horizontal="center" vertical="center"/>
    </xf>
    <xf numFmtId="0" fontId="114" fillId="0" borderId="86" xfId="45" applyFont="1" applyFill="1" applyBorder="1" applyAlignment="1">
      <alignment horizontal="center" vertical="center"/>
    </xf>
    <xf numFmtId="49" fontId="143" fillId="0" borderId="84" xfId="45" applyNumberFormat="1" applyFont="1" applyFill="1" applyBorder="1" applyAlignment="1">
      <alignment horizontal="center" vertical="center"/>
    </xf>
    <xf numFmtId="49" fontId="143" fillId="0" borderId="0" xfId="45" applyNumberFormat="1" applyFont="1" applyFill="1" applyBorder="1" applyAlignment="1">
      <alignment horizontal="center" vertical="center"/>
    </xf>
    <xf numFmtId="0" fontId="114" fillId="0" borderId="108" xfId="45" applyFont="1" applyFill="1" applyBorder="1" applyAlignment="1">
      <alignment horizontal="center" vertical="center"/>
    </xf>
    <xf numFmtId="0" fontId="114" fillId="0" borderId="109" xfId="45" applyFont="1" applyFill="1" applyBorder="1" applyAlignment="1">
      <alignment horizontal="center" vertical="center"/>
    </xf>
    <xf numFmtId="0" fontId="107" fillId="0" borderId="88" xfId="45" applyFont="1" applyBorder="1" applyAlignment="1">
      <alignment horizontal="left" vertical="center"/>
    </xf>
    <xf numFmtId="0" fontId="107" fillId="0" borderId="89" xfId="45" applyFont="1" applyBorder="1" applyAlignment="1">
      <alignment horizontal="left" vertical="center"/>
    </xf>
    <xf numFmtId="0" fontId="107" fillId="0" borderId="83" xfId="45" applyFont="1" applyBorder="1" applyAlignment="1">
      <alignment horizontal="left" vertical="center"/>
    </xf>
    <xf numFmtId="0" fontId="107" fillId="0" borderId="84" xfId="45" applyFont="1" applyBorder="1" applyAlignment="1">
      <alignment horizontal="left" vertical="center"/>
    </xf>
    <xf numFmtId="0" fontId="107" fillId="0" borderId="86" xfId="45" applyFont="1" applyBorder="1" applyAlignment="1">
      <alignment horizontal="left" vertical="center"/>
    </xf>
    <xf numFmtId="0" fontId="107" fillId="0" borderId="0" xfId="45" applyFont="1" applyBorder="1" applyAlignment="1">
      <alignment horizontal="left" vertical="center"/>
    </xf>
    <xf numFmtId="0" fontId="5" fillId="19" borderId="45" xfId="0" applyFont="1" applyFill="1" applyBorder="1" applyAlignment="1">
      <alignment horizontal="center"/>
    </xf>
    <xf numFmtId="0" fontId="5" fillId="19" borderId="30" xfId="0" applyFont="1" applyFill="1" applyBorder="1" applyAlignment="1">
      <alignment horizontal="center"/>
    </xf>
    <xf numFmtId="0" fontId="5" fillId="19" borderId="46" xfId="0" applyFont="1" applyFill="1" applyBorder="1" applyAlignment="1">
      <alignment horizontal="center"/>
    </xf>
    <xf numFmtId="0" fontId="5" fillId="19" borderId="47" xfId="0" applyFont="1" applyFill="1" applyBorder="1" applyAlignment="1">
      <alignment horizontal="center"/>
    </xf>
    <xf numFmtId="0" fontId="5" fillId="19" borderId="48" xfId="0" applyFont="1" applyFill="1" applyBorder="1" applyAlignment="1">
      <alignment horizontal="center"/>
    </xf>
    <xf numFmtId="0" fontId="5" fillId="19" borderId="49" xfId="0" applyFont="1" applyFill="1" applyBorder="1" applyAlignment="1">
      <alignment horizontal="center"/>
    </xf>
    <xf numFmtId="0" fontId="3" fillId="0" borderId="0" xfId="46" applyAlignment="1">
      <alignment horizontal="center" vertical="center"/>
    </xf>
    <xf numFmtId="0" fontId="3" fillId="0" borderId="0" xfId="46" applyFill="1" applyAlignment="1">
      <alignment horizontal="center" vertical="center"/>
    </xf>
    <xf numFmtId="0" fontId="1" fillId="0" borderId="0" xfId="46" applyFont="1" applyAlignment="1">
      <alignment horizontal="center" vertical="center"/>
    </xf>
    <xf numFmtId="0" fontId="157" fillId="0" borderId="141" xfId="0" applyFont="1" applyBorder="1" applyAlignment="1">
      <alignment horizontal="center" wrapText="1"/>
    </xf>
    <xf numFmtId="0" fontId="157" fillId="0" borderId="142" xfId="0" applyFont="1" applyBorder="1" applyAlignment="1">
      <alignment horizontal="center" wrapText="1"/>
    </xf>
    <xf numFmtId="0" fontId="157" fillId="0" borderId="144" xfId="0" applyFont="1" applyBorder="1" applyAlignment="1">
      <alignment horizontal="center" wrapText="1"/>
    </xf>
    <xf numFmtId="0" fontId="158" fillId="30" borderId="162" xfId="0" applyFont="1" applyFill="1" applyBorder="1" applyAlignment="1">
      <alignment wrapText="1"/>
    </xf>
    <xf numFmtId="0" fontId="158" fillId="30" borderId="163" xfId="0" applyFont="1" applyFill="1" applyBorder="1" applyAlignment="1">
      <alignment wrapText="1"/>
    </xf>
    <xf numFmtId="0" fontId="158" fillId="30" borderId="164" xfId="0" applyFont="1" applyFill="1" applyBorder="1" applyAlignment="1">
      <alignment wrapText="1"/>
    </xf>
    <xf numFmtId="0" fontId="157" fillId="0" borderId="141" xfId="0" applyFont="1" applyBorder="1" applyAlignment="1">
      <alignment horizontal="center" vertical="top" wrapText="1"/>
    </xf>
    <xf numFmtId="0" fontId="157" fillId="0" borderId="144" xfId="0" applyFont="1" applyBorder="1" applyAlignment="1">
      <alignment horizontal="center" vertical="top" wrapText="1"/>
    </xf>
    <xf numFmtId="0" fontId="157" fillId="0" borderId="142" xfId="0" applyFont="1" applyBorder="1" applyAlignment="1">
      <alignment horizontal="center" vertical="top" wrapText="1"/>
    </xf>
    <xf numFmtId="0" fontId="162" fillId="0" borderId="162" xfId="0" applyFont="1" applyBorder="1" applyAlignment="1">
      <alignment horizontal="center" wrapText="1"/>
    </xf>
    <xf numFmtId="0" fontId="162" fillId="0" borderId="163" xfId="0" applyFont="1" applyBorder="1" applyAlignment="1">
      <alignment horizontal="center" wrapText="1"/>
    </xf>
    <xf numFmtId="0" fontId="162" fillId="0" borderId="164" xfId="0" applyFont="1" applyBorder="1" applyAlignment="1">
      <alignment horizontal="center" wrapText="1"/>
    </xf>
    <xf numFmtId="0" fontId="162" fillId="0" borderId="141" xfId="0" applyFont="1" applyBorder="1" applyAlignment="1">
      <alignment horizontal="center" wrapText="1"/>
    </xf>
    <xf numFmtId="0" fontId="162" fillId="0" borderId="142" xfId="0" applyFont="1" applyBorder="1" applyAlignment="1">
      <alignment horizontal="center" wrapText="1"/>
    </xf>
    <xf numFmtId="0" fontId="157" fillId="0" borderId="143" xfId="0" applyFont="1" applyBorder="1" applyAlignment="1">
      <alignment horizontal="center" wrapText="1"/>
    </xf>
    <xf numFmtId="0" fontId="157" fillId="0" borderId="140" xfId="0" applyFont="1" applyBorder="1" applyAlignment="1">
      <alignment horizontal="center" wrapText="1"/>
    </xf>
    <xf numFmtId="0" fontId="157" fillId="0" borderId="0" xfId="0" applyFont="1" applyBorder="1" applyAlignment="1">
      <alignment horizontal="center" wrapText="1"/>
    </xf>
    <xf numFmtId="0" fontId="159" fillId="0" borderId="162" xfId="0" applyFont="1" applyBorder="1" applyAlignment="1">
      <alignment horizontal="center" wrapText="1"/>
    </xf>
    <xf numFmtId="0" fontId="159" fillId="0" borderId="163" xfId="0" applyFont="1" applyBorder="1" applyAlignment="1">
      <alignment horizontal="center" wrapText="1"/>
    </xf>
    <xf numFmtId="0" fontId="159" fillId="0" borderId="164" xfId="0" applyFont="1" applyBorder="1" applyAlignment="1">
      <alignment horizontal="center" wrapText="1"/>
    </xf>
    <xf numFmtId="0" fontId="162" fillId="0" borderId="165" xfId="0" applyFont="1" applyBorder="1" applyAlignment="1">
      <alignment horizontal="center" wrapText="1"/>
    </xf>
    <xf numFmtId="0" fontId="162" fillId="0" borderId="145" xfId="0" applyFont="1" applyBorder="1" applyAlignment="1">
      <alignment horizontal="center" wrapText="1"/>
    </xf>
    <xf numFmtId="0" fontId="162" fillId="0" borderId="143" xfId="0" applyFont="1" applyBorder="1" applyAlignment="1">
      <alignment horizontal="center" wrapText="1"/>
    </xf>
    <xf numFmtId="0" fontId="162" fillId="0" borderId="0" xfId="0" applyFont="1" applyBorder="1" applyAlignment="1">
      <alignment horizontal="center" wrapText="1"/>
    </xf>
    <xf numFmtId="0" fontId="159" fillId="0" borderId="141" xfId="0" applyFont="1" applyBorder="1" applyAlignment="1">
      <alignment horizontal="center" wrapText="1"/>
    </xf>
    <xf numFmtId="0" fontId="159" fillId="0" borderId="142" xfId="0" applyFont="1" applyBorder="1" applyAlignment="1">
      <alignment horizontal="center" wrapText="1"/>
    </xf>
    <xf numFmtId="0" fontId="111" fillId="0" borderId="0" xfId="0" applyFont="1" applyBorder="1" applyAlignment="1">
      <alignment horizontal="center"/>
    </xf>
    <xf numFmtId="0" fontId="107" fillId="0" borderId="0" xfId="0" applyFont="1" applyBorder="1" applyAlignment="1">
      <alignment horizontal="center"/>
    </xf>
    <xf numFmtId="0" fontId="107" fillId="0" borderId="0" xfId="0" applyFont="1" applyBorder="1" applyAlignment="1">
      <alignment horizontal="center" vertical="center" wrapText="1"/>
    </xf>
    <xf numFmtId="0" fontId="107" fillId="0" borderId="5" xfId="0" applyFont="1" applyBorder="1" applyAlignment="1">
      <alignment horizontal="center" vertical="center" wrapText="1"/>
    </xf>
    <xf numFmtId="0" fontId="107" fillId="0" borderId="5" xfId="0" applyFont="1" applyBorder="1" applyAlignment="1">
      <alignment horizontal="center"/>
    </xf>
  </cellXfs>
  <cellStyles count="66">
    <cellStyle name="=C:\WINDOWS\SYSTEM32\COMMAND.COM" xfId="1"/>
    <cellStyle name="•W_laroux" xfId="2"/>
    <cellStyle name="Äåíåæíûé [0]_PERSONAL" xfId="3"/>
    <cellStyle name="Äåíåæíûé_PERSONAL" xfId="4"/>
    <cellStyle name="Accent1" xfId="5"/>
    <cellStyle name="Accent2" xfId="6"/>
    <cellStyle name="Accent3" xfId="7"/>
    <cellStyle name="Accent4" xfId="8"/>
    <cellStyle name="Accent5" xfId="9"/>
    <cellStyle name="Accent6" xfId="10"/>
    <cellStyle name="Bad" xfId="11"/>
    <cellStyle name="Calc Currency (0)" xfId="12"/>
    <cellStyle name="Calc Currency (2)" xfId="13"/>
    <cellStyle name="Calc Percent (0)" xfId="14"/>
    <cellStyle name="Calc Percent (1)" xfId="15"/>
    <cellStyle name="Calc Percent (2)" xfId="16"/>
    <cellStyle name="Calc Units (0)" xfId="17"/>
    <cellStyle name="Calc Units (1)" xfId="18"/>
    <cellStyle name="Calc Units (2)" xfId="19"/>
    <cellStyle name="Calculation" xfId="20"/>
    <cellStyle name="Check Cell" xfId="21"/>
    <cellStyle name="Comma [00]" xfId="22"/>
    <cellStyle name="Comma0" xfId="23"/>
    <cellStyle name="Currency [00]" xfId="24"/>
    <cellStyle name="Date Short" xfId="25"/>
    <cellStyle name="Enter Currency (0)" xfId="26"/>
    <cellStyle name="Enter Currency (2)" xfId="27"/>
    <cellStyle name="Enter Units (0)" xfId="28"/>
    <cellStyle name="Enter Units (1)" xfId="29"/>
    <cellStyle name="Enter Units (2)" xfId="30"/>
    <cellStyle name="Good" xfId="31"/>
    <cellStyle name="Grey" xfId="32"/>
    <cellStyle name="Header1" xfId="33"/>
    <cellStyle name="Header2" xfId="34"/>
    <cellStyle name="Input [yellow]" xfId="35"/>
    <cellStyle name="Îáû÷íûé_PERSONAL" xfId="36"/>
    <cellStyle name="Link Currency (0)" xfId="37"/>
    <cellStyle name="Link Currency (2)" xfId="38"/>
    <cellStyle name="Link Units (0)" xfId="39"/>
    <cellStyle name="Link Units (1)" xfId="40"/>
    <cellStyle name="Link Units (2)" xfId="41"/>
    <cellStyle name="Neutral" xfId="42"/>
    <cellStyle name="Normal" xfId="0" builtinId="0"/>
    <cellStyle name="Normal - Style1" xfId="43"/>
    <cellStyle name="Normal_cost study and static loads" xfId="44"/>
    <cellStyle name="Normal_Eurocode3 Bolt Selector" xfId="45"/>
    <cellStyle name="Normal_Profiller" xfId="46"/>
    <cellStyle name="Normal_STATIK" xfId="47"/>
    <cellStyle name="Normal_statik" xfId="48"/>
    <cellStyle name="Œ…‹æØ‚è [0.00]_laroux" xfId="49"/>
    <cellStyle name="Œ…‹æØ‚è_laroux" xfId="50"/>
    <cellStyle name="Ôèíàíñîâûé [0]_PERSONAL" xfId="51"/>
    <cellStyle name="Ôèíàíñîâûé_PERSONAL" xfId="52"/>
    <cellStyle name="Percent [0]" xfId="53"/>
    <cellStyle name="Percent [00]" xfId="54"/>
    <cellStyle name="Percent [2]" xfId="55"/>
    <cellStyle name="PrePop Currency (0)" xfId="56"/>
    <cellStyle name="PrePop Currency (2)" xfId="57"/>
    <cellStyle name="PrePop Units (0)" xfId="58"/>
    <cellStyle name="PrePop Units (1)" xfId="59"/>
    <cellStyle name="PrePop Units (2)" xfId="60"/>
    <cellStyle name="Text Indent A" xfId="61"/>
    <cellStyle name="Text Indent B" xfId="62"/>
    <cellStyle name="Text Indent C" xfId="63"/>
    <cellStyle name="Virgül" xfId="64" builtinId="3"/>
    <cellStyle name="Virgül [0]_RESULTS" xfId="65"/>
  </cellStyles>
  <dxfs count="1">
    <dxf>
      <font>
        <b/>
        <i val="0"/>
        <condense val="0"/>
        <extend val="0"/>
        <color indexed="1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externalLink" Target="externalLinks/externalLink2.xml"/><Relationship Id="rId50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externalLink" Target="externalLinks/externalLink3.xml"/><Relationship Id="rId8" Type="http://schemas.openxmlformats.org/officeDocument/2006/relationships/worksheet" Target="worksheets/sheet8.xml"/><Relationship Id="rId51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Drop" dropLines="80" dropStyle="combo" dx="22" fmlaLink="$M$15" fmlaRange="IPE!$A$15:$A$81" sel="30" val="27"/>
</file>

<file path=xl/ctrlProps/ctrlProp10.xml><?xml version="1.0" encoding="utf-8"?>
<formControlPr xmlns="http://schemas.microsoft.com/office/spreadsheetml/2009/9/main" objectType="Drop" dropLines="200" dropStyle="combo" dx="22" fmlaLink="$I$93" fmlaRange="L!$A$16:$A$82" sel="1" val="0"/>
</file>

<file path=xl/ctrlProps/ctrlProp11.xml><?xml version="1.0" encoding="utf-8"?>
<formControlPr xmlns="http://schemas.microsoft.com/office/spreadsheetml/2009/9/main" objectType="Drop" dropLines="80" dropStyle="combo" dx="22" fmlaLink="$F$73" fmlaRange="IPE!$A$15:$A$81" sel="26" val="25"/>
</file>

<file path=xl/ctrlProps/ctrlProp12.xml><?xml version="1.0" encoding="utf-8"?>
<formControlPr xmlns="http://schemas.microsoft.com/office/spreadsheetml/2009/9/main" objectType="Drop" dropLines="30" dropStyle="combo" dx="22" fmlaLink="$E$73" fmlaRange="IPN!$A$18:$A$39" sel="8" val="0"/>
</file>

<file path=xl/ctrlProps/ctrlProp13.xml><?xml version="1.0" encoding="utf-8"?>
<formControlPr xmlns="http://schemas.microsoft.com/office/spreadsheetml/2009/9/main" objectType="Drop" dropLines="200" dropStyle="combo" dx="22" fmlaLink="$G$73" fmlaRange="HE!$A$16:$A$177" sel="2" val="0"/>
</file>

<file path=xl/ctrlProps/ctrlProp14.xml><?xml version="1.0" encoding="utf-8"?>
<formControlPr xmlns="http://schemas.microsoft.com/office/spreadsheetml/2009/9/main" objectType="Drop" dropLines="80" dropStyle="combo" dx="22" fmlaLink="$H$73" fmlaRange="UPN!$P$17:$AE$34" sel="15" val="0"/>
</file>

<file path=xl/ctrlProps/ctrlProp15.xml><?xml version="1.0" encoding="utf-8"?>
<formControlPr xmlns="http://schemas.microsoft.com/office/spreadsheetml/2009/9/main" objectType="Drop" dropLines="200" dropStyle="combo" dx="22" fmlaLink="$I$73" fmlaRange="L!$A$16:$A$82" sel="39" val="24"/>
</file>

<file path=xl/ctrlProps/ctrlProp16.xml><?xml version="1.0" encoding="utf-8"?>
<formControlPr xmlns="http://schemas.microsoft.com/office/spreadsheetml/2009/9/main" objectType="Drop" dropLines="80" dropStyle="combo" dx="22" fmlaLink="$F$83" fmlaRange="IPE!$A$15:$A$81" sel="33" val="0"/>
</file>

<file path=xl/ctrlProps/ctrlProp17.xml><?xml version="1.0" encoding="utf-8"?>
<formControlPr xmlns="http://schemas.microsoft.com/office/spreadsheetml/2009/9/main" objectType="Drop" dropLines="30" dropStyle="combo" dx="22" fmlaLink="$E$83" fmlaRange="IPN!$A$18:$A$39" sel="8" val="0"/>
</file>

<file path=xl/ctrlProps/ctrlProp18.xml><?xml version="1.0" encoding="utf-8"?>
<formControlPr xmlns="http://schemas.microsoft.com/office/spreadsheetml/2009/9/main" objectType="Drop" dropLines="200" dropStyle="combo" dx="22" fmlaLink="$G$83" fmlaRange="HE!$A$16:$A$177" sel="79" val="39"/>
</file>

<file path=xl/ctrlProps/ctrlProp19.xml><?xml version="1.0" encoding="utf-8"?>
<formControlPr xmlns="http://schemas.microsoft.com/office/spreadsheetml/2009/9/main" objectType="Drop" dropLines="80" dropStyle="combo" dx="22" fmlaLink="$H$83" fmlaRange="UPN!$P$17:$AE$34" sel="16" val="0"/>
</file>

<file path=xl/ctrlProps/ctrlProp2.xml><?xml version="1.0" encoding="utf-8"?>
<formControlPr xmlns="http://schemas.microsoft.com/office/spreadsheetml/2009/9/main" objectType="Drop" dropLines="30" dropStyle="combo" dx="22" fmlaLink="$L$15" fmlaRange="IPN!$A$18:$A$39" sel="9" val="0"/>
</file>

<file path=xl/ctrlProps/ctrlProp20.xml><?xml version="1.0" encoding="utf-8"?>
<formControlPr xmlns="http://schemas.microsoft.com/office/spreadsheetml/2009/9/main" objectType="Drop" dropLines="200" dropStyle="combo" dx="22" fmlaLink="$I$83" fmlaRange="L!$A$16:$A$82" sel="41" val="0"/>
</file>

<file path=xl/ctrlProps/ctrlProp21.xml><?xml version="1.0" encoding="utf-8"?>
<formControlPr xmlns="http://schemas.microsoft.com/office/spreadsheetml/2009/9/main" objectType="Drop" dropLines="80" dropStyle="combo" dx="22" fmlaLink="$E$11" fmlaRange="UPN!$P$17:$AE$34" sel="1" val="0"/>
</file>

<file path=xl/ctrlProps/ctrlProp22.xml><?xml version="1.0" encoding="utf-8"?>
<formControlPr xmlns="http://schemas.microsoft.com/office/spreadsheetml/2009/9/main" objectType="Drop" dropLines="30" dropStyle="combo" dx="22" fmlaLink="$I$21" fmlaRange="IPN!$A$18:$A$39" noThreeD="1" sel="15" val="0"/>
</file>

<file path=xl/ctrlProps/ctrlProp23.xml><?xml version="1.0" encoding="utf-8"?>
<formControlPr xmlns="http://schemas.microsoft.com/office/spreadsheetml/2009/9/main" objectType="Drop" dropLines="80" dropStyle="combo" dx="22" fmlaLink="$F$21" fmlaRange="IPE!$A$15:$A$81" sel="26" val="24"/>
</file>

<file path=xl/ctrlProps/ctrlProp24.xml><?xml version="1.0" encoding="utf-8"?>
<formControlPr xmlns="http://schemas.microsoft.com/office/spreadsheetml/2009/9/main" objectType="Drop" dropLines="20" dropStyle="combo" dx="22" fmlaLink="$B$6" fmlaRange="'Bolts Resistances'!$A$19:$A$44" sel="11" val="6"/>
</file>

<file path=xl/ctrlProps/ctrlProp25.xml><?xml version="1.0" encoding="utf-8"?>
<formControlPr xmlns="http://schemas.microsoft.com/office/spreadsheetml/2009/9/main" objectType="Drop" dropLines="20" dropStyle="combo" dx="22" fmlaLink="$B$8" fmlaRange="'Bolts Resistances'!$K$5:$K$11" sel="6" val="0"/>
</file>

<file path=xl/ctrlProps/ctrlProp26.xml><?xml version="1.0" encoding="utf-8"?>
<formControlPr xmlns="http://schemas.microsoft.com/office/spreadsheetml/2009/9/main" objectType="Drop" dropLines="20" dropStyle="combo" dx="22" fmlaLink="$B$10" fmlaRange="'Bolts Resistances'!$R$17:$R$32" sel="16" val="0"/>
</file>

<file path=xl/ctrlProps/ctrlProp27.xml><?xml version="1.0" encoding="utf-8"?>
<formControlPr xmlns="http://schemas.microsoft.com/office/spreadsheetml/2009/9/main" objectType="Radio" firstButton="1" fmlaLink="$B$29" lockText="1"/>
</file>

<file path=xl/ctrlProps/ctrlProp28.xml><?xml version="1.0" encoding="utf-8"?>
<formControlPr xmlns="http://schemas.microsoft.com/office/spreadsheetml/2009/9/main" objectType="Radio" lockText="1"/>
</file>

<file path=xl/ctrlProps/ctrlProp29.xml><?xml version="1.0" encoding="utf-8"?>
<formControlPr xmlns="http://schemas.microsoft.com/office/spreadsheetml/2009/9/main" objectType="Radio" checked="Checked" lockText="1"/>
</file>

<file path=xl/ctrlProps/ctrlProp3.xml><?xml version="1.0" encoding="utf-8"?>
<formControlPr xmlns="http://schemas.microsoft.com/office/spreadsheetml/2009/9/main" objectType="Drop" dropLines="200" dropStyle="combo" dx="22" fmlaLink="$N$15" fmlaRange="HE!$A$16:$A$177" sel="117" val="116"/>
</file>

<file path=xl/ctrlProps/ctrlProp30.xml><?xml version="1.0" encoding="utf-8"?>
<formControlPr xmlns="http://schemas.microsoft.com/office/spreadsheetml/2009/9/main" objectType="Radio" lockText="1"/>
</file>

<file path=xl/ctrlProps/ctrlProp31.xml><?xml version="1.0" encoding="utf-8"?>
<formControlPr xmlns="http://schemas.microsoft.com/office/spreadsheetml/2009/9/main" objectType="Drop" dropLines="80" dropStyle="combo" dx="22" fmlaLink="$B$36" fmlaRange="'tables(silmeyin)'!$B$4:$D$7" sel="3" val="0"/>
</file>

<file path=xl/ctrlProps/ctrlProp32.xml><?xml version="1.0" encoding="utf-8"?>
<formControlPr xmlns="http://schemas.microsoft.com/office/spreadsheetml/2009/9/main" objectType="Drop" dropLines="80" dropStyle="combo" dx="22" fmlaLink="$D$31" fmlaRange="'tables(silmeyin)'!$B$11:$C$14" sel="4" val="0"/>
</file>

<file path=xl/ctrlProps/ctrlProp4.xml><?xml version="1.0" encoding="utf-8"?>
<formControlPr xmlns="http://schemas.microsoft.com/office/spreadsheetml/2009/9/main" objectType="Drop" dropLines="80" dropStyle="combo" dx="22" fmlaLink="$O$15" fmlaRange="UPN!$P$17:$AE$34" sel="3" val="0"/>
</file>

<file path=xl/ctrlProps/ctrlProp5.xml><?xml version="1.0" encoding="utf-8"?>
<formControlPr xmlns="http://schemas.microsoft.com/office/spreadsheetml/2009/9/main" objectType="Drop" dropLines="200" dropStyle="combo" dx="22" fmlaLink="$P$15" fmlaRange="L!$A$16:$A$82" sel="39" val="0"/>
</file>

<file path=xl/ctrlProps/ctrlProp6.xml><?xml version="1.0" encoding="utf-8"?>
<formControlPr xmlns="http://schemas.microsoft.com/office/spreadsheetml/2009/9/main" objectType="Drop" dropLines="80" dropStyle="combo" dx="22" fmlaLink="$F$93" fmlaRange="IPE!$A$15:$A$81" sel="22" val="21"/>
</file>

<file path=xl/ctrlProps/ctrlProp7.xml><?xml version="1.0" encoding="utf-8"?>
<formControlPr xmlns="http://schemas.microsoft.com/office/spreadsheetml/2009/9/main" objectType="Drop" dropLines="30" dropStyle="combo" dx="22" fmlaLink="$E$93" fmlaRange="IPN!$A$18:$A$39" sel="9" val="0"/>
</file>

<file path=xl/ctrlProps/ctrlProp8.xml><?xml version="1.0" encoding="utf-8"?>
<formControlPr xmlns="http://schemas.microsoft.com/office/spreadsheetml/2009/9/main" objectType="Drop" dropLines="200" dropStyle="combo" dx="22" fmlaLink="$G$93" fmlaRange="HE!$A$16:$A$177" sel="13" val="7"/>
</file>

<file path=xl/ctrlProps/ctrlProp9.xml><?xml version="1.0" encoding="utf-8"?>
<formControlPr xmlns="http://schemas.microsoft.com/office/spreadsheetml/2009/9/main" objectType="Drop" dropLines="80" dropStyle="combo" dx="22" fmlaLink="$H$93" fmlaRange="UPN!$P$17:$AE$34" sel="1" val="0"/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jpe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jpe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jpe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jpe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jpe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jpe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jpe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jpeg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7.jpeg"/><Relationship Id="rId1" Type="http://schemas.openxmlformats.org/officeDocument/2006/relationships/image" Target="../media/image16.jpeg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9.jpeg"/><Relationship Id="rId1" Type="http://schemas.openxmlformats.org/officeDocument/2006/relationships/image" Target="../media/image18.jpe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0.jpe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1.jpe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2.jpe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3.jpeg"/></Relationships>
</file>

<file path=xl/drawings/_rels/drawing28.xml.rels><?xml version="1.0" encoding="UTF-8" standalone="yes"?>
<Relationships xmlns="http://schemas.openxmlformats.org/package/2006/relationships"><Relationship Id="rId3" Type="http://schemas.openxmlformats.org/officeDocument/2006/relationships/image" Target="../media/image26.png"/><Relationship Id="rId2" Type="http://schemas.openxmlformats.org/officeDocument/2006/relationships/image" Target="../media/image25.png"/><Relationship Id="rId1" Type="http://schemas.openxmlformats.org/officeDocument/2006/relationships/image" Target="../media/image24.png"/><Relationship Id="rId4" Type="http://schemas.openxmlformats.org/officeDocument/2006/relationships/image" Target="../media/image27.pn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8.jpe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800100</xdr:colOff>
          <xdr:row>15</xdr:row>
          <xdr:rowOff>171450</xdr:rowOff>
        </xdr:from>
        <xdr:to>
          <xdr:col>12</xdr:col>
          <xdr:colOff>685800</xdr:colOff>
          <xdr:row>17</xdr:row>
          <xdr:rowOff>0</xdr:rowOff>
        </xdr:to>
        <xdr:sp macro="" textlink="">
          <xdr:nvSpPr>
            <xdr:cNvPr id="26628" name="Drop Down 4" hidden="1">
              <a:extLst>
                <a:ext uri="{63B3BB69-23CF-44E3-9099-C40C66FF867C}">
                  <a14:compatExt spid="_x0000_s26628"/>
                </a:ext>
                <a:ext uri="{FF2B5EF4-FFF2-40B4-BE49-F238E27FC236}">
                  <a16:creationId xmlns:a16="http://schemas.microsoft.com/office/drawing/2014/main" xmlns="" id="{00000000-0008-0000-0200-000004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800100</xdr:colOff>
          <xdr:row>14</xdr:row>
          <xdr:rowOff>133350</xdr:rowOff>
        </xdr:from>
        <xdr:to>
          <xdr:col>12</xdr:col>
          <xdr:colOff>666750</xdr:colOff>
          <xdr:row>15</xdr:row>
          <xdr:rowOff>171450</xdr:rowOff>
        </xdr:to>
        <xdr:sp macro="" textlink="">
          <xdr:nvSpPr>
            <xdr:cNvPr id="26629" name="Drop Down 5" hidden="1">
              <a:extLst>
                <a:ext uri="{63B3BB69-23CF-44E3-9099-C40C66FF867C}">
                  <a14:compatExt spid="_x0000_s26629"/>
                </a:ext>
                <a:ext uri="{FF2B5EF4-FFF2-40B4-BE49-F238E27FC236}">
                  <a16:creationId xmlns:a16="http://schemas.microsoft.com/office/drawing/2014/main" xmlns="" id="{00000000-0008-0000-0200-000005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16</xdr:row>
          <xdr:rowOff>152400</xdr:rowOff>
        </xdr:from>
        <xdr:to>
          <xdr:col>13</xdr:col>
          <xdr:colOff>19050</xdr:colOff>
          <xdr:row>18</xdr:row>
          <xdr:rowOff>28575</xdr:rowOff>
        </xdr:to>
        <xdr:sp macro="" textlink="">
          <xdr:nvSpPr>
            <xdr:cNvPr id="26630" name="Drop Down 6" hidden="1">
              <a:extLst>
                <a:ext uri="{63B3BB69-23CF-44E3-9099-C40C66FF867C}">
                  <a14:compatExt spid="_x0000_s26630"/>
                </a:ext>
                <a:ext uri="{FF2B5EF4-FFF2-40B4-BE49-F238E27FC236}">
                  <a16:creationId xmlns:a16="http://schemas.microsoft.com/office/drawing/2014/main" xmlns="" id="{00000000-0008-0000-0200-000006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800100</xdr:colOff>
          <xdr:row>18</xdr:row>
          <xdr:rowOff>28575</xdr:rowOff>
        </xdr:from>
        <xdr:to>
          <xdr:col>12</xdr:col>
          <xdr:colOff>676275</xdr:colOff>
          <xdr:row>19</xdr:row>
          <xdr:rowOff>66675</xdr:rowOff>
        </xdr:to>
        <xdr:sp macro="" textlink="">
          <xdr:nvSpPr>
            <xdr:cNvPr id="26631" name="Drop Down 7" hidden="1">
              <a:extLst>
                <a:ext uri="{63B3BB69-23CF-44E3-9099-C40C66FF867C}">
                  <a14:compatExt spid="_x0000_s26631"/>
                </a:ext>
                <a:ext uri="{FF2B5EF4-FFF2-40B4-BE49-F238E27FC236}">
                  <a16:creationId xmlns:a16="http://schemas.microsoft.com/office/drawing/2014/main" xmlns="" id="{00000000-0008-0000-0200-000007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485775</xdr:colOff>
          <xdr:row>19</xdr:row>
          <xdr:rowOff>28575</xdr:rowOff>
        </xdr:from>
        <xdr:to>
          <xdr:col>12</xdr:col>
          <xdr:colOff>685800</xdr:colOff>
          <xdr:row>20</xdr:row>
          <xdr:rowOff>66675</xdr:rowOff>
        </xdr:to>
        <xdr:sp macro="" textlink="">
          <xdr:nvSpPr>
            <xdr:cNvPr id="26632" name="Drop Down 8" hidden="1">
              <a:extLst>
                <a:ext uri="{63B3BB69-23CF-44E3-9099-C40C66FF867C}">
                  <a14:compatExt spid="_x0000_s26632"/>
                </a:ext>
                <a:ext uri="{FF2B5EF4-FFF2-40B4-BE49-F238E27FC236}">
                  <a16:creationId xmlns:a16="http://schemas.microsoft.com/office/drawing/2014/main" xmlns="" id="{00000000-0008-0000-0200-000008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76201</xdr:colOff>
      <xdr:row>0</xdr:row>
      <xdr:rowOff>0</xdr:rowOff>
    </xdr:from>
    <xdr:to>
      <xdr:col>11</xdr:col>
      <xdr:colOff>64334</xdr:colOff>
      <xdr:row>7</xdr:row>
      <xdr:rowOff>111672</xdr:rowOff>
    </xdr:to>
    <xdr:pic>
      <xdr:nvPicPr>
        <xdr:cNvPr id="3999" name="Picture 1" descr="IPE">
          <a:extLst>
            <a:ext uri="{FF2B5EF4-FFF2-40B4-BE49-F238E27FC236}">
              <a16:creationId xmlns:a16="http://schemas.microsoft.com/office/drawing/2014/main" xmlns="" id="{00000000-0008-0000-1600-00009F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02322" y="0"/>
          <a:ext cx="1781460" cy="143203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85725</xdr:colOff>
      <xdr:row>0</xdr:row>
      <xdr:rowOff>76200</xdr:rowOff>
    </xdr:from>
    <xdr:to>
      <xdr:col>6</xdr:col>
      <xdr:colOff>19050</xdr:colOff>
      <xdr:row>4</xdr:row>
      <xdr:rowOff>19050</xdr:rowOff>
    </xdr:to>
    <xdr:sp macro="" textlink="">
      <xdr:nvSpPr>
        <xdr:cNvPr id="3074" name="Text Box 2">
          <a:extLst>
            <a:ext uri="{FF2B5EF4-FFF2-40B4-BE49-F238E27FC236}">
              <a16:creationId xmlns:a16="http://schemas.microsoft.com/office/drawing/2014/main" xmlns="" id="{00000000-0008-0000-1600-0000020C0000}"/>
            </a:ext>
          </a:extLst>
        </xdr:cNvPr>
        <xdr:cNvSpPr txBox="1">
          <a:spLocks noChangeArrowheads="1"/>
        </xdr:cNvSpPr>
      </xdr:nvSpPr>
      <xdr:spPr bwMode="auto">
        <a:xfrm>
          <a:off x="1447800" y="76200"/>
          <a:ext cx="1304925" cy="86677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77724" rIns="0" bIns="0" anchor="t" upright="1"/>
        <a:lstStyle/>
        <a:p>
          <a:pPr algn="l" rtl="0">
            <a:defRPr sz="1000"/>
          </a:pPr>
          <a:r>
            <a:rPr lang="tr-TR" sz="4800" b="1" i="0" strike="noStrike">
              <a:solidFill>
                <a:srgbClr val="C0C0C0"/>
              </a:solidFill>
              <a:latin typeface="Geneva"/>
            </a:rPr>
            <a:t>IPE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228600</xdr:colOff>
      <xdr:row>0</xdr:row>
      <xdr:rowOff>66674</xdr:rowOff>
    </xdr:from>
    <xdr:to>
      <xdr:col>7</xdr:col>
      <xdr:colOff>190500</xdr:colOff>
      <xdr:row>8</xdr:row>
      <xdr:rowOff>16564</xdr:rowOff>
    </xdr:to>
    <xdr:sp macro="" textlink="">
      <xdr:nvSpPr>
        <xdr:cNvPr id="4097" name="Text Box 1">
          <a:extLst>
            <a:ext uri="{FF2B5EF4-FFF2-40B4-BE49-F238E27FC236}">
              <a16:creationId xmlns:a16="http://schemas.microsoft.com/office/drawing/2014/main" xmlns="" id="{00000000-0008-0000-1700-000001100000}"/>
            </a:ext>
          </a:extLst>
        </xdr:cNvPr>
        <xdr:cNvSpPr txBox="1">
          <a:spLocks noChangeArrowheads="1"/>
        </xdr:cNvSpPr>
      </xdr:nvSpPr>
      <xdr:spPr bwMode="auto">
        <a:xfrm>
          <a:off x="2324100" y="66674"/>
          <a:ext cx="1129748" cy="1482173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64008" tIns="59436" rIns="0" bIns="0" anchor="t" upright="1"/>
        <a:lstStyle/>
        <a:p>
          <a:pPr algn="l" rtl="0">
            <a:defRPr sz="1000"/>
          </a:pPr>
          <a:r>
            <a:rPr lang="tr-TR" sz="3200" b="1" i="0" strike="noStrike">
              <a:solidFill>
                <a:srgbClr val="C0C0C0"/>
              </a:solidFill>
              <a:latin typeface="Geneva"/>
            </a:rPr>
            <a:t>HEA</a:t>
          </a:r>
        </a:p>
        <a:p>
          <a:pPr algn="l" rtl="0">
            <a:defRPr sz="1000"/>
          </a:pPr>
          <a:r>
            <a:rPr lang="tr-TR" sz="3200" b="1" i="0" strike="noStrike">
              <a:solidFill>
                <a:srgbClr val="C0C0C0"/>
              </a:solidFill>
              <a:latin typeface="Geneva"/>
            </a:rPr>
            <a:t>HEB</a:t>
          </a:r>
        </a:p>
        <a:p>
          <a:pPr algn="l" rtl="0">
            <a:defRPr sz="1000"/>
          </a:pPr>
          <a:r>
            <a:rPr lang="tr-TR" sz="3200" b="1" i="0" strike="noStrike">
              <a:solidFill>
                <a:srgbClr val="C0C0C0"/>
              </a:solidFill>
              <a:latin typeface="Geneva"/>
            </a:rPr>
            <a:t>HEM</a:t>
          </a:r>
        </a:p>
      </xdr:txBody>
    </xdr:sp>
    <xdr:clientData/>
  </xdr:twoCellAnchor>
  <xdr:twoCellAnchor editAs="oneCell">
    <xdr:from>
      <xdr:col>8</xdr:col>
      <xdr:colOff>133349</xdr:colOff>
      <xdr:row>0</xdr:row>
      <xdr:rowOff>0</xdr:rowOff>
    </xdr:from>
    <xdr:to>
      <xdr:col>12</xdr:col>
      <xdr:colOff>462351</xdr:colOff>
      <xdr:row>8</xdr:row>
      <xdr:rowOff>8281</xdr:rowOff>
    </xdr:to>
    <xdr:pic>
      <xdr:nvPicPr>
        <xdr:cNvPr id="5024" name="Picture 2" descr="HE">
          <a:extLst>
            <a:ext uri="{FF2B5EF4-FFF2-40B4-BE49-F238E27FC236}">
              <a16:creationId xmlns:a16="http://schemas.microsoft.com/office/drawing/2014/main" xmlns="" id="{00000000-0008-0000-1700-0000A0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93653" y="0"/>
          <a:ext cx="1811589" cy="15405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219075</xdr:colOff>
      <xdr:row>1</xdr:row>
      <xdr:rowOff>28575</xdr:rowOff>
    </xdr:from>
    <xdr:to>
      <xdr:col>5</xdr:col>
      <xdr:colOff>304800</xdr:colOff>
      <xdr:row>5</xdr:row>
      <xdr:rowOff>114300</xdr:rowOff>
    </xdr:to>
    <xdr:sp macro="" textlink="">
      <xdr:nvSpPr>
        <xdr:cNvPr id="5121" name="Text Box 1">
          <a:extLst>
            <a:ext uri="{FF2B5EF4-FFF2-40B4-BE49-F238E27FC236}">
              <a16:creationId xmlns:a16="http://schemas.microsoft.com/office/drawing/2014/main" xmlns="" id="{00000000-0008-0000-1800-000001140000}"/>
            </a:ext>
          </a:extLst>
        </xdr:cNvPr>
        <xdr:cNvSpPr txBox="1">
          <a:spLocks noChangeArrowheads="1"/>
        </xdr:cNvSpPr>
      </xdr:nvSpPr>
      <xdr:spPr bwMode="auto">
        <a:xfrm>
          <a:off x="1619250" y="200025"/>
          <a:ext cx="1171575" cy="90487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77724" rIns="0" bIns="0" anchor="t" upright="1"/>
        <a:lstStyle/>
        <a:p>
          <a:pPr algn="l" rtl="0">
            <a:defRPr sz="1000"/>
          </a:pPr>
          <a:r>
            <a:rPr lang="tr-TR" sz="4800" b="1" i="0" strike="noStrike">
              <a:solidFill>
                <a:srgbClr val="C0C0C0"/>
              </a:solidFill>
              <a:latin typeface="Arial"/>
              <a:cs typeface="Arial"/>
            </a:rPr>
            <a:t>HD</a:t>
          </a:r>
        </a:p>
      </xdr:txBody>
    </xdr:sp>
    <xdr:clientData/>
  </xdr:twoCellAnchor>
  <xdr:twoCellAnchor editAs="absolute">
    <xdr:from>
      <xdr:col>6</xdr:col>
      <xdr:colOff>114300</xdr:colOff>
      <xdr:row>0</xdr:row>
      <xdr:rowOff>19050</xdr:rowOff>
    </xdr:from>
    <xdr:to>
      <xdr:col>13</xdr:col>
      <xdr:colOff>285750</xdr:colOff>
      <xdr:row>7</xdr:row>
      <xdr:rowOff>123825</xdr:rowOff>
    </xdr:to>
    <xdr:pic>
      <xdr:nvPicPr>
        <xdr:cNvPr id="6048" name="Picture 2" descr="HD">
          <a:extLst>
            <a:ext uri="{FF2B5EF4-FFF2-40B4-BE49-F238E27FC236}">
              <a16:creationId xmlns:a16="http://schemas.microsoft.com/office/drawing/2014/main" xmlns="" id="{00000000-0008-0000-1800-0000A01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62275" y="19050"/>
          <a:ext cx="2590800" cy="1438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200025</xdr:colOff>
      <xdr:row>0</xdr:row>
      <xdr:rowOff>38100</xdr:rowOff>
    </xdr:from>
    <xdr:to>
      <xdr:col>14</xdr:col>
      <xdr:colOff>276225</xdr:colOff>
      <xdr:row>9</xdr:row>
      <xdr:rowOff>114300</xdr:rowOff>
    </xdr:to>
    <xdr:pic>
      <xdr:nvPicPr>
        <xdr:cNvPr id="7073" name="Picture 2" descr="HP">
          <a:extLst>
            <a:ext uri="{FF2B5EF4-FFF2-40B4-BE49-F238E27FC236}">
              <a16:creationId xmlns:a16="http://schemas.microsoft.com/office/drawing/2014/main" xmlns="" id="{00000000-0008-0000-1900-0000A11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38100"/>
          <a:ext cx="3352800" cy="1743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200025</xdr:colOff>
      <xdr:row>2</xdr:row>
      <xdr:rowOff>28575</xdr:rowOff>
    </xdr:from>
    <xdr:to>
      <xdr:col>5</xdr:col>
      <xdr:colOff>171450</xdr:colOff>
      <xdr:row>5</xdr:row>
      <xdr:rowOff>76200</xdr:rowOff>
    </xdr:to>
    <xdr:sp macro="" textlink="">
      <xdr:nvSpPr>
        <xdr:cNvPr id="6148" name="Text Box 4">
          <a:extLst>
            <a:ext uri="{FF2B5EF4-FFF2-40B4-BE49-F238E27FC236}">
              <a16:creationId xmlns:a16="http://schemas.microsoft.com/office/drawing/2014/main" xmlns="" id="{00000000-0008-0000-1900-000004180000}"/>
            </a:ext>
          </a:extLst>
        </xdr:cNvPr>
        <xdr:cNvSpPr txBox="1">
          <a:spLocks noChangeArrowheads="1"/>
        </xdr:cNvSpPr>
      </xdr:nvSpPr>
      <xdr:spPr bwMode="auto">
        <a:xfrm>
          <a:off x="1543050" y="333375"/>
          <a:ext cx="1066800" cy="71437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77724" rIns="0" bIns="0" anchor="t" upright="1"/>
        <a:lstStyle/>
        <a:p>
          <a:pPr algn="l" rtl="0">
            <a:defRPr sz="1000"/>
          </a:pPr>
          <a:r>
            <a:rPr lang="tr-TR" sz="4800" b="1" i="0" strike="noStrike">
              <a:solidFill>
                <a:srgbClr val="C0C0C0"/>
              </a:solidFill>
              <a:latin typeface="Arial"/>
              <a:cs typeface="Arial"/>
            </a:rPr>
            <a:t>HP</a:t>
          </a: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85725</xdr:colOff>
      <xdr:row>0</xdr:row>
      <xdr:rowOff>0</xdr:rowOff>
    </xdr:from>
    <xdr:to>
      <xdr:col>14</xdr:col>
      <xdr:colOff>38100</xdr:colOff>
      <xdr:row>11</xdr:row>
      <xdr:rowOff>142875</xdr:rowOff>
    </xdr:to>
    <xdr:pic>
      <xdr:nvPicPr>
        <xdr:cNvPr id="8095" name="Picture 1" descr="IPN">
          <a:extLst>
            <a:ext uri="{FF2B5EF4-FFF2-40B4-BE49-F238E27FC236}">
              <a16:creationId xmlns:a16="http://schemas.microsoft.com/office/drawing/2014/main" xmlns="" id="{00000000-0008-0000-1A00-00009F1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76575" y="0"/>
          <a:ext cx="2428875" cy="2038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133350</xdr:colOff>
      <xdr:row>3</xdr:row>
      <xdr:rowOff>28575</xdr:rowOff>
    </xdr:from>
    <xdr:to>
      <xdr:col>8</xdr:col>
      <xdr:colOff>19050</xdr:colOff>
      <xdr:row>6</xdr:row>
      <xdr:rowOff>133350</xdr:rowOff>
    </xdr:to>
    <xdr:sp macro="" textlink="">
      <xdr:nvSpPr>
        <xdr:cNvPr id="7170" name="Text Box 2">
          <a:extLst>
            <a:ext uri="{FF2B5EF4-FFF2-40B4-BE49-F238E27FC236}">
              <a16:creationId xmlns:a16="http://schemas.microsoft.com/office/drawing/2014/main" xmlns="" id="{00000000-0008-0000-1A00-0000021C0000}"/>
            </a:ext>
          </a:extLst>
        </xdr:cNvPr>
        <xdr:cNvSpPr txBox="1">
          <a:spLocks noChangeArrowheads="1"/>
        </xdr:cNvSpPr>
      </xdr:nvSpPr>
      <xdr:spPr bwMode="auto">
        <a:xfrm>
          <a:off x="1752600" y="238125"/>
          <a:ext cx="1257300" cy="82867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77724" rIns="0" bIns="0" anchor="t" upright="1"/>
        <a:lstStyle/>
        <a:p>
          <a:pPr algn="l" rtl="0">
            <a:defRPr sz="1000"/>
          </a:pPr>
          <a:r>
            <a:rPr lang="tr-TR" sz="4800" b="1" i="0" strike="noStrike">
              <a:solidFill>
                <a:srgbClr val="C0C0C0"/>
              </a:solidFill>
              <a:latin typeface="Arial"/>
              <a:cs typeface="Arial"/>
            </a:rPr>
            <a:t>IPN</a:t>
          </a:r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228600</xdr:colOff>
      <xdr:row>0</xdr:row>
      <xdr:rowOff>0</xdr:rowOff>
    </xdr:from>
    <xdr:to>
      <xdr:col>11</xdr:col>
      <xdr:colOff>247650</xdr:colOff>
      <xdr:row>7</xdr:row>
      <xdr:rowOff>161925</xdr:rowOff>
    </xdr:to>
    <xdr:pic>
      <xdr:nvPicPr>
        <xdr:cNvPr id="9119" name="Picture 1" descr="W">
          <a:extLst>
            <a:ext uri="{FF2B5EF4-FFF2-40B4-BE49-F238E27FC236}">
              <a16:creationId xmlns:a16="http://schemas.microsoft.com/office/drawing/2014/main" xmlns="" id="{00000000-0008-0000-1B00-00009F2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19400" y="0"/>
          <a:ext cx="2305050" cy="1885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85725</xdr:colOff>
      <xdr:row>0</xdr:row>
      <xdr:rowOff>104775</xdr:rowOff>
    </xdr:from>
    <xdr:to>
      <xdr:col>4</xdr:col>
      <xdr:colOff>276225</xdr:colOff>
      <xdr:row>3</xdr:row>
      <xdr:rowOff>95250</xdr:rowOff>
    </xdr:to>
    <xdr:sp macro="" textlink="">
      <xdr:nvSpPr>
        <xdr:cNvPr id="8194" name="Text Box 2">
          <a:extLst>
            <a:ext uri="{FF2B5EF4-FFF2-40B4-BE49-F238E27FC236}">
              <a16:creationId xmlns:a16="http://schemas.microsoft.com/office/drawing/2014/main" xmlns="" id="{00000000-0008-0000-1B00-000002200000}"/>
            </a:ext>
          </a:extLst>
        </xdr:cNvPr>
        <xdr:cNvSpPr txBox="1">
          <a:spLocks noChangeArrowheads="1"/>
        </xdr:cNvSpPr>
      </xdr:nvSpPr>
      <xdr:spPr bwMode="auto">
        <a:xfrm>
          <a:off x="1743075" y="104775"/>
          <a:ext cx="809625" cy="7429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77724" rIns="0" bIns="0" anchor="t" upright="1"/>
        <a:lstStyle/>
        <a:p>
          <a:pPr algn="l" rtl="0">
            <a:defRPr sz="1000"/>
          </a:pPr>
          <a:r>
            <a:rPr lang="tr-TR" sz="4800" b="1" i="0" strike="noStrike">
              <a:solidFill>
                <a:srgbClr val="C0C0C0"/>
              </a:solidFill>
              <a:latin typeface="Arial"/>
              <a:cs typeface="Arial"/>
            </a:rPr>
            <a:t>W</a:t>
          </a:r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9525</xdr:colOff>
      <xdr:row>0</xdr:row>
      <xdr:rowOff>0</xdr:rowOff>
    </xdr:from>
    <xdr:to>
      <xdr:col>14</xdr:col>
      <xdr:colOff>257175</xdr:colOff>
      <xdr:row>7</xdr:row>
      <xdr:rowOff>152400</xdr:rowOff>
    </xdr:to>
    <xdr:pic>
      <xdr:nvPicPr>
        <xdr:cNvPr id="10143" name="Picture 1" descr="HP amerikan">
          <a:extLst>
            <a:ext uri="{FF2B5EF4-FFF2-40B4-BE49-F238E27FC236}">
              <a16:creationId xmlns:a16="http://schemas.microsoft.com/office/drawing/2014/main" xmlns="" id="{00000000-0008-0000-1C00-00009F2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9925" y="0"/>
          <a:ext cx="2895600" cy="1619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295275</xdr:colOff>
      <xdr:row>0</xdr:row>
      <xdr:rowOff>123825</xdr:rowOff>
    </xdr:from>
    <xdr:to>
      <xdr:col>5</xdr:col>
      <xdr:colOff>266700</xdr:colOff>
      <xdr:row>3</xdr:row>
      <xdr:rowOff>85725</xdr:rowOff>
    </xdr:to>
    <xdr:sp macro="" textlink="">
      <xdr:nvSpPr>
        <xdr:cNvPr id="9218" name="Text Box 2">
          <a:extLst>
            <a:ext uri="{FF2B5EF4-FFF2-40B4-BE49-F238E27FC236}">
              <a16:creationId xmlns:a16="http://schemas.microsoft.com/office/drawing/2014/main" xmlns="" id="{00000000-0008-0000-1C00-000002240000}"/>
            </a:ext>
          </a:extLst>
        </xdr:cNvPr>
        <xdr:cNvSpPr txBox="1">
          <a:spLocks noChangeArrowheads="1"/>
        </xdr:cNvSpPr>
      </xdr:nvSpPr>
      <xdr:spPr bwMode="auto">
        <a:xfrm>
          <a:off x="1771650" y="123825"/>
          <a:ext cx="1066800" cy="71437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77724" rIns="0" bIns="0" anchor="t" upright="1"/>
        <a:lstStyle/>
        <a:p>
          <a:pPr algn="l" rtl="0">
            <a:defRPr sz="1000"/>
          </a:pPr>
          <a:r>
            <a:rPr lang="tr-TR" sz="4800" b="1" i="0" strike="noStrike">
              <a:solidFill>
                <a:srgbClr val="C0C0C0"/>
              </a:solidFill>
              <a:latin typeface="Arial"/>
              <a:cs typeface="Arial"/>
            </a:rPr>
            <a:t>HP</a:t>
          </a:r>
        </a:p>
      </xdr:txBody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171450</xdr:colOff>
      <xdr:row>0</xdr:row>
      <xdr:rowOff>209550</xdr:rowOff>
    </xdr:from>
    <xdr:to>
      <xdr:col>10</xdr:col>
      <xdr:colOff>47625</xdr:colOff>
      <xdr:row>11</xdr:row>
      <xdr:rowOff>142875</xdr:rowOff>
    </xdr:to>
    <xdr:pic>
      <xdr:nvPicPr>
        <xdr:cNvPr id="11167" name="Picture 1" descr="UB">
          <a:extLst>
            <a:ext uri="{FF2B5EF4-FFF2-40B4-BE49-F238E27FC236}">
              <a16:creationId xmlns:a16="http://schemas.microsoft.com/office/drawing/2014/main" xmlns="" id="{00000000-0008-0000-1D00-00009F2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47925" y="209550"/>
          <a:ext cx="2171700" cy="2076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228600</xdr:colOff>
      <xdr:row>1</xdr:row>
      <xdr:rowOff>123825</xdr:rowOff>
    </xdr:from>
    <xdr:to>
      <xdr:col>4</xdr:col>
      <xdr:colOff>95250</xdr:colOff>
      <xdr:row>4</xdr:row>
      <xdr:rowOff>104775</xdr:rowOff>
    </xdr:to>
    <xdr:sp macro="" textlink="">
      <xdr:nvSpPr>
        <xdr:cNvPr id="10242" name="Text Box 2">
          <a:extLst>
            <a:ext uri="{FF2B5EF4-FFF2-40B4-BE49-F238E27FC236}">
              <a16:creationId xmlns:a16="http://schemas.microsoft.com/office/drawing/2014/main" xmlns="" id="{00000000-0008-0000-1D00-000002280000}"/>
            </a:ext>
          </a:extLst>
        </xdr:cNvPr>
        <xdr:cNvSpPr txBox="1">
          <a:spLocks noChangeArrowheads="1"/>
        </xdr:cNvSpPr>
      </xdr:nvSpPr>
      <xdr:spPr bwMode="auto">
        <a:xfrm>
          <a:off x="1304925" y="361950"/>
          <a:ext cx="1066800" cy="71437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77724" rIns="0" bIns="0" anchor="t" upright="1"/>
        <a:lstStyle/>
        <a:p>
          <a:pPr algn="l" rtl="0">
            <a:defRPr sz="1000"/>
          </a:pPr>
          <a:r>
            <a:rPr lang="tr-TR" sz="4800" b="1" i="0" strike="noStrike">
              <a:solidFill>
                <a:srgbClr val="C0C0C0"/>
              </a:solidFill>
              <a:latin typeface="Arial"/>
              <a:cs typeface="Arial"/>
            </a:rPr>
            <a:t>UB</a:t>
          </a:r>
        </a:p>
      </xdr:txBody>
    </xdr: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152400</xdr:colOff>
      <xdr:row>0</xdr:row>
      <xdr:rowOff>0</xdr:rowOff>
    </xdr:from>
    <xdr:to>
      <xdr:col>15</xdr:col>
      <xdr:colOff>361950</xdr:colOff>
      <xdr:row>8</xdr:row>
      <xdr:rowOff>142875</xdr:rowOff>
    </xdr:to>
    <xdr:pic>
      <xdr:nvPicPr>
        <xdr:cNvPr id="12191" name="Picture 1" descr="UBP">
          <a:extLst>
            <a:ext uri="{FF2B5EF4-FFF2-40B4-BE49-F238E27FC236}">
              <a16:creationId xmlns:a16="http://schemas.microsoft.com/office/drawing/2014/main" xmlns="" id="{00000000-0008-0000-1E00-00009F2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52800" y="0"/>
          <a:ext cx="3238500" cy="1762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371475</xdr:colOff>
      <xdr:row>0</xdr:row>
      <xdr:rowOff>142875</xdr:rowOff>
    </xdr:from>
    <xdr:to>
      <xdr:col>6</xdr:col>
      <xdr:colOff>142875</xdr:colOff>
      <xdr:row>3</xdr:row>
      <xdr:rowOff>104775</xdr:rowOff>
    </xdr:to>
    <xdr:sp macro="" textlink="">
      <xdr:nvSpPr>
        <xdr:cNvPr id="11266" name="Text Box 2">
          <a:extLst>
            <a:ext uri="{FF2B5EF4-FFF2-40B4-BE49-F238E27FC236}">
              <a16:creationId xmlns:a16="http://schemas.microsoft.com/office/drawing/2014/main" xmlns="" id="{00000000-0008-0000-1E00-0000022C0000}"/>
            </a:ext>
          </a:extLst>
        </xdr:cNvPr>
        <xdr:cNvSpPr txBox="1">
          <a:spLocks noChangeArrowheads="1"/>
        </xdr:cNvSpPr>
      </xdr:nvSpPr>
      <xdr:spPr bwMode="auto">
        <a:xfrm>
          <a:off x="1466850" y="142875"/>
          <a:ext cx="1562100" cy="71437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77724" rIns="0" bIns="0" anchor="t" upright="1"/>
        <a:lstStyle/>
        <a:p>
          <a:pPr algn="l" rtl="0">
            <a:defRPr sz="1000"/>
          </a:pPr>
          <a:r>
            <a:rPr lang="tr-TR" sz="4800" b="1" i="0" strike="noStrike">
              <a:solidFill>
                <a:srgbClr val="C0C0C0"/>
              </a:solidFill>
              <a:latin typeface="Arial"/>
              <a:cs typeface="Arial"/>
            </a:rPr>
            <a:t>UBP</a:t>
          </a:r>
        </a:p>
      </xdr:txBody>
    </xdr: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238125</xdr:colOff>
      <xdr:row>0</xdr:row>
      <xdr:rowOff>0</xdr:rowOff>
    </xdr:from>
    <xdr:to>
      <xdr:col>12</xdr:col>
      <xdr:colOff>161925</xdr:colOff>
      <xdr:row>7</xdr:row>
      <xdr:rowOff>142875</xdr:rowOff>
    </xdr:to>
    <xdr:pic>
      <xdr:nvPicPr>
        <xdr:cNvPr id="13215" name="Picture 1" descr="UC">
          <a:extLst>
            <a:ext uri="{FF2B5EF4-FFF2-40B4-BE49-F238E27FC236}">
              <a16:creationId xmlns:a16="http://schemas.microsoft.com/office/drawing/2014/main" xmlns="" id="{00000000-0008-0000-1F00-00009F3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33650" y="0"/>
          <a:ext cx="2828925" cy="1590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190500</xdr:colOff>
      <xdr:row>0</xdr:row>
      <xdr:rowOff>142875</xdr:rowOff>
    </xdr:from>
    <xdr:to>
      <xdr:col>4</xdr:col>
      <xdr:colOff>95250</xdr:colOff>
      <xdr:row>3</xdr:row>
      <xdr:rowOff>123825</xdr:rowOff>
    </xdr:to>
    <xdr:sp macro="" textlink="">
      <xdr:nvSpPr>
        <xdr:cNvPr id="12290" name="Text Box 2">
          <a:extLst>
            <a:ext uri="{FF2B5EF4-FFF2-40B4-BE49-F238E27FC236}">
              <a16:creationId xmlns:a16="http://schemas.microsoft.com/office/drawing/2014/main" xmlns="" id="{00000000-0008-0000-1F00-000002300000}"/>
            </a:ext>
          </a:extLst>
        </xdr:cNvPr>
        <xdr:cNvSpPr txBox="1">
          <a:spLocks noChangeArrowheads="1"/>
        </xdr:cNvSpPr>
      </xdr:nvSpPr>
      <xdr:spPr bwMode="auto">
        <a:xfrm>
          <a:off x="1285875" y="142875"/>
          <a:ext cx="1104900" cy="71437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77724" rIns="0" bIns="0" anchor="t" upright="1"/>
        <a:lstStyle/>
        <a:p>
          <a:pPr algn="l" rtl="0">
            <a:defRPr sz="1000"/>
          </a:pPr>
          <a:r>
            <a:rPr lang="tr-TR" sz="4800" b="1" i="0" strike="noStrike">
              <a:solidFill>
                <a:srgbClr val="C0C0C0"/>
              </a:solidFill>
              <a:latin typeface="Arial"/>
              <a:cs typeface="Arial"/>
            </a:rPr>
            <a:t>UC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800100</xdr:colOff>
          <xdr:row>40</xdr:row>
          <xdr:rowOff>171450</xdr:rowOff>
        </xdr:from>
        <xdr:to>
          <xdr:col>6</xdr:col>
          <xdr:colOff>723900</xdr:colOff>
          <xdr:row>42</xdr:row>
          <xdr:rowOff>38100</xdr:rowOff>
        </xdr:to>
        <xdr:sp macro="" textlink="">
          <xdr:nvSpPr>
            <xdr:cNvPr id="28673" name="Drop Down 1" hidden="1">
              <a:extLst>
                <a:ext uri="{63B3BB69-23CF-44E3-9099-C40C66FF867C}">
                  <a14:compatExt spid="_x0000_s28673"/>
                </a:ext>
                <a:ext uri="{FF2B5EF4-FFF2-40B4-BE49-F238E27FC236}">
                  <a16:creationId xmlns:a16="http://schemas.microsoft.com/office/drawing/2014/main" xmlns="" id="{00000000-0008-0000-0400-000001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800100</xdr:colOff>
          <xdr:row>39</xdr:row>
          <xdr:rowOff>133350</xdr:rowOff>
        </xdr:from>
        <xdr:to>
          <xdr:col>6</xdr:col>
          <xdr:colOff>704850</xdr:colOff>
          <xdr:row>41</xdr:row>
          <xdr:rowOff>9525</xdr:rowOff>
        </xdr:to>
        <xdr:sp macro="" textlink="">
          <xdr:nvSpPr>
            <xdr:cNvPr id="28674" name="Drop Down 2" hidden="1">
              <a:extLst>
                <a:ext uri="{63B3BB69-23CF-44E3-9099-C40C66FF867C}">
                  <a14:compatExt spid="_x0000_s28674"/>
                </a:ext>
                <a:ext uri="{FF2B5EF4-FFF2-40B4-BE49-F238E27FC236}">
                  <a16:creationId xmlns:a16="http://schemas.microsoft.com/office/drawing/2014/main" xmlns="" id="{00000000-0008-0000-0400-000002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41</xdr:row>
          <xdr:rowOff>152400</xdr:rowOff>
        </xdr:from>
        <xdr:to>
          <xdr:col>6</xdr:col>
          <xdr:colOff>714375</xdr:colOff>
          <xdr:row>43</xdr:row>
          <xdr:rowOff>28575</xdr:rowOff>
        </xdr:to>
        <xdr:sp macro="" textlink="">
          <xdr:nvSpPr>
            <xdr:cNvPr id="28675" name="Drop Down 3" hidden="1">
              <a:extLst>
                <a:ext uri="{63B3BB69-23CF-44E3-9099-C40C66FF867C}">
                  <a14:compatExt spid="_x0000_s28675"/>
                </a:ext>
                <a:ext uri="{FF2B5EF4-FFF2-40B4-BE49-F238E27FC236}">
                  <a16:creationId xmlns:a16="http://schemas.microsoft.com/office/drawing/2014/main" xmlns="" id="{00000000-0008-0000-0400-000003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800100</xdr:colOff>
          <xdr:row>43</xdr:row>
          <xdr:rowOff>28575</xdr:rowOff>
        </xdr:from>
        <xdr:to>
          <xdr:col>6</xdr:col>
          <xdr:colOff>714375</xdr:colOff>
          <xdr:row>44</xdr:row>
          <xdr:rowOff>66675</xdr:rowOff>
        </xdr:to>
        <xdr:sp macro="" textlink="">
          <xdr:nvSpPr>
            <xdr:cNvPr id="28676" name="Drop Down 4" hidden="1">
              <a:extLst>
                <a:ext uri="{63B3BB69-23CF-44E3-9099-C40C66FF867C}">
                  <a14:compatExt spid="_x0000_s28676"/>
                </a:ext>
                <a:ext uri="{FF2B5EF4-FFF2-40B4-BE49-F238E27FC236}">
                  <a16:creationId xmlns:a16="http://schemas.microsoft.com/office/drawing/2014/main" xmlns="" id="{00000000-0008-0000-0400-000004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314325</xdr:colOff>
          <xdr:row>44</xdr:row>
          <xdr:rowOff>9525</xdr:rowOff>
        </xdr:from>
        <xdr:to>
          <xdr:col>6</xdr:col>
          <xdr:colOff>742950</xdr:colOff>
          <xdr:row>45</xdr:row>
          <xdr:rowOff>47625</xdr:rowOff>
        </xdr:to>
        <xdr:sp macro="" textlink="">
          <xdr:nvSpPr>
            <xdr:cNvPr id="28677" name="Drop Down 5" hidden="1">
              <a:extLst>
                <a:ext uri="{63B3BB69-23CF-44E3-9099-C40C66FF867C}">
                  <a14:compatExt spid="_x0000_s28677"/>
                </a:ext>
                <a:ext uri="{FF2B5EF4-FFF2-40B4-BE49-F238E27FC236}">
                  <a16:creationId xmlns:a16="http://schemas.microsoft.com/office/drawing/2014/main" xmlns="" id="{00000000-0008-0000-0400-000005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361950</xdr:colOff>
      <xdr:row>0</xdr:row>
      <xdr:rowOff>0</xdr:rowOff>
    </xdr:from>
    <xdr:to>
      <xdr:col>14</xdr:col>
      <xdr:colOff>28575</xdr:colOff>
      <xdr:row>8</xdr:row>
      <xdr:rowOff>133350</xdr:rowOff>
    </xdr:to>
    <xdr:pic>
      <xdr:nvPicPr>
        <xdr:cNvPr id="14239" name="Picture 1" descr="UAP">
          <a:extLst>
            <a:ext uri="{FF2B5EF4-FFF2-40B4-BE49-F238E27FC236}">
              <a16:creationId xmlns:a16="http://schemas.microsoft.com/office/drawing/2014/main" xmlns="" id="{00000000-0008-0000-2000-00009F3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5" y="0"/>
          <a:ext cx="2571750" cy="1847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219075</xdr:colOff>
      <xdr:row>0</xdr:row>
      <xdr:rowOff>104775</xdr:rowOff>
    </xdr:from>
    <xdr:to>
      <xdr:col>6</xdr:col>
      <xdr:colOff>114300</xdr:colOff>
      <xdr:row>3</xdr:row>
      <xdr:rowOff>104775</xdr:rowOff>
    </xdr:to>
    <xdr:sp macro="" textlink="">
      <xdr:nvSpPr>
        <xdr:cNvPr id="13314" name="Text Box 2">
          <a:extLst>
            <a:ext uri="{FF2B5EF4-FFF2-40B4-BE49-F238E27FC236}">
              <a16:creationId xmlns:a16="http://schemas.microsoft.com/office/drawing/2014/main" xmlns="" id="{00000000-0008-0000-2000-000002340000}"/>
            </a:ext>
          </a:extLst>
        </xdr:cNvPr>
        <xdr:cNvSpPr txBox="1">
          <a:spLocks noChangeArrowheads="1"/>
        </xdr:cNvSpPr>
      </xdr:nvSpPr>
      <xdr:spPr bwMode="auto">
        <a:xfrm>
          <a:off x="1209675" y="104775"/>
          <a:ext cx="1466850" cy="71437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77724" rIns="0" bIns="0" anchor="t" upright="1"/>
        <a:lstStyle/>
        <a:p>
          <a:pPr algn="l" rtl="0">
            <a:defRPr sz="1000"/>
          </a:pPr>
          <a:r>
            <a:rPr lang="tr-TR" sz="4800" b="1" i="0" strike="noStrike">
              <a:solidFill>
                <a:srgbClr val="C0C0C0"/>
              </a:solidFill>
              <a:latin typeface="Arial"/>
              <a:cs typeface="Arial"/>
            </a:rPr>
            <a:t>UAP</a:t>
          </a:r>
        </a:p>
      </xdr:txBody>
    </xdr:sp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285750</xdr:colOff>
      <xdr:row>0</xdr:row>
      <xdr:rowOff>66675</xdr:rowOff>
    </xdr:from>
    <xdr:to>
      <xdr:col>9</xdr:col>
      <xdr:colOff>47625</xdr:colOff>
      <xdr:row>3</xdr:row>
      <xdr:rowOff>123825</xdr:rowOff>
    </xdr:to>
    <xdr:sp macro="" textlink="">
      <xdr:nvSpPr>
        <xdr:cNvPr id="14337" name="Text Box 1">
          <a:extLst>
            <a:ext uri="{FF2B5EF4-FFF2-40B4-BE49-F238E27FC236}">
              <a16:creationId xmlns:a16="http://schemas.microsoft.com/office/drawing/2014/main" xmlns="" id="{00000000-0008-0000-2100-000001380000}"/>
            </a:ext>
          </a:extLst>
        </xdr:cNvPr>
        <xdr:cNvSpPr txBox="1">
          <a:spLocks noChangeArrowheads="1"/>
        </xdr:cNvSpPr>
      </xdr:nvSpPr>
      <xdr:spPr bwMode="auto">
        <a:xfrm>
          <a:off x="1914525" y="66675"/>
          <a:ext cx="1476375" cy="7429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77724" rIns="0" bIns="0" anchor="t" upright="1"/>
        <a:lstStyle/>
        <a:p>
          <a:pPr algn="l" rtl="0">
            <a:defRPr sz="1000"/>
          </a:pPr>
          <a:r>
            <a:rPr lang="tr-TR" sz="4800" b="1" i="0" strike="noStrike">
              <a:solidFill>
                <a:srgbClr val="C0C0C0"/>
              </a:solidFill>
              <a:latin typeface="Arial"/>
              <a:cs typeface="Arial"/>
            </a:rPr>
            <a:t>UPN</a:t>
          </a:r>
        </a:p>
      </xdr:txBody>
    </xdr:sp>
    <xdr:clientData/>
  </xdr:twoCellAnchor>
  <xdr:twoCellAnchor editAs="oneCell">
    <xdr:from>
      <xdr:col>10</xdr:col>
      <xdr:colOff>0</xdr:colOff>
      <xdr:row>0</xdr:row>
      <xdr:rowOff>0</xdr:rowOff>
    </xdr:from>
    <xdr:to>
      <xdr:col>15</xdr:col>
      <xdr:colOff>476250</xdr:colOff>
      <xdr:row>9</xdr:row>
      <xdr:rowOff>152400</xdr:rowOff>
    </xdr:to>
    <xdr:pic>
      <xdr:nvPicPr>
        <xdr:cNvPr id="15264" name="Picture 2" descr="UPN">
          <a:extLst>
            <a:ext uri="{FF2B5EF4-FFF2-40B4-BE49-F238E27FC236}">
              <a16:creationId xmlns:a16="http://schemas.microsoft.com/office/drawing/2014/main" xmlns="" id="{00000000-0008-0000-2100-0000A03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19500" y="0"/>
          <a:ext cx="2371725" cy="1809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4</xdr:row>
      <xdr:rowOff>57150</xdr:rowOff>
    </xdr:from>
    <xdr:to>
      <xdr:col>13</xdr:col>
      <xdr:colOff>0</xdr:colOff>
      <xdr:row>4</xdr:row>
      <xdr:rowOff>57150</xdr:rowOff>
    </xdr:to>
    <xdr:sp macro="" textlink="">
      <xdr:nvSpPr>
        <xdr:cNvPr id="49724" name="Line 5">
          <a:extLst>
            <a:ext uri="{FF2B5EF4-FFF2-40B4-BE49-F238E27FC236}">
              <a16:creationId xmlns:a16="http://schemas.microsoft.com/office/drawing/2014/main" xmlns="" id="{00000000-0008-0000-2200-00003CC20000}"/>
            </a:ext>
          </a:extLst>
        </xdr:cNvPr>
        <xdr:cNvSpPr>
          <a:spLocks noChangeShapeType="1"/>
        </xdr:cNvSpPr>
      </xdr:nvSpPr>
      <xdr:spPr bwMode="auto">
        <a:xfrm>
          <a:off x="5695950" y="9810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5</xdr:col>
      <xdr:colOff>76200</xdr:colOff>
      <xdr:row>0</xdr:row>
      <xdr:rowOff>0</xdr:rowOff>
    </xdr:from>
    <xdr:to>
      <xdr:col>13</xdr:col>
      <xdr:colOff>28575</xdr:colOff>
      <xdr:row>8</xdr:row>
      <xdr:rowOff>142875</xdr:rowOff>
    </xdr:to>
    <xdr:pic>
      <xdr:nvPicPr>
        <xdr:cNvPr id="49725" name="Picture 6" descr="L1-2">
          <a:extLst>
            <a:ext uri="{FF2B5EF4-FFF2-40B4-BE49-F238E27FC236}">
              <a16:creationId xmlns:a16="http://schemas.microsoft.com/office/drawing/2014/main" xmlns="" id="{00000000-0008-0000-2200-00003DC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14600" y="0"/>
          <a:ext cx="3209925" cy="1752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85725</xdr:colOff>
      <xdr:row>0</xdr:row>
      <xdr:rowOff>114300</xdr:rowOff>
    </xdr:from>
    <xdr:to>
      <xdr:col>4</xdr:col>
      <xdr:colOff>66675</xdr:colOff>
      <xdr:row>3</xdr:row>
      <xdr:rowOff>104775</xdr:rowOff>
    </xdr:to>
    <xdr:sp macro="" textlink="">
      <xdr:nvSpPr>
        <xdr:cNvPr id="1031" name="Text Box 7">
          <a:extLst>
            <a:ext uri="{FF2B5EF4-FFF2-40B4-BE49-F238E27FC236}">
              <a16:creationId xmlns:a16="http://schemas.microsoft.com/office/drawing/2014/main" xmlns="" id="{00000000-0008-0000-2200-000007040000}"/>
            </a:ext>
          </a:extLst>
        </xdr:cNvPr>
        <xdr:cNvSpPr txBox="1">
          <a:spLocks noChangeArrowheads="1"/>
        </xdr:cNvSpPr>
      </xdr:nvSpPr>
      <xdr:spPr bwMode="auto">
        <a:xfrm>
          <a:off x="1524000" y="114300"/>
          <a:ext cx="647700" cy="7429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77724" rIns="0" bIns="0" anchor="t" upright="1"/>
        <a:lstStyle/>
        <a:p>
          <a:pPr algn="l" rtl="0">
            <a:defRPr sz="1000"/>
          </a:pPr>
          <a:r>
            <a:rPr lang="tr-TR" sz="4800" b="1" i="0" strike="noStrike">
              <a:solidFill>
                <a:srgbClr val="C0C0C0"/>
              </a:solidFill>
              <a:latin typeface="Arial"/>
              <a:cs typeface="Arial"/>
            </a:rPr>
            <a:t>L</a:t>
          </a:r>
        </a:p>
      </xdr:txBody>
    </xdr:sp>
    <xdr:clientData/>
  </xdr:twoCellAnchor>
  <xdr:twoCellAnchor editAs="oneCell">
    <xdr:from>
      <xdr:col>24</xdr:col>
      <xdr:colOff>66675</xdr:colOff>
      <xdr:row>0</xdr:row>
      <xdr:rowOff>0</xdr:rowOff>
    </xdr:from>
    <xdr:to>
      <xdr:col>30</xdr:col>
      <xdr:colOff>9525</xdr:colOff>
      <xdr:row>7</xdr:row>
      <xdr:rowOff>47625</xdr:rowOff>
    </xdr:to>
    <xdr:pic>
      <xdr:nvPicPr>
        <xdr:cNvPr id="49727" name="Picture 9" descr="L3">
          <a:extLst>
            <a:ext uri="{FF2B5EF4-FFF2-40B4-BE49-F238E27FC236}">
              <a16:creationId xmlns:a16="http://schemas.microsoft.com/office/drawing/2014/main" xmlns="" id="{00000000-0008-0000-2200-00003FC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91850" y="0"/>
          <a:ext cx="3000375" cy="1485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238125</xdr:colOff>
      <xdr:row>0</xdr:row>
      <xdr:rowOff>0</xdr:rowOff>
    </xdr:from>
    <xdr:to>
      <xdr:col>14</xdr:col>
      <xdr:colOff>57150</xdr:colOff>
      <xdr:row>9</xdr:row>
      <xdr:rowOff>133350</xdr:rowOff>
    </xdr:to>
    <xdr:pic>
      <xdr:nvPicPr>
        <xdr:cNvPr id="50748" name="Picture 4" descr="L4">
          <a:extLst>
            <a:ext uri="{FF2B5EF4-FFF2-40B4-BE49-F238E27FC236}">
              <a16:creationId xmlns:a16="http://schemas.microsoft.com/office/drawing/2014/main" xmlns="" id="{00000000-0008-0000-2300-00003CC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0275" y="0"/>
          <a:ext cx="3267075" cy="2000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9525</xdr:colOff>
      <xdr:row>0</xdr:row>
      <xdr:rowOff>142875</xdr:rowOff>
    </xdr:from>
    <xdr:to>
      <xdr:col>4</xdr:col>
      <xdr:colOff>28575</xdr:colOff>
      <xdr:row>3</xdr:row>
      <xdr:rowOff>133350</xdr:rowOff>
    </xdr:to>
    <xdr:sp macro="" textlink="">
      <xdr:nvSpPr>
        <xdr:cNvPr id="2053" name="Text Box 5">
          <a:extLst>
            <a:ext uri="{FF2B5EF4-FFF2-40B4-BE49-F238E27FC236}">
              <a16:creationId xmlns:a16="http://schemas.microsoft.com/office/drawing/2014/main" xmlns="" id="{00000000-0008-0000-2300-000005080000}"/>
            </a:ext>
          </a:extLst>
        </xdr:cNvPr>
        <xdr:cNvSpPr txBox="1">
          <a:spLocks noChangeArrowheads="1"/>
        </xdr:cNvSpPr>
      </xdr:nvSpPr>
      <xdr:spPr bwMode="auto">
        <a:xfrm>
          <a:off x="1343025" y="142875"/>
          <a:ext cx="647700" cy="7429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77724" rIns="0" bIns="0" anchor="t" upright="1"/>
        <a:lstStyle/>
        <a:p>
          <a:pPr algn="l" rtl="0">
            <a:defRPr sz="1000"/>
          </a:pPr>
          <a:r>
            <a:rPr lang="tr-TR" sz="4800" b="1" i="0" strike="noStrike">
              <a:solidFill>
                <a:srgbClr val="C0C0C0"/>
              </a:solidFill>
              <a:latin typeface="Arial"/>
              <a:cs typeface="Arial"/>
            </a:rPr>
            <a:t>L</a:t>
          </a:r>
        </a:p>
      </xdr:txBody>
    </xdr:sp>
    <xdr:clientData/>
  </xdr:twoCellAnchor>
  <xdr:twoCellAnchor editAs="oneCell">
    <xdr:from>
      <xdr:col>34</xdr:col>
      <xdr:colOff>47625</xdr:colOff>
      <xdr:row>0</xdr:row>
      <xdr:rowOff>0</xdr:rowOff>
    </xdr:from>
    <xdr:to>
      <xdr:col>42</xdr:col>
      <xdr:colOff>47625</xdr:colOff>
      <xdr:row>8</xdr:row>
      <xdr:rowOff>47625</xdr:rowOff>
    </xdr:to>
    <xdr:pic>
      <xdr:nvPicPr>
        <xdr:cNvPr id="50750" name="Picture 6" descr="L5">
          <a:extLst>
            <a:ext uri="{FF2B5EF4-FFF2-40B4-BE49-F238E27FC236}">
              <a16:creationId xmlns:a16="http://schemas.microsoft.com/office/drawing/2014/main" xmlns="" id="{00000000-0008-0000-2300-00003EC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0" y="0"/>
          <a:ext cx="3095625" cy="1743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14</xdr:col>
      <xdr:colOff>66675</xdr:colOff>
      <xdr:row>5</xdr:row>
      <xdr:rowOff>85725</xdr:rowOff>
    </xdr:from>
    <xdr:to>
      <xdr:col>16</xdr:col>
      <xdr:colOff>0</xdr:colOff>
      <xdr:row>5</xdr:row>
      <xdr:rowOff>85725</xdr:rowOff>
    </xdr:to>
    <xdr:sp macro="" textlink="">
      <xdr:nvSpPr>
        <xdr:cNvPr id="50751" name="Line 7">
          <a:extLst>
            <a:ext uri="{FF2B5EF4-FFF2-40B4-BE49-F238E27FC236}">
              <a16:creationId xmlns:a16="http://schemas.microsoft.com/office/drawing/2014/main" xmlns="" id="{00000000-0008-0000-2300-00003FC60000}"/>
            </a:ext>
          </a:extLst>
        </xdr:cNvPr>
        <xdr:cNvSpPr>
          <a:spLocks noChangeShapeType="1"/>
        </xdr:cNvSpPr>
      </xdr:nvSpPr>
      <xdr:spPr bwMode="auto">
        <a:xfrm>
          <a:off x="5476875" y="1266825"/>
          <a:ext cx="6477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114300</xdr:colOff>
      <xdr:row>0</xdr:row>
      <xdr:rowOff>0</xdr:rowOff>
    </xdr:from>
    <xdr:to>
      <xdr:col>11</xdr:col>
      <xdr:colOff>66675</xdr:colOff>
      <xdr:row>9</xdr:row>
      <xdr:rowOff>142875</xdr:rowOff>
    </xdr:to>
    <xdr:pic>
      <xdr:nvPicPr>
        <xdr:cNvPr id="16287" name="Picture 1" descr="C">
          <a:extLst>
            <a:ext uri="{FF2B5EF4-FFF2-40B4-BE49-F238E27FC236}">
              <a16:creationId xmlns:a16="http://schemas.microsoft.com/office/drawing/2014/main" xmlns="" id="{00000000-0008-0000-2400-00009F3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28875" y="0"/>
          <a:ext cx="2400300" cy="1895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142875</xdr:colOff>
      <xdr:row>0</xdr:row>
      <xdr:rowOff>114300</xdr:rowOff>
    </xdr:from>
    <xdr:to>
      <xdr:col>6</xdr:col>
      <xdr:colOff>123825</xdr:colOff>
      <xdr:row>3</xdr:row>
      <xdr:rowOff>104775</xdr:rowOff>
    </xdr:to>
    <xdr:sp macro="" textlink="">
      <xdr:nvSpPr>
        <xdr:cNvPr id="15362" name="Text Box 2">
          <a:extLst>
            <a:ext uri="{FF2B5EF4-FFF2-40B4-BE49-F238E27FC236}">
              <a16:creationId xmlns:a16="http://schemas.microsoft.com/office/drawing/2014/main" xmlns="" id="{00000000-0008-0000-2400-0000023C0000}"/>
            </a:ext>
          </a:extLst>
        </xdr:cNvPr>
        <xdr:cNvSpPr txBox="1">
          <a:spLocks noChangeArrowheads="1"/>
        </xdr:cNvSpPr>
      </xdr:nvSpPr>
      <xdr:spPr bwMode="auto">
        <a:xfrm>
          <a:off x="1771650" y="114300"/>
          <a:ext cx="666750" cy="7429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77724" rIns="0" bIns="0" anchor="t" upright="1"/>
        <a:lstStyle/>
        <a:p>
          <a:pPr algn="l" rtl="0">
            <a:defRPr sz="1000"/>
          </a:pPr>
          <a:r>
            <a:rPr lang="tr-TR" sz="4800" b="1" i="0" strike="noStrike">
              <a:solidFill>
                <a:srgbClr val="C0C0C0"/>
              </a:solidFill>
              <a:latin typeface="Arial"/>
              <a:cs typeface="Arial"/>
            </a:rPr>
            <a:t>C</a:t>
          </a:r>
        </a:p>
      </xdr:txBody>
    </xdr:sp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295275</xdr:colOff>
      <xdr:row>0</xdr:row>
      <xdr:rowOff>0</xdr:rowOff>
    </xdr:from>
    <xdr:to>
      <xdr:col>10</xdr:col>
      <xdr:colOff>123825</xdr:colOff>
      <xdr:row>8</xdr:row>
      <xdr:rowOff>133350</xdr:rowOff>
    </xdr:to>
    <xdr:pic>
      <xdr:nvPicPr>
        <xdr:cNvPr id="17311" name="Picture 1" descr="HJ">
          <a:extLst>
            <a:ext uri="{FF2B5EF4-FFF2-40B4-BE49-F238E27FC236}">
              <a16:creationId xmlns:a16="http://schemas.microsoft.com/office/drawing/2014/main" xmlns="" id="{00000000-0008-0000-2500-00009F4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1750" y="0"/>
          <a:ext cx="2124075" cy="1695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247650</xdr:colOff>
      <xdr:row>0</xdr:row>
      <xdr:rowOff>123825</xdr:rowOff>
    </xdr:from>
    <xdr:to>
      <xdr:col>4</xdr:col>
      <xdr:colOff>95250</xdr:colOff>
      <xdr:row>4</xdr:row>
      <xdr:rowOff>28575</xdr:rowOff>
    </xdr:to>
    <xdr:sp macro="" textlink="">
      <xdr:nvSpPr>
        <xdr:cNvPr id="16386" name="Text Box 2">
          <a:extLst>
            <a:ext uri="{FF2B5EF4-FFF2-40B4-BE49-F238E27FC236}">
              <a16:creationId xmlns:a16="http://schemas.microsoft.com/office/drawing/2014/main" xmlns="" id="{00000000-0008-0000-2500-000002400000}"/>
            </a:ext>
          </a:extLst>
        </xdr:cNvPr>
        <xdr:cNvSpPr txBox="1">
          <a:spLocks noChangeArrowheads="1"/>
        </xdr:cNvSpPr>
      </xdr:nvSpPr>
      <xdr:spPr bwMode="auto">
        <a:xfrm>
          <a:off x="1323975" y="123825"/>
          <a:ext cx="1047750" cy="8191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77724" rIns="0" bIns="0" anchor="t" upright="1"/>
        <a:lstStyle/>
        <a:p>
          <a:pPr algn="l" rtl="0">
            <a:defRPr sz="1000"/>
          </a:pPr>
          <a:r>
            <a:rPr lang="tr-TR" sz="4800" b="1" i="0" strike="noStrike">
              <a:solidFill>
                <a:srgbClr val="C0C0C0"/>
              </a:solidFill>
              <a:latin typeface="Arial"/>
              <a:cs typeface="Arial"/>
            </a:rPr>
            <a:t>HJ</a:t>
          </a:r>
        </a:p>
      </xdr:txBody>
    </xdr:sp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247650</xdr:colOff>
      <xdr:row>0</xdr:row>
      <xdr:rowOff>0</xdr:rowOff>
    </xdr:from>
    <xdr:to>
      <xdr:col>15</xdr:col>
      <xdr:colOff>228600</xdr:colOff>
      <xdr:row>7</xdr:row>
      <xdr:rowOff>238125</xdr:rowOff>
    </xdr:to>
    <xdr:pic>
      <xdr:nvPicPr>
        <xdr:cNvPr id="18335" name="Picture 1" descr="IFB">
          <a:extLst>
            <a:ext uri="{FF2B5EF4-FFF2-40B4-BE49-F238E27FC236}">
              <a16:creationId xmlns:a16="http://schemas.microsoft.com/office/drawing/2014/main" xmlns="" id="{00000000-0008-0000-2600-00009F4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05100" y="0"/>
          <a:ext cx="3600450" cy="1981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85725</xdr:colOff>
      <xdr:row>0</xdr:row>
      <xdr:rowOff>76200</xdr:rowOff>
    </xdr:from>
    <xdr:to>
      <xdr:col>6</xdr:col>
      <xdr:colOff>209550</xdr:colOff>
      <xdr:row>3</xdr:row>
      <xdr:rowOff>180975</xdr:rowOff>
    </xdr:to>
    <xdr:sp macro="" textlink="">
      <xdr:nvSpPr>
        <xdr:cNvPr id="17410" name="Text Box 2">
          <a:extLst>
            <a:ext uri="{FF2B5EF4-FFF2-40B4-BE49-F238E27FC236}">
              <a16:creationId xmlns:a16="http://schemas.microsoft.com/office/drawing/2014/main" xmlns="" id="{00000000-0008-0000-2600-000002440000}"/>
            </a:ext>
          </a:extLst>
        </xdr:cNvPr>
        <xdr:cNvSpPr txBox="1">
          <a:spLocks noChangeArrowheads="1"/>
        </xdr:cNvSpPr>
      </xdr:nvSpPr>
      <xdr:spPr bwMode="auto">
        <a:xfrm>
          <a:off x="1457325" y="76200"/>
          <a:ext cx="1209675" cy="8191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77724" rIns="0" bIns="0" anchor="t" upright="1"/>
        <a:lstStyle/>
        <a:p>
          <a:pPr algn="l" rtl="0">
            <a:defRPr sz="1000"/>
          </a:pPr>
          <a:r>
            <a:rPr lang="tr-TR" sz="4800" b="1" i="0" strike="noStrike">
              <a:solidFill>
                <a:srgbClr val="C0C0C0"/>
              </a:solidFill>
              <a:latin typeface="Arial"/>
              <a:cs typeface="Arial"/>
            </a:rPr>
            <a:t>IFB</a:t>
          </a:r>
        </a:p>
      </xdr:txBody>
    </xdr:sp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0</xdr:row>
      <xdr:rowOff>133350</xdr:rowOff>
    </xdr:from>
    <xdr:to>
      <xdr:col>6</xdr:col>
      <xdr:colOff>142875</xdr:colOff>
      <xdr:row>4</xdr:row>
      <xdr:rowOff>0</xdr:rowOff>
    </xdr:to>
    <xdr:sp macro="" textlink="">
      <xdr:nvSpPr>
        <xdr:cNvPr id="18433" name="Text Box 1">
          <a:extLst>
            <a:ext uri="{FF2B5EF4-FFF2-40B4-BE49-F238E27FC236}">
              <a16:creationId xmlns:a16="http://schemas.microsoft.com/office/drawing/2014/main" xmlns="" id="{00000000-0008-0000-2700-000001480000}"/>
            </a:ext>
          </a:extLst>
        </xdr:cNvPr>
        <xdr:cNvSpPr txBox="1">
          <a:spLocks noChangeArrowheads="1"/>
        </xdr:cNvSpPr>
      </xdr:nvSpPr>
      <xdr:spPr bwMode="auto">
        <a:xfrm>
          <a:off x="1152525" y="133350"/>
          <a:ext cx="1504950" cy="8763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77724" rIns="0" bIns="0" anchor="t" upright="1"/>
        <a:lstStyle/>
        <a:p>
          <a:pPr algn="l" rtl="0">
            <a:defRPr sz="1000"/>
          </a:pPr>
          <a:r>
            <a:rPr lang="tr-TR" sz="4800" b="1" i="0" strike="noStrike">
              <a:solidFill>
                <a:srgbClr val="C0C0C0"/>
              </a:solidFill>
              <a:latin typeface="Arial"/>
              <a:cs typeface="Arial"/>
            </a:rPr>
            <a:t>SFB</a:t>
          </a:r>
        </a:p>
      </xdr:txBody>
    </xdr:sp>
    <xdr:clientData/>
  </xdr:twoCellAnchor>
  <xdr:twoCellAnchor editAs="oneCell">
    <xdr:from>
      <xdr:col>6</xdr:col>
      <xdr:colOff>228600</xdr:colOff>
      <xdr:row>0</xdr:row>
      <xdr:rowOff>0</xdr:rowOff>
    </xdr:from>
    <xdr:to>
      <xdr:col>13</xdr:col>
      <xdr:colOff>47625</xdr:colOff>
      <xdr:row>7</xdr:row>
      <xdr:rowOff>142875</xdr:rowOff>
    </xdr:to>
    <xdr:pic>
      <xdr:nvPicPr>
        <xdr:cNvPr id="19360" name="Picture 2" descr="SFB">
          <a:extLst>
            <a:ext uri="{FF2B5EF4-FFF2-40B4-BE49-F238E27FC236}">
              <a16:creationId xmlns:a16="http://schemas.microsoft.com/office/drawing/2014/main" xmlns="" id="{00000000-0008-0000-2700-0000A04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0"/>
          <a:ext cx="2657475" cy="1866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</xdr:colOff>
      <xdr:row>5</xdr:row>
      <xdr:rowOff>47625</xdr:rowOff>
    </xdr:from>
    <xdr:to>
      <xdr:col>1</xdr:col>
      <xdr:colOff>1905000</xdr:colOff>
      <xdr:row>19</xdr:row>
      <xdr:rowOff>114300</xdr:rowOff>
    </xdr:to>
    <xdr:pic>
      <xdr:nvPicPr>
        <xdr:cNvPr id="51915" name="Picture 1">
          <a:extLst>
            <a:ext uri="{FF2B5EF4-FFF2-40B4-BE49-F238E27FC236}">
              <a16:creationId xmlns:a16="http://schemas.microsoft.com/office/drawing/2014/main" xmlns="" id="{00000000-0008-0000-2A00-0000CBC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4850" y="952500"/>
          <a:ext cx="1876425" cy="2333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21</xdr:row>
      <xdr:rowOff>85725</xdr:rowOff>
    </xdr:from>
    <xdr:to>
      <xdr:col>2</xdr:col>
      <xdr:colOff>9525</xdr:colOff>
      <xdr:row>35</xdr:row>
      <xdr:rowOff>152400</xdr:rowOff>
    </xdr:to>
    <xdr:pic>
      <xdr:nvPicPr>
        <xdr:cNvPr id="51916" name="Picture 2">
          <a:extLst>
            <a:ext uri="{FF2B5EF4-FFF2-40B4-BE49-F238E27FC236}">
              <a16:creationId xmlns:a16="http://schemas.microsoft.com/office/drawing/2014/main" xmlns="" id="{00000000-0008-0000-2A00-0000CCC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275" y="3581400"/>
          <a:ext cx="1924050" cy="2333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38</xdr:row>
      <xdr:rowOff>19050</xdr:rowOff>
    </xdr:from>
    <xdr:to>
      <xdr:col>2</xdr:col>
      <xdr:colOff>0</xdr:colOff>
      <xdr:row>49</xdr:row>
      <xdr:rowOff>133350</xdr:rowOff>
    </xdr:to>
    <xdr:pic>
      <xdr:nvPicPr>
        <xdr:cNvPr id="51917" name="Picture 3">
          <a:extLst>
            <a:ext uri="{FF2B5EF4-FFF2-40B4-BE49-F238E27FC236}">
              <a16:creationId xmlns:a16="http://schemas.microsoft.com/office/drawing/2014/main" xmlns="" id="{00000000-0008-0000-2A00-0000CDC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275" y="6267450"/>
          <a:ext cx="1914525" cy="1895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666750</xdr:colOff>
      <xdr:row>69</xdr:row>
      <xdr:rowOff>38100</xdr:rowOff>
    </xdr:from>
    <xdr:to>
      <xdr:col>1</xdr:col>
      <xdr:colOff>1866900</xdr:colOff>
      <xdr:row>82</xdr:row>
      <xdr:rowOff>123825</xdr:rowOff>
    </xdr:to>
    <xdr:pic>
      <xdr:nvPicPr>
        <xdr:cNvPr id="51918" name="Picture 4">
          <a:extLst>
            <a:ext uri="{FF2B5EF4-FFF2-40B4-BE49-F238E27FC236}">
              <a16:creationId xmlns:a16="http://schemas.microsoft.com/office/drawing/2014/main" xmlns="" id="{00000000-0008-0000-2A00-0000CEC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0" y="11306175"/>
          <a:ext cx="1876425" cy="2190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38100</xdr:colOff>
      <xdr:row>96</xdr:row>
      <xdr:rowOff>152400</xdr:rowOff>
    </xdr:from>
    <xdr:to>
      <xdr:col>1</xdr:col>
      <xdr:colOff>1895475</xdr:colOff>
      <xdr:row>110</xdr:row>
      <xdr:rowOff>142875</xdr:rowOff>
    </xdr:to>
    <xdr:pic>
      <xdr:nvPicPr>
        <xdr:cNvPr id="51919" name="Picture 5">
          <a:extLst>
            <a:ext uri="{FF2B5EF4-FFF2-40B4-BE49-F238E27FC236}">
              <a16:creationId xmlns:a16="http://schemas.microsoft.com/office/drawing/2014/main" xmlns="" id="{00000000-0008-0000-2A00-0000CFC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4375" y="15792450"/>
          <a:ext cx="1857375" cy="2257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9525</xdr:colOff>
      <xdr:row>0</xdr:row>
      <xdr:rowOff>0</xdr:rowOff>
    </xdr:from>
    <xdr:to>
      <xdr:col>10</xdr:col>
      <xdr:colOff>38100</xdr:colOff>
      <xdr:row>2</xdr:row>
      <xdr:rowOff>142875</xdr:rowOff>
    </xdr:to>
    <xdr:pic>
      <xdr:nvPicPr>
        <xdr:cNvPr id="19920" name="Picture 1" descr="massive">
          <a:extLst>
            <a:ext uri="{FF2B5EF4-FFF2-40B4-BE49-F238E27FC236}">
              <a16:creationId xmlns:a16="http://schemas.microsoft.com/office/drawing/2014/main" xmlns="" id="{00000000-0008-0000-2C00-0000D04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24375" y="0"/>
          <a:ext cx="1552575" cy="704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800100</xdr:colOff>
          <xdr:row>73</xdr:row>
          <xdr:rowOff>171450</xdr:rowOff>
        </xdr:from>
        <xdr:to>
          <xdr:col>6</xdr:col>
          <xdr:colOff>114300</xdr:colOff>
          <xdr:row>75</xdr:row>
          <xdr:rowOff>47625</xdr:rowOff>
        </xdr:to>
        <xdr:sp macro="" textlink="">
          <xdr:nvSpPr>
            <xdr:cNvPr id="27649" name="Drop Down 1" hidden="1">
              <a:extLst>
                <a:ext uri="{63B3BB69-23CF-44E3-9099-C40C66FF867C}">
                  <a14:compatExt spid="_x0000_s27649"/>
                </a:ext>
                <a:ext uri="{FF2B5EF4-FFF2-40B4-BE49-F238E27FC236}">
                  <a16:creationId xmlns:a16="http://schemas.microsoft.com/office/drawing/2014/main" xmlns="" id="{00000000-0008-0000-0500-000001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800100</xdr:colOff>
          <xdr:row>72</xdr:row>
          <xdr:rowOff>133350</xdr:rowOff>
        </xdr:from>
        <xdr:to>
          <xdr:col>6</xdr:col>
          <xdr:colOff>95250</xdr:colOff>
          <xdr:row>74</xdr:row>
          <xdr:rowOff>28575</xdr:rowOff>
        </xdr:to>
        <xdr:sp macro="" textlink="">
          <xdr:nvSpPr>
            <xdr:cNvPr id="27650" name="Drop Down 2" hidden="1">
              <a:extLst>
                <a:ext uri="{63B3BB69-23CF-44E3-9099-C40C66FF867C}">
                  <a14:compatExt spid="_x0000_s27650"/>
                </a:ext>
                <a:ext uri="{FF2B5EF4-FFF2-40B4-BE49-F238E27FC236}">
                  <a16:creationId xmlns:a16="http://schemas.microsoft.com/office/drawing/2014/main" xmlns="" id="{00000000-0008-0000-0500-000002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74</xdr:row>
          <xdr:rowOff>152400</xdr:rowOff>
        </xdr:from>
        <xdr:to>
          <xdr:col>6</xdr:col>
          <xdr:colOff>104775</xdr:colOff>
          <xdr:row>76</xdr:row>
          <xdr:rowOff>47625</xdr:rowOff>
        </xdr:to>
        <xdr:sp macro="" textlink="">
          <xdr:nvSpPr>
            <xdr:cNvPr id="27651" name="Drop Down 3" hidden="1">
              <a:extLst>
                <a:ext uri="{63B3BB69-23CF-44E3-9099-C40C66FF867C}">
                  <a14:compatExt spid="_x0000_s27651"/>
                </a:ext>
                <a:ext uri="{FF2B5EF4-FFF2-40B4-BE49-F238E27FC236}">
                  <a16:creationId xmlns:a16="http://schemas.microsoft.com/office/drawing/2014/main" xmlns="" id="{00000000-0008-0000-0500-000003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800100</xdr:colOff>
          <xdr:row>76</xdr:row>
          <xdr:rowOff>28575</xdr:rowOff>
        </xdr:from>
        <xdr:to>
          <xdr:col>6</xdr:col>
          <xdr:colOff>104775</xdr:colOff>
          <xdr:row>77</xdr:row>
          <xdr:rowOff>19050</xdr:rowOff>
        </xdr:to>
        <xdr:sp macro="" textlink="">
          <xdr:nvSpPr>
            <xdr:cNvPr id="27652" name="Drop Down 4" hidden="1">
              <a:extLst>
                <a:ext uri="{63B3BB69-23CF-44E3-9099-C40C66FF867C}">
                  <a14:compatExt spid="_x0000_s27652"/>
                </a:ext>
                <a:ext uri="{FF2B5EF4-FFF2-40B4-BE49-F238E27FC236}">
                  <a16:creationId xmlns:a16="http://schemas.microsoft.com/office/drawing/2014/main" xmlns="" id="{00000000-0008-0000-0500-000004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314325</xdr:colOff>
          <xdr:row>77</xdr:row>
          <xdr:rowOff>9525</xdr:rowOff>
        </xdr:from>
        <xdr:to>
          <xdr:col>6</xdr:col>
          <xdr:colOff>85725</xdr:colOff>
          <xdr:row>78</xdr:row>
          <xdr:rowOff>0</xdr:rowOff>
        </xdr:to>
        <xdr:sp macro="" textlink="">
          <xdr:nvSpPr>
            <xdr:cNvPr id="27653" name="Drop Down 5" hidden="1">
              <a:extLst>
                <a:ext uri="{63B3BB69-23CF-44E3-9099-C40C66FF867C}">
                  <a14:compatExt spid="_x0000_s27653"/>
                </a:ext>
                <a:ext uri="{FF2B5EF4-FFF2-40B4-BE49-F238E27FC236}">
                  <a16:creationId xmlns:a16="http://schemas.microsoft.com/office/drawing/2014/main" xmlns="" id="{00000000-0008-0000-0500-000005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800100</xdr:colOff>
          <xdr:row>28</xdr:row>
          <xdr:rowOff>171450</xdr:rowOff>
        </xdr:from>
        <xdr:to>
          <xdr:col>6</xdr:col>
          <xdr:colOff>114300</xdr:colOff>
          <xdr:row>30</xdr:row>
          <xdr:rowOff>38100</xdr:rowOff>
        </xdr:to>
        <xdr:sp macro="" textlink="">
          <xdr:nvSpPr>
            <xdr:cNvPr id="29697" name="Drop Down 1" hidden="1">
              <a:extLst>
                <a:ext uri="{63B3BB69-23CF-44E3-9099-C40C66FF867C}">
                  <a14:compatExt spid="_x0000_s29697"/>
                </a:ext>
                <a:ext uri="{FF2B5EF4-FFF2-40B4-BE49-F238E27FC236}">
                  <a16:creationId xmlns:a16="http://schemas.microsoft.com/office/drawing/2014/main" xmlns="" id="{00000000-0008-0000-0600-000001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800100</xdr:colOff>
          <xdr:row>27</xdr:row>
          <xdr:rowOff>133350</xdr:rowOff>
        </xdr:from>
        <xdr:to>
          <xdr:col>6</xdr:col>
          <xdr:colOff>95250</xdr:colOff>
          <xdr:row>29</xdr:row>
          <xdr:rowOff>9525</xdr:rowOff>
        </xdr:to>
        <xdr:sp macro="" textlink="">
          <xdr:nvSpPr>
            <xdr:cNvPr id="29698" name="Drop Down 2" hidden="1">
              <a:extLst>
                <a:ext uri="{63B3BB69-23CF-44E3-9099-C40C66FF867C}">
                  <a14:compatExt spid="_x0000_s29698"/>
                </a:ext>
                <a:ext uri="{FF2B5EF4-FFF2-40B4-BE49-F238E27FC236}">
                  <a16:creationId xmlns:a16="http://schemas.microsoft.com/office/drawing/2014/main" xmlns="" id="{00000000-0008-0000-0600-000002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29</xdr:row>
          <xdr:rowOff>152400</xdr:rowOff>
        </xdr:from>
        <xdr:to>
          <xdr:col>6</xdr:col>
          <xdr:colOff>104775</xdr:colOff>
          <xdr:row>31</xdr:row>
          <xdr:rowOff>28575</xdr:rowOff>
        </xdr:to>
        <xdr:sp macro="" textlink="">
          <xdr:nvSpPr>
            <xdr:cNvPr id="29699" name="Drop Down 3" hidden="1">
              <a:extLst>
                <a:ext uri="{63B3BB69-23CF-44E3-9099-C40C66FF867C}">
                  <a14:compatExt spid="_x0000_s29699"/>
                </a:ext>
                <a:ext uri="{FF2B5EF4-FFF2-40B4-BE49-F238E27FC236}">
                  <a16:creationId xmlns:a16="http://schemas.microsoft.com/office/drawing/2014/main" xmlns="" id="{00000000-0008-0000-0600-000003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800100</xdr:colOff>
          <xdr:row>31</xdr:row>
          <xdr:rowOff>28575</xdr:rowOff>
        </xdr:from>
        <xdr:to>
          <xdr:col>6</xdr:col>
          <xdr:colOff>104775</xdr:colOff>
          <xdr:row>32</xdr:row>
          <xdr:rowOff>0</xdr:rowOff>
        </xdr:to>
        <xdr:sp macro="" textlink="">
          <xdr:nvSpPr>
            <xdr:cNvPr id="29700" name="Drop Down 4" hidden="1">
              <a:extLst>
                <a:ext uri="{63B3BB69-23CF-44E3-9099-C40C66FF867C}">
                  <a14:compatExt spid="_x0000_s29700"/>
                </a:ext>
                <a:ext uri="{FF2B5EF4-FFF2-40B4-BE49-F238E27FC236}">
                  <a16:creationId xmlns:a16="http://schemas.microsoft.com/office/drawing/2014/main" xmlns="" id="{00000000-0008-0000-0600-000004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371475</xdr:colOff>
          <xdr:row>32</xdr:row>
          <xdr:rowOff>0</xdr:rowOff>
        </xdr:from>
        <xdr:to>
          <xdr:col>6</xdr:col>
          <xdr:colOff>114300</xdr:colOff>
          <xdr:row>32</xdr:row>
          <xdr:rowOff>200025</xdr:rowOff>
        </xdr:to>
        <xdr:sp macro="" textlink="">
          <xdr:nvSpPr>
            <xdr:cNvPr id="29701" name="Drop Down 5" hidden="1">
              <a:extLst>
                <a:ext uri="{63B3BB69-23CF-44E3-9099-C40C66FF867C}">
                  <a14:compatExt spid="_x0000_s29701"/>
                </a:ext>
                <a:ext uri="{FF2B5EF4-FFF2-40B4-BE49-F238E27FC236}">
                  <a16:creationId xmlns:a16="http://schemas.microsoft.com/office/drawing/2014/main" xmlns="" id="{00000000-0008-0000-0600-000005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590550</xdr:colOff>
      <xdr:row>40</xdr:row>
      <xdr:rowOff>0</xdr:rowOff>
    </xdr:from>
    <xdr:to>
      <xdr:col>22</xdr:col>
      <xdr:colOff>57150</xdr:colOff>
      <xdr:row>60</xdr:row>
      <xdr:rowOff>142875</xdr:rowOff>
    </xdr:to>
    <xdr:pic>
      <xdr:nvPicPr>
        <xdr:cNvPr id="52590" name="Picture 1" descr="prof3">
          <a:extLst>
            <a:ext uri="{FF2B5EF4-FFF2-40B4-BE49-F238E27FC236}">
              <a16:creationId xmlns:a16="http://schemas.microsoft.com/office/drawing/2014/main" xmlns="" id="{00000000-0008-0000-0900-00006EC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58500" y="7419975"/>
          <a:ext cx="2514600" cy="3571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17</xdr:col>
      <xdr:colOff>400050</xdr:colOff>
      <xdr:row>19</xdr:row>
      <xdr:rowOff>76200</xdr:rowOff>
    </xdr:from>
    <xdr:to>
      <xdr:col>21</xdr:col>
      <xdr:colOff>180975</xdr:colOff>
      <xdr:row>37</xdr:row>
      <xdr:rowOff>209550</xdr:rowOff>
    </xdr:to>
    <xdr:pic>
      <xdr:nvPicPr>
        <xdr:cNvPr id="52591" name="Picture 2" descr="u">
          <a:extLst>
            <a:ext uri="{FF2B5EF4-FFF2-40B4-BE49-F238E27FC236}">
              <a16:creationId xmlns:a16="http://schemas.microsoft.com/office/drawing/2014/main" xmlns="" id="{00000000-0008-0000-0900-00006FC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68000" y="3457575"/>
          <a:ext cx="2219325" cy="3429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17</xdr:col>
      <xdr:colOff>438150</xdr:colOff>
      <xdr:row>2</xdr:row>
      <xdr:rowOff>180975</xdr:rowOff>
    </xdr:from>
    <xdr:to>
      <xdr:col>23</xdr:col>
      <xdr:colOff>438150</xdr:colOff>
      <xdr:row>14</xdr:row>
      <xdr:rowOff>161925</xdr:rowOff>
    </xdr:to>
    <xdr:pic>
      <xdr:nvPicPr>
        <xdr:cNvPr id="52592" name="Picture 3" descr="omega">
          <a:extLst>
            <a:ext uri="{FF2B5EF4-FFF2-40B4-BE49-F238E27FC236}">
              <a16:creationId xmlns:a16="http://schemas.microsoft.com/office/drawing/2014/main" xmlns="" id="{00000000-0008-0000-0900-000070C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06100" y="609600"/>
          <a:ext cx="3657600" cy="2076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9</xdr:row>
          <xdr:rowOff>142875</xdr:rowOff>
        </xdr:from>
        <xdr:to>
          <xdr:col>4</xdr:col>
          <xdr:colOff>714375</xdr:colOff>
          <xdr:row>11</xdr:row>
          <xdr:rowOff>66675</xdr:rowOff>
        </xdr:to>
        <xdr:sp macro="" textlink="">
          <xdr:nvSpPr>
            <xdr:cNvPr id="22553" name="Drop Down 25" hidden="1">
              <a:extLst>
                <a:ext uri="{63B3BB69-23CF-44E3-9099-C40C66FF867C}">
                  <a14:compatExt spid="_x0000_s22553"/>
                </a:ext>
                <a:ext uri="{FF2B5EF4-FFF2-40B4-BE49-F238E27FC236}">
                  <a16:creationId xmlns:a16="http://schemas.microsoft.com/office/drawing/2014/main" xmlns="" id="{00000000-0008-0000-0A00-000019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266700</xdr:colOff>
      <xdr:row>2</xdr:row>
      <xdr:rowOff>76200</xdr:rowOff>
    </xdr:from>
    <xdr:to>
      <xdr:col>2</xdr:col>
      <xdr:colOff>266700</xdr:colOff>
      <xdr:row>13</xdr:row>
      <xdr:rowOff>66675</xdr:rowOff>
    </xdr:to>
    <xdr:sp macro="" textlink="">
      <xdr:nvSpPr>
        <xdr:cNvPr id="55107" name="Line 1">
          <a:extLst>
            <a:ext uri="{FF2B5EF4-FFF2-40B4-BE49-F238E27FC236}">
              <a16:creationId xmlns:a16="http://schemas.microsoft.com/office/drawing/2014/main" xmlns="" id="{00000000-0008-0000-0B00-000043D70000}"/>
            </a:ext>
          </a:extLst>
        </xdr:cNvPr>
        <xdr:cNvSpPr>
          <a:spLocks noChangeShapeType="1"/>
        </xdr:cNvSpPr>
      </xdr:nvSpPr>
      <xdr:spPr bwMode="auto">
        <a:xfrm>
          <a:off x="1743075" y="381000"/>
          <a:ext cx="0" cy="1666875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371475</xdr:colOff>
      <xdr:row>2</xdr:row>
      <xdr:rowOff>85725</xdr:rowOff>
    </xdr:from>
    <xdr:to>
      <xdr:col>3</xdr:col>
      <xdr:colOff>381000</xdr:colOff>
      <xdr:row>13</xdr:row>
      <xdr:rowOff>57150</xdr:rowOff>
    </xdr:to>
    <xdr:sp macro="" textlink="">
      <xdr:nvSpPr>
        <xdr:cNvPr id="55108" name="Line 2">
          <a:extLst>
            <a:ext uri="{FF2B5EF4-FFF2-40B4-BE49-F238E27FC236}">
              <a16:creationId xmlns:a16="http://schemas.microsoft.com/office/drawing/2014/main" xmlns="" id="{00000000-0008-0000-0B00-000044D70000}"/>
            </a:ext>
          </a:extLst>
        </xdr:cNvPr>
        <xdr:cNvSpPr>
          <a:spLocks noChangeShapeType="1"/>
        </xdr:cNvSpPr>
      </xdr:nvSpPr>
      <xdr:spPr bwMode="auto">
        <a:xfrm>
          <a:off x="2457450" y="390525"/>
          <a:ext cx="9525" cy="1647825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600075</xdr:colOff>
      <xdr:row>2</xdr:row>
      <xdr:rowOff>95250</xdr:rowOff>
    </xdr:from>
    <xdr:to>
      <xdr:col>3</xdr:col>
      <xdr:colOff>609600</xdr:colOff>
      <xdr:row>13</xdr:row>
      <xdr:rowOff>19050</xdr:rowOff>
    </xdr:to>
    <xdr:sp macro="" textlink="">
      <xdr:nvSpPr>
        <xdr:cNvPr id="55109" name="Line 3">
          <a:extLst>
            <a:ext uri="{FF2B5EF4-FFF2-40B4-BE49-F238E27FC236}">
              <a16:creationId xmlns:a16="http://schemas.microsoft.com/office/drawing/2014/main" xmlns="" id="{00000000-0008-0000-0B00-000045D70000}"/>
            </a:ext>
          </a:extLst>
        </xdr:cNvPr>
        <xdr:cNvSpPr>
          <a:spLocks noChangeShapeType="1"/>
        </xdr:cNvSpPr>
      </xdr:nvSpPr>
      <xdr:spPr bwMode="auto">
        <a:xfrm>
          <a:off x="2686050" y="400050"/>
          <a:ext cx="9525" cy="1600200"/>
        </a:xfrm>
        <a:prstGeom prst="line">
          <a:avLst/>
        </a:prstGeom>
        <a:noFill/>
        <a:ln w="3175">
          <a:solidFill>
            <a:srgbClr val="000000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276225</xdr:colOff>
      <xdr:row>13</xdr:row>
      <xdr:rowOff>38100</xdr:rowOff>
    </xdr:from>
    <xdr:to>
      <xdr:col>3</xdr:col>
      <xdr:colOff>342900</xdr:colOff>
      <xdr:row>13</xdr:row>
      <xdr:rowOff>47625</xdr:rowOff>
    </xdr:to>
    <xdr:sp macro="" textlink="">
      <xdr:nvSpPr>
        <xdr:cNvPr id="55110" name="Line 4">
          <a:extLst>
            <a:ext uri="{FF2B5EF4-FFF2-40B4-BE49-F238E27FC236}">
              <a16:creationId xmlns:a16="http://schemas.microsoft.com/office/drawing/2014/main" xmlns="" id="{00000000-0008-0000-0B00-000046D70000}"/>
            </a:ext>
          </a:extLst>
        </xdr:cNvPr>
        <xdr:cNvSpPr>
          <a:spLocks noChangeShapeType="1"/>
        </xdr:cNvSpPr>
      </xdr:nvSpPr>
      <xdr:spPr bwMode="auto">
        <a:xfrm flipV="1">
          <a:off x="1752600" y="2019300"/>
          <a:ext cx="676275" cy="9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276225</xdr:colOff>
      <xdr:row>6</xdr:row>
      <xdr:rowOff>0</xdr:rowOff>
    </xdr:from>
    <xdr:to>
      <xdr:col>3</xdr:col>
      <xdr:colOff>361950</xdr:colOff>
      <xdr:row>6</xdr:row>
      <xdr:rowOff>9525</xdr:rowOff>
    </xdr:to>
    <xdr:sp macro="" textlink="">
      <xdr:nvSpPr>
        <xdr:cNvPr id="55111" name="Line 5">
          <a:extLst>
            <a:ext uri="{FF2B5EF4-FFF2-40B4-BE49-F238E27FC236}">
              <a16:creationId xmlns:a16="http://schemas.microsoft.com/office/drawing/2014/main" xmlns="" id="{00000000-0008-0000-0B00-000047D70000}"/>
            </a:ext>
          </a:extLst>
        </xdr:cNvPr>
        <xdr:cNvSpPr>
          <a:spLocks noChangeShapeType="1"/>
        </xdr:cNvSpPr>
      </xdr:nvSpPr>
      <xdr:spPr bwMode="auto">
        <a:xfrm flipV="1">
          <a:off x="1752600" y="914400"/>
          <a:ext cx="695325" cy="9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238125</xdr:colOff>
      <xdr:row>9</xdr:row>
      <xdr:rowOff>114300</xdr:rowOff>
    </xdr:from>
    <xdr:to>
      <xdr:col>3</xdr:col>
      <xdr:colOff>371475</xdr:colOff>
      <xdr:row>9</xdr:row>
      <xdr:rowOff>123825</xdr:rowOff>
    </xdr:to>
    <xdr:sp macro="" textlink="">
      <xdr:nvSpPr>
        <xdr:cNvPr id="55112" name="Line 6">
          <a:extLst>
            <a:ext uri="{FF2B5EF4-FFF2-40B4-BE49-F238E27FC236}">
              <a16:creationId xmlns:a16="http://schemas.microsoft.com/office/drawing/2014/main" xmlns="" id="{00000000-0008-0000-0B00-000048D70000}"/>
            </a:ext>
          </a:extLst>
        </xdr:cNvPr>
        <xdr:cNvSpPr>
          <a:spLocks noChangeShapeType="1"/>
        </xdr:cNvSpPr>
      </xdr:nvSpPr>
      <xdr:spPr bwMode="auto">
        <a:xfrm flipV="1">
          <a:off x="1714500" y="1485900"/>
          <a:ext cx="742950" cy="9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285750</xdr:colOff>
      <xdr:row>2</xdr:row>
      <xdr:rowOff>95250</xdr:rowOff>
    </xdr:from>
    <xdr:to>
      <xdr:col>3</xdr:col>
      <xdr:colOff>381000</xdr:colOff>
      <xdr:row>2</xdr:row>
      <xdr:rowOff>95250</xdr:rowOff>
    </xdr:to>
    <xdr:sp macro="" textlink="">
      <xdr:nvSpPr>
        <xdr:cNvPr id="55113" name="Line 7">
          <a:extLst>
            <a:ext uri="{FF2B5EF4-FFF2-40B4-BE49-F238E27FC236}">
              <a16:creationId xmlns:a16="http://schemas.microsoft.com/office/drawing/2014/main" xmlns="" id="{00000000-0008-0000-0B00-000049D70000}"/>
            </a:ext>
          </a:extLst>
        </xdr:cNvPr>
        <xdr:cNvSpPr>
          <a:spLocks noChangeShapeType="1"/>
        </xdr:cNvSpPr>
      </xdr:nvSpPr>
      <xdr:spPr bwMode="auto">
        <a:xfrm>
          <a:off x="1762125" y="400050"/>
          <a:ext cx="7048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304800</xdr:colOff>
      <xdr:row>2</xdr:row>
      <xdr:rowOff>114300</xdr:rowOff>
    </xdr:from>
    <xdr:to>
      <xdr:col>3</xdr:col>
      <xdr:colOff>361950</xdr:colOff>
      <xdr:row>5</xdr:row>
      <xdr:rowOff>152400</xdr:rowOff>
    </xdr:to>
    <xdr:sp macro="" textlink="">
      <xdr:nvSpPr>
        <xdr:cNvPr id="55114" name="Line 8">
          <a:extLst>
            <a:ext uri="{FF2B5EF4-FFF2-40B4-BE49-F238E27FC236}">
              <a16:creationId xmlns:a16="http://schemas.microsoft.com/office/drawing/2014/main" xmlns="" id="{00000000-0008-0000-0B00-00004AD70000}"/>
            </a:ext>
          </a:extLst>
        </xdr:cNvPr>
        <xdr:cNvSpPr>
          <a:spLocks noChangeShapeType="1"/>
        </xdr:cNvSpPr>
      </xdr:nvSpPr>
      <xdr:spPr bwMode="auto">
        <a:xfrm>
          <a:off x="1781175" y="419100"/>
          <a:ext cx="666750" cy="4953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276225</xdr:colOff>
      <xdr:row>9</xdr:row>
      <xdr:rowOff>114300</xdr:rowOff>
    </xdr:from>
    <xdr:to>
      <xdr:col>3</xdr:col>
      <xdr:colOff>361950</xdr:colOff>
      <xdr:row>13</xdr:row>
      <xdr:rowOff>28575</xdr:rowOff>
    </xdr:to>
    <xdr:sp macro="" textlink="">
      <xdr:nvSpPr>
        <xdr:cNvPr id="55115" name="Line 9">
          <a:extLst>
            <a:ext uri="{FF2B5EF4-FFF2-40B4-BE49-F238E27FC236}">
              <a16:creationId xmlns:a16="http://schemas.microsoft.com/office/drawing/2014/main" xmlns="" id="{00000000-0008-0000-0B00-00004BD70000}"/>
            </a:ext>
          </a:extLst>
        </xdr:cNvPr>
        <xdr:cNvSpPr>
          <a:spLocks noChangeShapeType="1"/>
        </xdr:cNvSpPr>
      </xdr:nvSpPr>
      <xdr:spPr bwMode="auto">
        <a:xfrm>
          <a:off x="1752600" y="1485900"/>
          <a:ext cx="695325" cy="5238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295275</xdr:colOff>
      <xdr:row>6</xdr:row>
      <xdr:rowOff>9525</xdr:rowOff>
    </xdr:from>
    <xdr:to>
      <xdr:col>3</xdr:col>
      <xdr:colOff>352425</xdr:colOff>
      <xdr:row>9</xdr:row>
      <xdr:rowOff>85725</xdr:rowOff>
    </xdr:to>
    <xdr:sp macro="" textlink="">
      <xdr:nvSpPr>
        <xdr:cNvPr id="55116" name="Line 10">
          <a:extLst>
            <a:ext uri="{FF2B5EF4-FFF2-40B4-BE49-F238E27FC236}">
              <a16:creationId xmlns:a16="http://schemas.microsoft.com/office/drawing/2014/main" xmlns="" id="{00000000-0008-0000-0B00-00004CD70000}"/>
            </a:ext>
          </a:extLst>
        </xdr:cNvPr>
        <xdr:cNvSpPr>
          <a:spLocks noChangeShapeType="1"/>
        </xdr:cNvSpPr>
      </xdr:nvSpPr>
      <xdr:spPr bwMode="auto">
        <a:xfrm flipH="1">
          <a:off x="1771650" y="923925"/>
          <a:ext cx="666750" cy="5334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238125</xdr:colOff>
      <xdr:row>0</xdr:row>
      <xdr:rowOff>133350</xdr:rowOff>
    </xdr:from>
    <xdr:to>
      <xdr:col>2</xdr:col>
      <xdr:colOff>238125</xdr:colOff>
      <xdr:row>1</xdr:row>
      <xdr:rowOff>142875</xdr:rowOff>
    </xdr:to>
    <xdr:sp macro="" textlink="">
      <xdr:nvSpPr>
        <xdr:cNvPr id="55117" name="Line 12">
          <a:extLst>
            <a:ext uri="{FF2B5EF4-FFF2-40B4-BE49-F238E27FC236}">
              <a16:creationId xmlns:a16="http://schemas.microsoft.com/office/drawing/2014/main" xmlns="" id="{00000000-0008-0000-0B00-00004DD70000}"/>
            </a:ext>
          </a:extLst>
        </xdr:cNvPr>
        <xdr:cNvSpPr>
          <a:spLocks noChangeShapeType="1"/>
        </xdr:cNvSpPr>
      </xdr:nvSpPr>
      <xdr:spPr bwMode="auto">
        <a:xfrm>
          <a:off x="1714500" y="133350"/>
          <a:ext cx="0" cy="1619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942975</xdr:colOff>
      <xdr:row>2</xdr:row>
      <xdr:rowOff>95250</xdr:rowOff>
    </xdr:from>
    <xdr:to>
      <xdr:col>2</xdr:col>
      <xdr:colOff>180975</xdr:colOff>
      <xdr:row>2</xdr:row>
      <xdr:rowOff>95250</xdr:rowOff>
    </xdr:to>
    <xdr:sp macro="" textlink="">
      <xdr:nvSpPr>
        <xdr:cNvPr id="55118" name="Line 14">
          <a:extLst>
            <a:ext uri="{FF2B5EF4-FFF2-40B4-BE49-F238E27FC236}">
              <a16:creationId xmlns:a16="http://schemas.microsoft.com/office/drawing/2014/main" xmlns="" id="{00000000-0008-0000-0B00-00004ED70000}"/>
            </a:ext>
          </a:extLst>
        </xdr:cNvPr>
        <xdr:cNvSpPr>
          <a:spLocks noChangeShapeType="1"/>
        </xdr:cNvSpPr>
      </xdr:nvSpPr>
      <xdr:spPr bwMode="auto">
        <a:xfrm>
          <a:off x="1476375" y="400050"/>
          <a:ext cx="1809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819150</xdr:colOff>
      <xdr:row>9</xdr:row>
      <xdr:rowOff>123825</xdr:rowOff>
    </xdr:from>
    <xdr:to>
      <xdr:col>1</xdr:col>
      <xdr:colOff>819150</xdr:colOff>
      <xdr:row>13</xdr:row>
      <xdr:rowOff>76200</xdr:rowOff>
    </xdr:to>
    <xdr:sp macro="" textlink="">
      <xdr:nvSpPr>
        <xdr:cNvPr id="55119" name="Line 54">
          <a:extLst>
            <a:ext uri="{FF2B5EF4-FFF2-40B4-BE49-F238E27FC236}">
              <a16:creationId xmlns:a16="http://schemas.microsoft.com/office/drawing/2014/main" xmlns="" id="{00000000-0008-0000-0B00-00004FD70000}"/>
            </a:ext>
          </a:extLst>
        </xdr:cNvPr>
        <xdr:cNvSpPr>
          <a:spLocks noChangeShapeType="1"/>
        </xdr:cNvSpPr>
      </xdr:nvSpPr>
      <xdr:spPr bwMode="auto">
        <a:xfrm>
          <a:off x="1476375" y="1495425"/>
          <a:ext cx="0" cy="561975"/>
        </a:xfrm>
        <a:prstGeom prst="line">
          <a:avLst/>
        </a:prstGeom>
        <a:noFill/>
        <a:ln w="3175">
          <a:solidFill>
            <a:srgbClr val="000000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38100</xdr:colOff>
          <xdr:row>19</xdr:row>
          <xdr:rowOff>95250</xdr:rowOff>
        </xdr:from>
        <xdr:to>
          <xdr:col>9</xdr:col>
          <xdr:colOff>28575</xdr:colOff>
          <xdr:row>20</xdr:row>
          <xdr:rowOff>142875</xdr:rowOff>
        </xdr:to>
        <xdr:sp macro="" textlink="">
          <xdr:nvSpPr>
            <xdr:cNvPr id="20497" name="Drop Down 17" hidden="1">
              <a:extLst>
                <a:ext uri="{63B3BB69-23CF-44E3-9099-C40C66FF867C}">
                  <a14:compatExt spid="_x0000_s20497"/>
                </a:ext>
                <a:ext uri="{FF2B5EF4-FFF2-40B4-BE49-F238E27FC236}">
                  <a16:creationId xmlns:a16="http://schemas.microsoft.com/office/drawing/2014/main" xmlns="" id="{00000000-0008-0000-0B00-000011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19</xdr:row>
          <xdr:rowOff>66675</xdr:rowOff>
        </xdr:from>
        <xdr:to>
          <xdr:col>6</xdr:col>
          <xdr:colOff>104775</xdr:colOff>
          <xdr:row>20</xdr:row>
          <xdr:rowOff>142875</xdr:rowOff>
        </xdr:to>
        <xdr:sp macro="" textlink="">
          <xdr:nvSpPr>
            <xdr:cNvPr id="20498" name="Drop Down 18" hidden="1">
              <a:extLst>
                <a:ext uri="{63B3BB69-23CF-44E3-9099-C40C66FF867C}">
                  <a14:compatExt spid="_x0000_s20498"/>
                </a:ext>
                <a:ext uri="{FF2B5EF4-FFF2-40B4-BE49-F238E27FC236}">
                  <a16:creationId xmlns:a16="http://schemas.microsoft.com/office/drawing/2014/main" xmlns="" id="{00000000-0008-0000-0B00-000012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4</xdr:row>
          <xdr:rowOff>142875</xdr:rowOff>
        </xdr:from>
        <xdr:to>
          <xdr:col>2</xdr:col>
          <xdr:colOff>0</xdr:colOff>
          <xdr:row>6</xdr:row>
          <xdr:rowOff>19050</xdr:rowOff>
        </xdr:to>
        <xdr:sp macro="" textlink="">
          <xdr:nvSpPr>
            <xdr:cNvPr id="30721" name="Drop Down 1" hidden="1">
              <a:extLst>
                <a:ext uri="{63B3BB69-23CF-44E3-9099-C40C66FF867C}">
                  <a14:compatExt spid="_x0000_s30721"/>
                </a:ext>
                <a:ext uri="{FF2B5EF4-FFF2-40B4-BE49-F238E27FC236}">
                  <a16:creationId xmlns:a16="http://schemas.microsoft.com/office/drawing/2014/main" xmlns="" id="{00000000-0008-0000-1300-000001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6</xdr:row>
          <xdr:rowOff>152400</xdr:rowOff>
        </xdr:from>
        <xdr:to>
          <xdr:col>2</xdr:col>
          <xdr:colOff>0</xdr:colOff>
          <xdr:row>8</xdr:row>
          <xdr:rowOff>28575</xdr:rowOff>
        </xdr:to>
        <xdr:sp macro="" textlink="">
          <xdr:nvSpPr>
            <xdr:cNvPr id="30722" name="Drop Down 2" hidden="1">
              <a:extLst>
                <a:ext uri="{63B3BB69-23CF-44E3-9099-C40C66FF867C}">
                  <a14:compatExt spid="_x0000_s30722"/>
                </a:ext>
                <a:ext uri="{FF2B5EF4-FFF2-40B4-BE49-F238E27FC236}">
                  <a16:creationId xmlns:a16="http://schemas.microsoft.com/office/drawing/2014/main" xmlns="" id="{00000000-0008-0000-1300-000002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8</xdr:row>
          <xdr:rowOff>114300</xdr:rowOff>
        </xdr:from>
        <xdr:to>
          <xdr:col>2</xdr:col>
          <xdr:colOff>0</xdr:colOff>
          <xdr:row>9</xdr:row>
          <xdr:rowOff>152400</xdr:rowOff>
        </xdr:to>
        <xdr:sp macro="" textlink="">
          <xdr:nvSpPr>
            <xdr:cNvPr id="30723" name="Drop Down 3" hidden="1">
              <a:extLst>
                <a:ext uri="{63B3BB69-23CF-44E3-9099-C40C66FF867C}">
                  <a14:compatExt spid="_x0000_s30723"/>
                </a:ext>
                <a:ext uri="{FF2B5EF4-FFF2-40B4-BE49-F238E27FC236}">
                  <a16:creationId xmlns:a16="http://schemas.microsoft.com/office/drawing/2014/main" xmlns="" id="{00000000-0008-0000-1300-000003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1200150</xdr:colOff>
          <xdr:row>28</xdr:row>
          <xdr:rowOff>0</xdr:rowOff>
        </xdr:from>
        <xdr:to>
          <xdr:col>2</xdr:col>
          <xdr:colOff>57150</xdr:colOff>
          <xdr:row>29</xdr:row>
          <xdr:rowOff>76200</xdr:rowOff>
        </xdr:to>
        <xdr:sp macro="" textlink="">
          <xdr:nvSpPr>
            <xdr:cNvPr id="23571" name="Option Button 19" hidden="1">
              <a:extLst>
                <a:ext uri="{63B3BB69-23CF-44E3-9099-C40C66FF867C}">
                  <a14:compatExt spid="_x0000_s23571"/>
                </a:ext>
                <a:ext uri="{FF2B5EF4-FFF2-40B4-BE49-F238E27FC236}">
                  <a16:creationId xmlns:a16="http://schemas.microsoft.com/office/drawing/2014/main" xmlns="" id="{00000000-0008-0000-1500-000013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6600" mc:Ignorable="a14" a14:legacySpreadsheetColorIndex="53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tr-T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1. Derece Deprem Böl.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27</xdr:row>
          <xdr:rowOff>114300</xdr:rowOff>
        </xdr:from>
        <xdr:to>
          <xdr:col>4</xdr:col>
          <xdr:colOff>466725</xdr:colOff>
          <xdr:row>29</xdr:row>
          <xdr:rowOff>38100</xdr:rowOff>
        </xdr:to>
        <xdr:sp macro="" textlink="">
          <xdr:nvSpPr>
            <xdr:cNvPr id="23572" name="Option Button 20" hidden="1">
              <a:extLst>
                <a:ext uri="{63B3BB69-23CF-44E3-9099-C40C66FF867C}">
                  <a14:compatExt spid="_x0000_s23572"/>
                </a:ext>
                <a:ext uri="{FF2B5EF4-FFF2-40B4-BE49-F238E27FC236}">
                  <a16:creationId xmlns:a16="http://schemas.microsoft.com/office/drawing/2014/main" xmlns="" id="{00000000-0008-0000-1500-000014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6600" mc:Ignorable="a14" a14:legacySpreadsheetColorIndex="53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tr-T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2. Derece Deprem Böl.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27</xdr:row>
          <xdr:rowOff>85725</xdr:rowOff>
        </xdr:from>
        <xdr:to>
          <xdr:col>7</xdr:col>
          <xdr:colOff>104775</xdr:colOff>
          <xdr:row>29</xdr:row>
          <xdr:rowOff>9525</xdr:rowOff>
        </xdr:to>
        <xdr:sp macro="" textlink="">
          <xdr:nvSpPr>
            <xdr:cNvPr id="23573" name="Option Button 21" hidden="1">
              <a:extLst>
                <a:ext uri="{63B3BB69-23CF-44E3-9099-C40C66FF867C}">
                  <a14:compatExt spid="_x0000_s23573"/>
                </a:ext>
                <a:ext uri="{FF2B5EF4-FFF2-40B4-BE49-F238E27FC236}">
                  <a16:creationId xmlns:a16="http://schemas.microsoft.com/office/drawing/2014/main" xmlns="" id="{00000000-0008-0000-1500-000015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6600" mc:Ignorable="a14" a14:legacySpreadsheetColorIndex="53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tr-T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3. Derece Deprem Böl.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76200</xdr:colOff>
          <xdr:row>27</xdr:row>
          <xdr:rowOff>85725</xdr:rowOff>
        </xdr:from>
        <xdr:to>
          <xdr:col>10</xdr:col>
          <xdr:colOff>123825</xdr:colOff>
          <xdr:row>29</xdr:row>
          <xdr:rowOff>9525</xdr:rowOff>
        </xdr:to>
        <xdr:sp macro="" textlink="">
          <xdr:nvSpPr>
            <xdr:cNvPr id="23574" name="Option Button 22" hidden="1">
              <a:extLst>
                <a:ext uri="{63B3BB69-23CF-44E3-9099-C40C66FF867C}">
                  <a14:compatExt spid="_x0000_s23574"/>
                </a:ext>
                <a:ext uri="{FF2B5EF4-FFF2-40B4-BE49-F238E27FC236}">
                  <a16:creationId xmlns:a16="http://schemas.microsoft.com/office/drawing/2014/main" xmlns="" id="{00000000-0008-0000-1500-000016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6600" mc:Ignorable="a14" a14:legacySpreadsheetColorIndex="53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tr-T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4. Derece Deprem Böl.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314325</xdr:colOff>
          <xdr:row>34</xdr:row>
          <xdr:rowOff>142875</xdr:rowOff>
        </xdr:from>
        <xdr:to>
          <xdr:col>1</xdr:col>
          <xdr:colOff>990600</xdr:colOff>
          <xdr:row>36</xdr:row>
          <xdr:rowOff>66675</xdr:rowOff>
        </xdr:to>
        <xdr:sp macro="" textlink="">
          <xdr:nvSpPr>
            <xdr:cNvPr id="23575" name="Drop Down 23" hidden="1">
              <a:extLst>
                <a:ext uri="{63B3BB69-23CF-44E3-9099-C40C66FF867C}">
                  <a14:compatExt spid="_x0000_s23575"/>
                </a:ext>
                <a:ext uri="{FF2B5EF4-FFF2-40B4-BE49-F238E27FC236}">
                  <a16:creationId xmlns:a16="http://schemas.microsoft.com/office/drawing/2014/main" xmlns="" id="{00000000-0008-0000-1500-000017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590550</xdr:colOff>
          <xdr:row>30</xdr:row>
          <xdr:rowOff>9525</xdr:rowOff>
        </xdr:from>
        <xdr:to>
          <xdr:col>6</xdr:col>
          <xdr:colOff>466725</xdr:colOff>
          <xdr:row>31</xdr:row>
          <xdr:rowOff>85725</xdr:rowOff>
        </xdr:to>
        <xdr:sp macro="" textlink="">
          <xdr:nvSpPr>
            <xdr:cNvPr id="23576" name="Drop Down 24" hidden="1">
              <a:extLst>
                <a:ext uri="{63B3BB69-23CF-44E3-9099-C40C66FF867C}">
                  <a14:compatExt spid="_x0000_s23576"/>
                </a:ext>
                <a:ext uri="{FF2B5EF4-FFF2-40B4-BE49-F238E27FC236}">
                  <a16:creationId xmlns:a16="http://schemas.microsoft.com/office/drawing/2014/main" xmlns="" id="{00000000-0008-0000-1500-000018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smail\static\STATIK@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&#246;k&#252;manlar/oyka-ayak2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x/Desktop/statik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/>
      <sheetData sheetId="1"/>
      <sheetData sheetId="2">
        <row r="27">
          <cell r="B27">
            <v>6.9</v>
          </cell>
          <cell r="H27">
            <v>8.7799999999999994</v>
          </cell>
          <cell r="U27">
            <v>4.01</v>
          </cell>
          <cell r="Z27">
            <v>1.22</v>
          </cell>
        </row>
        <row r="28">
          <cell r="B28">
            <v>8.1</v>
          </cell>
          <cell r="H28">
            <v>10.32</v>
          </cell>
          <cell r="U28">
            <v>4.07</v>
          </cell>
          <cell r="Z28">
            <v>1.24</v>
          </cell>
        </row>
        <row r="30">
          <cell r="B30">
            <v>8.6999999999999993</v>
          </cell>
          <cell r="H30">
            <v>11.03</v>
          </cell>
          <cell r="U30">
            <v>4.83</v>
          </cell>
          <cell r="Z30">
            <v>1.42</v>
          </cell>
        </row>
        <row r="31">
          <cell r="B31">
            <v>10.4</v>
          </cell>
          <cell r="H31">
            <v>13.21</v>
          </cell>
          <cell r="U31">
            <v>4.9000000000000004</v>
          </cell>
          <cell r="Z31">
            <v>1.45</v>
          </cell>
        </row>
        <row r="33">
          <cell r="B33">
            <v>10.5</v>
          </cell>
          <cell r="H33">
            <v>13.39</v>
          </cell>
          <cell r="U33">
            <v>5.7</v>
          </cell>
          <cell r="Z33">
            <v>1.65</v>
          </cell>
        </row>
        <row r="34">
          <cell r="B34">
            <v>12.9</v>
          </cell>
          <cell r="H34">
            <v>16.43</v>
          </cell>
          <cell r="U34">
            <v>5.74</v>
          </cell>
          <cell r="Z34">
            <v>1.65</v>
          </cell>
        </row>
        <row r="36">
          <cell r="B36">
            <v>12.7</v>
          </cell>
          <cell r="H36">
            <v>16.18</v>
          </cell>
          <cell r="U36">
            <v>6.53</v>
          </cell>
          <cell r="Z36">
            <v>1.83</v>
          </cell>
        </row>
        <row r="37">
          <cell r="B37">
            <v>15.8</v>
          </cell>
          <cell r="H37">
            <v>20.09</v>
          </cell>
          <cell r="U37">
            <v>6.58</v>
          </cell>
          <cell r="Z37">
            <v>1.84</v>
          </cell>
        </row>
        <row r="39">
          <cell r="B39">
            <v>15.4</v>
          </cell>
          <cell r="H39">
            <v>19.579999999999998</v>
          </cell>
          <cell r="U39">
            <v>7.37</v>
          </cell>
          <cell r="Z39">
            <v>2.0499999999999998</v>
          </cell>
        </row>
        <row r="40">
          <cell r="B40">
            <v>18.8</v>
          </cell>
          <cell r="H40">
            <v>23.95</v>
          </cell>
          <cell r="U40">
            <v>7.42</v>
          </cell>
          <cell r="Z40">
            <v>2.0499999999999998</v>
          </cell>
        </row>
        <row r="41">
          <cell r="B41">
            <v>21.3</v>
          </cell>
          <cell r="H41">
            <v>27.1</v>
          </cell>
          <cell r="U41">
            <v>7.45</v>
          </cell>
          <cell r="Z41">
            <v>2.08</v>
          </cell>
        </row>
        <row r="43">
          <cell r="B43">
            <v>18.399999999999999</v>
          </cell>
          <cell r="H43">
            <v>23.47</v>
          </cell>
          <cell r="U43">
            <v>8.23</v>
          </cell>
          <cell r="Z43">
            <v>2.23</v>
          </cell>
        </row>
        <row r="44">
          <cell r="B44">
            <v>22.4</v>
          </cell>
          <cell r="H44">
            <v>28.48</v>
          </cell>
          <cell r="U44">
            <v>8.26</v>
          </cell>
          <cell r="Z44">
            <v>2.2400000000000002</v>
          </cell>
        </row>
        <row r="45">
          <cell r="B45">
            <v>25.1</v>
          </cell>
          <cell r="H45">
            <v>31.96</v>
          </cell>
          <cell r="U45">
            <v>8.32</v>
          </cell>
          <cell r="Z45">
            <v>2.2999999999999998</v>
          </cell>
        </row>
        <row r="47">
          <cell r="B47">
            <v>22.2</v>
          </cell>
          <cell r="H47">
            <v>28.26</v>
          </cell>
          <cell r="U47">
            <v>9.0500000000000007</v>
          </cell>
          <cell r="Z47">
            <v>2.46</v>
          </cell>
        </row>
        <row r="48">
          <cell r="B48">
            <v>26.2</v>
          </cell>
          <cell r="H48">
            <v>33.369999999999997</v>
          </cell>
          <cell r="U48">
            <v>9.11</v>
          </cell>
          <cell r="Z48">
            <v>2.48</v>
          </cell>
        </row>
        <row r="49">
          <cell r="B49">
            <v>29.4</v>
          </cell>
          <cell r="H49">
            <v>37.39</v>
          </cell>
          <cell r="U49">
            <v>9.16</v>
          </cell>
          <cell r="Z49">
            <v>2.5299999999999998</v>
          </cell>
        </row>
        <row r="51">
          <cell r="B51">
            <v>26.2</v>
          </cell>
          <cell r="H51">
            <v>33.31</v>
          </cell>
          <cell r="U51">
            <v>9.94</v>
          </cell>
          <cell r="Z51">
            <v>2.68</v>
          </cell>
        </row>
        <row r="52">
          <cell r="B52">
            <v>30.7</v>
          </cell>
          <cell r="H52">
            <v>39.119999999999997</v>
          </cell>
          <cell r="U52">
            <v>9.9700000000000006</v>
          </cell>
          <cell r="Z52">
            <v>2.69</v>
          </cell>
        </row>
        <row r="53">
          <cell r="B53">
            <v>34.299999999999997</v>
          </cell>
          <cell r="H53">
            <v>43.71</v>
          </cell>
          <cell r="U53">
            <v>10</v>
          </cell>
          <cell r="Z53">
            <v>2.74</v>
          </cell>
        </row>
        <row r="55">
          <cell r="B55">
            <v>30.7</v>
          </cell>
          <cell r="H55">
            <v>39.15</v>
          </cell>
          <cell r="U55">
            <v>11.21</v>
          </cell>
          <cell r="Z55">
            <v>3.02</v>
          </cell>
        </row>
        <row r="56">
          <cell r="B56">
            <v>36.1</v>
          </cell>
          <cell r="H56">
            <v>45.95</v>
          </cell>
          <cell r="U56">
            <v>11.23</v>
          </cell>
          <cell r="Z56">
            <v>3.02</v>
          </cell>
        </row>
        <row r="57">
          <cell r="B57">
            <v>42.3</v>
          </cell>
          <cell r="H57">
            <v>53.84</v>
          </cell>
          <cell r="U57">
            <v>11.36</v>
          </cell>
          <cell r="Z57">
            <v>3.09</v>
          </cell>
        </row>
        <row r="59">
          <cell r="B59">
            <v>36.5</v>
          </cell>
          <cell r="H59">
            <v>46.53</v>
          </cell>
          <cell r="U59">
            <v>12.42</v>
          </cell>
          <cell r="Z59">
            <v>3.34</v>
          </cell>
        </row>
        <row r="60">
          <cell r="B60">
            <v>42.2</v>
          </cell>
          <cell r="H60">
            <v>53.81</v>
          </cell>
          <cell r="U60">
            <v>12.46</v>
          </cell>
          <cell r="Z60">
            <v>3.35</v>
          </cell>
        </row>
        <row r="61">
          <cell r="B61">
            <v>49.3</v>
          </cell>
          <cell r="H61">
            <v>62.83</v>
          </cell>
          <cell r="U61">
            <v>12.61</v>
          </cell>
          <cell r="Z61">
            <v>3.45</v>
          </cell>
        </row>
        <row r="63">
          <cell r="B63">
            <v>43</v>
          </cell>
          <cell r="H63">
            <v>54.74</v>
          </cell>
          <cell r="U63">
            <v>13.67</v>
          </cell>
          <cell r="Z63">
            <v>3.54</v>
          </cell>
        </row>
        <row r="64">
          <cell r="B64">
            <v>49.1</v>
          </cell>
          <cell r="H64">
            <v>62.61</v>
          </cell>
          <cell r="U64">
            <v>13.71</v>
          </cell>
          <cell r="Z64">
            <v>3.55</v>
          </cell>
        </row>
        <row r="65">
          <cell r="B65">
            <v>57</v>
          </cell>
          <cell r="H65">
            <v>72.62</v>
          </cell>
          <cell r="U65">
            <v>13.84</v>
          </cell>
          <cell r="Z65">
            <v>3.64</v>
          </cell>
        </row>
        <row r="67">
          <cell r="B67">
            <v>50.2</v>
          </cell>
          <cell r="H67">
            <v>63.96</v>
          </cell>
          <cell r="U67">
            <v>15.06</v>
          </cell>
          <cell r="Z67">
            <v>3.84</v>
          </cell>
        </row>
        <row r="68">
          <cell r="B68">
            <v>57.1</v>
          </cell>
          <cell r="H68">
            <v>72.73</v>
          </cell>
          <cell r="U68">
            <v>14.95</v>
          </cell>
          <cell r="Z68">
            <v>3.79</v>
          </cell>
        </row>
        <row r="69">
          <cell r="B69">
            <v>66</v>
          </cell>
          <cell r="H69">
            <v>84.13</v>
          </cell>
          <cell r="U69">
            <v>15.05</v>
          </cell>
          <cell r="Z69">
            <v>3.86</v>
          </cell>
        </row>
        <row r="71">
          <cell r="B71">
            <v>57.4</v>
          </cell>
          <cell r="H71">
            <v>73.099999999999994</v>
          </cell>
          <cell r="U71">
            <v>16.66</v>
          </cell>
          <cell r="Z71">
            <v>4</v>
          </cell>
        </row>
        <row r="72">
          <cell r="B72">
            <v>66.3</v>
          </cell>
          <cell r="H72">
            <v>84.46</v>
          </cell>
          <cell r="U72">
            <v>16.55</v>
          </cell>
          <cell r="Z72">
            <v>3.95</v>
          </cell>
        </row>
        <row r="73">
          <cell r="B73">
            <v>75.7</v>
          </cell>
          <cell r="H73">
            <v>96.39</v>
          </cell>
          <cell r="U73">
            <v>16.66</v>
          </cell>
          <cell r="Z73">
            <v>4.03</v>
          </cell>
        </row>
        <row r="75">
          <cell r="B75">
            <v>67.2</v>
          </cell>
          <cell r="H75">
            <v>85.55</v>
          </cell>
          <cell r="U75">
            <v>18.649999999999999</v>
          </cell>
          <cell r="Z75">
            <v>4.1900000000000004</v>
          </cell>
        </row>
        <row r="76">
          <cell r="B76">
            <v>77.599999999999994</v>
          </cell>
          <cell r="H76">
            <v>98.82</v>
          </cell>
          <cell r="U76">
            <v>18.48</v>
          </cell>
          <cell r="Z76">
            <v>4.12</v>
          </cell>
        </row>
        <row r="77">
          <cell r="B77">
            <v>92.4</v>
          </cell>
          <cell r="H77">
            <v>117.7</v>
          </cell>
          <cell r="U77">
            <v>18.649999999999999</v>
          </cell>
          <cell r="Z77">
            <v>4.21</v>
          </cell>
        </row>
        <row r="79">
          <cell r="B79">
            <v>79.400000000000006</v>
          </cell>
          <cell r="H79">
            <v>101.1</v>
          </cell>
          <cell r="U79">
            <v>20.61</v>
          </cell>
          <cell r="Z79">
            <v>4.38</v>
          </cell>
        </row>
        <row r="80">
          <cell r="B80">
            <v>90.7</v>
          </cell>
          <cell r="H80">
            <v>115.5</v>
          </cell>
          <cell r="U80">
            <v>20.43</v>
          </cell>
          <cell r="Z80">
            <v>4.3099999999999996</v>
          </cell>
        </row>
        <row r="81">
          <cell r="B81">
            <v>107</v>
          </cell>
          <cell r="H81">
            <v>136.69999999999999</v>
          </cell>
          <cell r="U81">
            <v>20.56</v>
          </cell>
          <cell r="Z81">
            <v>4.38</v>
          </cell>
        </row>
        <row r="83">
          <cell r="B83">
            <v>92.1</v>
          </cell>
          <cell r="H83">
            <v>117.3</v>
          </cell>
          <cell r="U83">
            <v>22.61</v>
          </cell>
          <cell r="Z83">
            <v>4.55</v>
          </cell>
        </row>
        <row r="84">
          <cell r="B84">
            <v>106</v>
          </cell>
          <cell r="H84">
            <v>134.4</v>
          </cell>
          <cell r="U84">
            <v>22.35</v>
          </cell>
          <cell r="Z84">
            <v>4.45</v>
          </cell>
        </row>
        <row r="85">
          <cell r="B85">
            <v>123</v>
          </cell>
          <cell r="H85">
            <v>156.1</v>
          </cell>
          <cell r="U85">
            <v>22.52</v>
          </cell>
          <cell r="Z85">
            <v>4.55</v>
          </cell>
        </row>
        <row r="87">
          <cell r="B87">
            <v>108</v>
          </cell>
          <cell r="H87">
            <v>137</v>
          </cell>
          <cell r="U87">
            <v>24.6</v>
          </cell>
          <cell r="Z87">
            <v>4.7699999999999996</v>
          </cell>
        </row>
        <row r="88">
          <cell r="B88">
            <v>122</v>
          </cell>
          <cell r="H88">
            <v>156</v>
          </cell>
          <cell r="U88">
            <v>24.3</v>
          </cell>
          <cell r="Z88">
            <v>4.66</v>
          </cell>
        </row>
        <row r="89">
          <cell r="B89">
            <v>154</v>
          </cell>
          <cell r="H89">
            <v>196.8</v>
          </cell>
          <cell r="U89">
            <v>24.52</v>
          </cell>
          <cell r="Z89">
            <v>4.79</v>
          </cell>
        </row>
        <row r="91">
          <cell r="B91">
            <v>147</v>
          </cell>
          <cell r="H91">
            <v>187.5</v>
          </cell>
          <cell r="U91">
            <v>29.76</v>
          </cell>
          <cell r="Z91">
            <v>5.31</v>
          </cell>
        </row>
        <row r="92">
          <cell r="B92">
            <v>173</v>
          </cell>
          <cell r="H92">
            <v>221.3</v>
          </cell>
          <cell r="U92">
            <v>30.49</v>
          </cell>
          <cell r="Z92">
            <v>5.57</v>
          </cell>
        </row>
        <row r="93">
          <cell r="B93">
            <v>196</v>
          </cell>
          <cell r="H93">
            <v>250.8</v>
          </cell>
          <cell r="U93">
            <v>30.95</v>
          </cell>
          <cell r="Z93">
            <v>5.71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/>
      <sheetData sheetId="1"/>
      <sheetData sheetId="2">
        <row r="6">
          <cell r="A6" t="str">
            <v>IPN 120</v>
          </cell>
        </row>
        <row r="7">
          <cell r="A7" t="str">
            <v>IPN 140</v>
          </cell>
        </row>
        <row r="8">
          <cell r="A8" t="str">
            <v>IPN 160</v>
          </cell>
        </row>
        <row r="9">
          <cell r="A9" t="str">
            <v>IPN 180</v>
          </cell>
        </row>
        <row r="10">
          <cell r="A10" t="str">
            <v>IPN 200</v>
          </cell>
        </row>
        <row r="11">
          <cell r="A11" t="str">
            <v>IPN 220</v>
          </cell>
        </row>
        <row r="12">
          <cell r="A12" t="str">
            <v>IPN 240</v>
          </cell>
        </row>
        <row r="13">
          <cell r="A13" t="str">
            <v>IPN 260</v>
          </cell>
        </row>
        <row r="14">
          <cell r="A14" t="str">
            <v>IPN 280</v>
          </cell>
        </row>
        <row r="15">
          <cell r="A15" t="str">
            <v>IPN 300</v>
          </cell>
        </row>
        <row r="16">
          <cell r="A16" t="str">
            <v>IPN 320</v>
          </cell>
        </row>
        <row r="17">
          <cell r="A17" t="str">
            <v>IPN 340</v>
          </cell>
        </row>
        <row r="18">
          <cell r="A18" t="str">
            <v>IPN 360</v>
          </cell>
        </row>
        <row r="19">
          <cell r="A19" t="str">
            <v>IPN 380</v>
          </cell>
        </row>
        <row r="20">
          <cell r="A20" t="str">
            <v>IPN 400</v>
          </cell>
        </row>
        <row r="21">
          <cell r="A21" t="str">
            <v>IPN 450</v>
          </cell>
        </row>
        <row r="22">
          <cell r="A22" t="str">
            <v>IPN 500</v>
          </cell>
        </row>
        <row r="23">
          <cell r="A23" t="str">
            <v>IPN 550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0000"/>
      <sheetName val="YAPMA I VE KUTU"/>
      <sheetName val="BÜKME-U-C-L"/>
      <sheetName val="simple support beam"/>
      <sheetName val="omega-buckling"/>
      <sheetName val="ANKASTRE"/>
      <sheetName val="multi span"/>
      <sheetName val="wind forces"/>
      <sheetName val="basit+ankastre"/>
      <sheetName val="Pipe"/>
      <sheetName val="KONSOL"/>
      <sheetName val="PI KIRIS"/>
      <sheetName val="BORU+TE"/>
      <sheetName val="TRİGO"/>
      <sheetName val="makas"/>
      <sheetName val="Bolt Calculation"/>
      <sheetName val="Bolts Resistances"/>
      <sheetName val="bolt weights"/>
      <sheetName val="Sayfa14"/>
      <sheetName val="Sayfa15"/>
      <sheetName val="Sayfa16"/>
    </sheetNames>
    <sheetDataSet>
      <sheetData sheetId="0" refreshError="1"/>
      <sheetData sheetId="1" refreshError="1"/>
      <sheetData sheetId="2" refreshError="1"/>
      <sheetData sheetId="3" refreshError="1">
        <row r="17">
          <cell r="L17">
            <v>128000</v>
          </cell>
        </row>
        <row r="20">
          <cell r="K20">
            <v>2.2000000000000002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0.bin"/><Relationship Id="rId4" Type="http://schemas.openxmlformats.org/officeDocument/2006/relationships/ctrlProp" Target="../ctrlProps/ctrlProp21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Relationship Id="rId5" Type="http://schemas.openxmlformats.org/officeDocument/2006/relationships/ctrlProp" Target="../ctrlProps/ctrlProp23.xml"/><Relationship Id="rId4" Type="http://schemas.openxmlformats.org/officeDocument/2006/relationships/ctrlProp" Target="../ctrlProps/ctrlProp2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5.bin"/><Relationship Id="rId6" Type="http://schemas.openxmlformats.org/officeDocument/2006/relationships/ctrlProp" Target="../ctrlProps/ctrlProp26.xml"/><Relationship Id="rId5" Type="http://schemas.openxmlformats.org/officeDocument/2006/relationships/ctrlProp" Target="../ctrlProps/ctrlProp25.xml"/><Relationship Id="rId4" Type="http://schemas.openxmlformats.org/officeDocument/2006/relationships/ctrlProp" Target="../ctrlProps/ctrlProp24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1.xml"/><Relationship Id="rId3" Type="http://schemas.openxmlformats.org/officeDocument/2006/relationships/vmlDrawing" Target="../drawings/vmlDrawing8.vml"/><Relationship Id="rId7" Type="http://schemas.openxmlformats.org/officeDocument/2006/relationships/ctrlProp" Target="../ctrlProps/ctrlProp30.x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7.bin"/><Relationship Id="rId6" Type="http://schemas.openxmlformats.org/officeDocument/2006/relationships/ctrlProp" Target="../ctrlProps/ctrlProp29.xml"/><Relationship Id="rId5" Type="http://schemas.openxmlformats.org/officeDocument/2006/relationships/ctrlProp" Target="../ctrlProps/ctrlProp28.xml"/><Relationship Id="rId4" Type="http://schemas.openxmlformats.org/officeDocument/2006/relationships/ctrlProp" Target="../ctrlProps/ctrlProp27.xml"/><Relationship Id="rId9" Type="http://schemas.openxmlformats.org/officeDocument/2006/relationships/ctrlProp" Target="../ctrlProps/ctrlProp32.x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8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9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20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21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22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6.bin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7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0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9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Relationship Id="rId6" Type="http://schemas.openxmlformats.org/officeDocument/2006/relationships/ctrlProp" Target="../ctrlProps/ctrlProp8.xml"/><Relationship Id="rId5" Type="http://schemas.openxmlformats.org/officeDocument/2006/relationships/ctrlProp" Target="../ctrlProps/ctrlProp7.xml"/><Relationship Id="rId4" Type="http://schemas.openxmlformats.org/officeDocument/2006/relationships/ctrlProp" Target="../ctrlProps/ctrlProp6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5.xml"/><Relationship Id="rId3" Type="http://schemas.openxmlformats.org/officeDocument/2006/relationships/vmlDrawing" Target="../drawings/vmlDrawing3.vml"/><Relationship Id="rId7" Type="http://schemas.openxmlformats.org/officeDocument/2006/relationships/ctrlProp" Target="../ctrlProps/ctrlProp14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Relationship Id="rId6" Type="http://schemas.openxmlformats.org/officeDocument/2006/relationships/ctrlProp" Target="../ctrlProps/ctrlProp13.xml"/><Relationship Id="rId5" Type="http://schemas.openxmlformats.org/officeDocument/2006/relationships/ctrlProp" Target="../ctrlProps/ctrlProp12.xml"/><Relationship Id="rId4" Type="http://schemas.openxmlformats.org/officeDocument/2006/relationships/ctrlProp" Target="../ctrlProps/ctrlProp11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0.xml"/><Relationship Id="rId3" Type="http://schemas.openxmlformats.org/officeDocument/2006/relationships/vmlDrawing" Target="../drawings/vmlDrawing4.vml"/><Relationship Id="rId7" Type="http://schemas.openxmlformats.org/officeDocument/2006/relationships/ctrlProp" Target="../ctrlProps/ctrlProp19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Relationship Id="rId6" Type="http://schemas.openxmlformats.org/officeDocument/2006/relationships/ctrlProp" Target="../ctrlProps/ctrlProp18.xml"/><Relationship Id="rId5" Type="http://schemas.openxmlformats.org/officeDocument/2006/relationships/ctrlProp" Target="../ctrlProps/ctrlProp17.xml"/><Relationship Id="rId4" Type="http://schemas.openxmlformats.org/officeDocument/2006/relationships/ctrlProp" Target="../ctrlProps/ctrlProp1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W74"/>
  <sheetViews>
    <sheetView zoomScaleNormal="100" workbookViewId="0">
      <selection activeCell="A62" sqref="A62"/>
    </sheetView>
  </sheetViews>
  <sheetFormatPr defaultColWidth="9.140625" defaultRowHeight="12.75"/>
  <cols>
    <col min="1" max="1" width="7.5703125" style="830" customWidth="1"/>
    <col min="2" max="4" width="6" style="830" customWidth="1"/>
    <col min="5" max="5" width="7.7109375" style="830" customWidth="1"/>
    <col min="6" max="6" width="9.5703125" style="830" customWidth="1"/>
    <col min="7" max="7" width="9" style="830" customWidth="1"/>
    <col min="8" max="8" width="11.140625" style="830" bestFit="1" customWidth="1"/>
    <col min="9" max="9" width="9.42578125" style="830" customWidth="1"/>
    <col min="10" max="10" width="9.5703125" style="830" customWidth="1"/>
    <col min="11" max="11" width="10.28515625" style="830" customWidth="1"/>
    <col min="12" max="12" width="9.85546875" style="830" customWidth="1"/>
    <col min="13" max="13" width="8.42578125" style="830" customWidth="1"/>
    <col min="14" max="14" width="6.7109375" style="830" customWidth="1"/>
    <col min="15" max="16" width="12" style="830" bestFit="1" customWidth="1"/>
    <col min="17" max="17" width="8.7109375" style="830" customWidth="1"/>
    <col min="18" max="18" width="6.85546875" style="830" customWidth="1"/>
    <col min="19" max="16384" width="9.140625" style="830"/>
  </cols>
  <sheetData>
    <row r="1" spans="1:23">
      <c r="A1" s="1728" t="s">
        <v>131</v>
      </c>
      <c r="B1" s="1728"/>
      <c r="C1" s="1728"/>
      <c r="D1" s="1728"/>
      <c r="E1" s="1728"/>
      <c r="F1" s="1728"/>
      <c r="G1" s="1728"/>
      <c r="H1" s="1728"/>
      <c r="I1" s="1728"/>
      <c r="J1" s="1728"/>
      <c r="K1" s="1728"/>
      <c r="L1" s="1728"/>
      <c r="M1" s="1728"/>
      <c r="N1" s="1728"/>
      <c r="Q1" s="859" t="s">
        <v>1507</v>
      </c>
      <c r="R1" s="859" t="s">
        <v>1746</v>
      </c>
      <c r="S1" s="859" t="s">
        <v>94</v>
      </c>
      <c r="T1" s="859" t="s">
        <v>2527</v>
      </c>
      <c r="U1" s="859" t="s">
        <v>2528</v>
      </c>
      <c r="V1" s="830" t="s">
        <v>2529</v>
      </c>
    </row>
    <row r="2" spans="1:23" s="835" customFormat="1">
      <c r="A2" s="831" t="s">
        <v>132</v>
      </c>
      <c r="B2" s="832"/>
      <c r="C2" s="832"/>
      <c r="D2" s="832"/>
      <c r="E2" s="833" t="s">
        <v>578</v>
      </c>
      <c r="F2" s="833" t="s">
        <v>572</v>
      </c>
      <c r="G2" s="833" t="s">
        <v>133</v>
      </c>
      <c r="H2" s="833" t="s">
        <v>134</v>
      </c>
      <c r="I2" s="833" t="s">
        <v>56</v>
      </c>
      <c r="J2" s="833" t="s">
        <v>1952</v>
      </c>
      <c r="K2" s="833" t="s">
        <v>105</v>
      </c>
      <c r="L2" s="833" t="s">
        <v>106</v>
      </c>
      <c r="M2" s="833" t="s">
        <v>0</v>
      </c>
      <c r="N2" s="834" t="s">
        <v>107</v>
      </c>
      <c r="Q2" s="835">
        <v>8</v>
      </c>
      <c r="R2" s="835">
        <v>250</v>
      </c>
      <c r="S2" s="835">
        <v>600</v>
      </c>
      <c r="T2" s="835">
        <f>7.85*Q2*R2*S2/1000000</f>
        <v>9.42</v>
      </c>
      <c r="U2" s="1718">
        <v>685</v>
      </c>
      <c r="V2" s="835">
        <f>U2*T2/1000</f>
        <v>6.4527000000000001</v>
      </c>
    </row>
    <row r="3" spans="1:23" s="835" customFormat="1">
      <c r="A3" s="836" t="s">
        <v>570</v>
      </c>
      <c r="B3" s="837" t="s">
        <v>1746</v>
      </c>
      <c r="C3" s="837" t="s">
        <v>108</v>
      </c>
      <c r="D3" s="837" t="s">
        <v>109</v>
      </c>
      <c r="E3" s="838" t="s">
        <v>110</v>
      </c>
      <c r="F3" s="838" t="s">
        <v>599</v>
      </c>
      <c r="G3" s="838" t="s">
        <v>607</v>
      </c>
      <c r="H3" s="838" t="s">
        <v>607</v>
      </c>
      <c r="I3" s="838" t="s">
        <v>111</v>
      </c>
      <c r="J3" s="838" t="s">
        <v>72</v>
      </c>
      <c r="K3" s="838" t="s">
        <v>607</v>
      </c>
      <c r="L3" s="838" t="s">
        <v>111</v>
      </c>
      <c r="M3" s="838" t="s">
        <v>72</v>
      </c>
      <c r="N3" s="839" t="s">
        <v>607</v>
      </c>
      <c r="Q3" s="835">
        <v>10</v>
      </c>
      <c r="R3" s="835">
        <v>800</v>
      </c>
      <c r="S3" s="835">
        <v>750</v>
      </c>
      <c r="T3" s="835">
        <f t="shared" ref="T3:T10" si="0">7.85*Q3*R3*S3/1000000</f>
        <v>47.1</v>
      </c>
      <c r="W3" s="840"/>
    </row>
    <row r="4" spans="1:23">
      <c r="A4" s="841">
        <v>180</v>
      </c>
      <c r="B4" s="841">
        <v>60</v>
      </c>
      <c r="C4" s="841">
        <v>20</v>
      </c>
      <c r="D4" s="841">
        <v>20</v>
      </c>
      <c r="E4" s="846">
        <f>(B4*D4+(A4-D4)*C4)/100</f>
        <v>44</v>
      </c>
      <c r="F4" s="846">
        <f>E4*0.785</f>
        <v>34.54</v>
      </c>
      <c r="G4" s="846">
        <f>(C4*(A4-D4)*(A4-D4)/2+B4*D4*(A4-D4/2))/(1000*E4)</f>
        <v>10.454545454545455</v>
      </c>
      <c r="H4" s="846">
        <f>A4/10-G4</f>
        <v>7.545454545454545</v>
      </c>
      <c r="I4" s="844">
        <f>(B4*D4*D4*D4/12+B4*D4*(H4-D4/2)+C4*(A4-D4)*(A4-D4)*(A4-D4)/12+C4*(A4-D4)*(G4-(A4-D4)/2)*(G4-(A4-D4)/2))/10000</f>
        <v>2234.0746005509645</v>
      </c>
      <c r="J4" s="842">
        <f>I4/G4</f>
        <v>213.69409222661398</v>
      </c>
      <c r="K4" s="842">
        <f>SQRT(I4/E4)</f>
        <v>7.1256173585026756</v>
      </c>
      <c r="L4" s="842">
        <f>D4*B4*B4*B4/120000+(A4-D4)*C4*C4*C4/120000</f>
        <v>46.666666666666664</v>
      </c>
      <c r="M4" s="842">
        <f>2*10*L4/B4</f>
        <v>15.555555555555554</v>
      </c>
      <c r="N4" s="842">
        <f>SQRT(L4/E4)</f>
        <v>1.0298573010888745</v>
      </c>
      <c r="T4" s="835">
        <f t="shared" si="0"/>
        <v>0</v>
      </c>
      <c r="W4" s="840"/>
    </row>
    <row r="5" spans="1:23" ht="14.25" customHeight="1">
      <c r="A5" s="841">
        <v>300</v>
      </c>
      <c r="B5" s="841">
        <v>80</v>
      </c>
      <c r="C5" s="841">
        <v>20</v>
      </c>
      <c r="D5" s="841">
        <v>20</v>
      </c>
      <c r="E5" s="846">
        <f>(B5*D5+(A5-D5)*C5)/100</f>
        <v>72</v>
      </c>
      <c r="F5" s="846">
        <f>E5*0.785</f>
        <v>56.52</v>
      </c>
      <c r="G5" s="846">
        <f>(C5*(A5-D5)*(A5-D5)/2+B5*D5*(A5-D5/2))/(1000*E5)</f>
        <v>17.333333333333332</v>
      </c>
      <c r="H5" s="846">
        <f>A5/10-G5</f>
        <v>12.666666666666668</v>
      </c>
      <c r="I5" s="844">
        <f>(B5*D5*D5*D5/12+B5*D5*(H5-D5/2)+C5*(A5-D5)*(A5-D5)*(A5-D5)/12+C5*(A5-D5)*(G5-(A5-D5)/2)*(G5-(A5-D5)/2))/10000</f>
        <v>12090.808888888889</v>
      </c>
      <c r="J5" s="842">
        <f>I5/G5</f>
        <v>697.54666666666674</v>
      </c>
      <c r="K5" s="842">
        <f>SQRT(I5/E5)</f>
        <v>12.958699828091085</v>
      </c>
      <c r="L5" s="842">
        <f>D5*B5*B5*B5/120000+(A5-D5)*C5*C5*C5/120000</f>
        <v>104</v>
      </c>
      <c r="M5" s="842">
        <f>2*10*L5/B5</f>
        <v>26</v>
      </c>
      <c r="N5" s="842">
        <f>SQRT(L5/E5)</f>
        <v>1.2018504251546631</v>
      </c>
      <c r="S5" s="830">
        <v>4500</v>
      </c>
      <c r="T5" s="835">
        <f t="shared" si="0"/>
        <v>0</v>
      </c>
      <c r="U5" s="830" t="e">
        <f>S5/T5</f>
        <v>#DIV/0!</v>
      </c>
      <c r="W5" s="840"/>
    </row>
    <row r="6" spans="1:23">
      <c r="T6" s="835">
        <f t="shared" si="0"/>
        <v>0</v>
      </c>
      <c r="W6" s="840"/>
    </row>
    <row r="7" spans="1:23" s="835" customFormat="1">
      <c r="A7" s="1728" t="s">
        <v>135</v>
      </c>
      <c r="B7" s="1728"/>
      <c r="C7" s="1728"/>
      <c r="D7" s="1728"/>
      <c r="E7" s="1728"/>
      <c r="F7" s="1728"/>
      <c r="G7" s="1728"/>
      <c r="H7" s="1728"/>
      <c r="I7" s="1728"/>
      <c r="J7" s="1728"/>
      <c r="K7" s="1728"/>
      <c r="L7" s="1728"/>
      <c r="M7" s="1728"/>
      <c r="N7" s="830"/>
      <c r="T7" s="835">
        <f t="shared" si="0"/>
        <v>0</v>
      </c>
    </row>
    <row r="8" spans="1:23" s="835" customFormat="1">
      <c r="A8" s="831" t="s">
        <v>132</v>
      </c>
      <c r="B8" s="832"/>
      <c r="C8" s="832"/>
      <c r="D8" s="832"/>
      <c r="E8" s="833" t="s">
        <v>578</v>
      </c>
      <c r="F8" s="845" t="s">
        <v>136</v>
      </c>
      <c r="G8" s="833" t="s">
        <v>572</v>
      </c>
      <c r="H8" s="833" t="s">
        <v>56</v>
      </c>
      <c r="I8" s="833" t="s">
        <v>1952</v>
      </c>
      <c r="J8" s="833" t="s">
        <v>105</v>
      </c>
      <c r="K8" s="833" t="s">
        <v>106</v>
      </c>
      <c r="L8" s="833" t="s">
        <v>0</v>
      </c>
      <c r="M8" s="834" t="s">
        <v>107</v>
      </c>
      <c r="N8" s="864" t="s">
        <v>2525</v>
      </c>
      <c r="O8" s="864" t="s">
        <v>578</v>
      </c>
      <c r="P8" s="835" t="s">
        <v>282</v>
      </c>
      <c r="Q8" s="864" t="s">
        <v>441</v>
      </c>
      <c r="R8" s="1696" t="s">
        <v>284</v>
      </c>
      <c r="S8" s="864" t="s">
        <v>285</v>
      </c>
      <c r="T8" s="835" t="e">
        <f t="shared" si="0"/>
        <v>#VALUE!</v>
      </c>
    </row>
    <row r="9" spans="1:23">
      <c r="A9" s="836" t="s">
        <v>570</v>
      </c>
      <c r="B9" s="837" t="s">
        <v>1746</v>
      </c>
      <c r="C9" s="837" t="s">
        <v>108</v>
      </c>
      <c r="D9" s="837" t="s">
        <v>109</v>
      </c>
      <c r="E9" s="838" t="s">
        <v>110</v>
      </c>
      <c r="F9" s="838" t="s">
        <v>137</v>
      </c>
      <c r="G9" s="838" t="s">
        <v>599</v>
      </c>
      <c r="H9" s="838" t="s">
        <v>111</v>
      </c>
      <c r="I9" s="838" t="s">
        <v>72</v>
      </c>
      <c r="J9" s="838" t="s">
        <v>607</v>
      </c>
      <c r="K9" s="838" t="s">
        <v>111</v>
      </c>
      <c r="L9" s="838" t="s">
        <v>72</v>
      </c>
      <c r="M9" s="839" t="s">
        <v>607</v>
      </c>
      <c r="N9" s="864" t="s">
        <v>120</v>
      </c>
      <c r="O9" s="859" t="s">
        <v>461</v>
      </c>
      <c r="P9" s="830" t="s">
        <v>2526</v>
      </c>
      <c r="Q9" s="859" t="s">
        <v>607</v>
      </c>
      <c r="T9" s="835" t="e">
        <f t="shared" si="0"/>
        <v>#VALUE!</v>
      </c>
    </row>
    <row r="10" spans="1:23">
      <c r="A10" s="847">
        <v>500</v>
      </c>
      <c r="B10" s="847">
        <v>250</v>
      </c>
      <c r="C10" s="841">
        <v>10</v>
      </c>
      <c r="D10" s="841">
        <v>12</v>
      </c>
      <c r="E10" s="842">
        <f>(B10*A10-(B10-C10)*(A10-2*D10))/100</f>
        <v>107.6</v>
      </c>
      <c r="F10" s="842">
        <v>7.85</v>
      </c>
      <c r="G10" s="846">
        <f t="shared" ref="G10:G16" si="1">E10*0.785</f>
        <v>84.465999999999994</v>
      </c>
      <c r="H10" s="1717">
        <f t="shared" ref="H10:H16" si="2">(B10*A10*A10*A10-(B10-C10)*(A10-2*D10)*(A10-2*D10)*(A10-2*D10))/12/10000</f>
        <v>44716.314666666665</v>
      </c>
      <c r="I10" s="1717">
        <f t="shared" ref="I10:I17" si="3">2*10*H10/A10</f>
        <v>1788.6525866666666</v>
      </c>
      <c r="J10" s="842">
        <f t="shared" ref="J10:J16" si="4">SQRT(H10/E10)</f>
        <v>20.385758082294583</v>
      </c>
      <c r="K10" s="844">
        <f t="shared" ref="K10:K16" si="5">(2*B10*B10*B10*D10+(A10-2*D10)*C10*C10*C10)/120000</f>
        <v>3128.9666666666667</v>
      </c>
      <c r="L10" s="844">
        <f t="shared" ref="L10:L16" si="6">2*10*K10/B10</f>
        <v>250.31733333333335</v>
      </c>
      <c r="M10" s="842">
        <f t="shared" ref="M10:M16" si="7">SQRT(K10/E10)</f>
        <v>5.3925518876701011</v>
      </c>
      <c r="N10" s="830">
        <f>(4*B10+2*A10)/1000</f>
        <v>2</v>
      </c>
      <c r="O10" s="1695">
        <f>E10/10000</f>
        <v>1.0759999999999999E-2</v>
      </c>
      <c r="P10" s="869">
        <f>N10/O10</f>
        <v>185.87360594795541</v>
      </c>
      <c r="Q10" s="830">
        <v>3500</v>
      </c>
      <c r="R10" s="865">
        <f>Q10/M10</f>
        <v>649.04336071436592</v>
      </c>
      <c r="S10" s="865">
        <f>Q10/J10</f>
        <v>171.68848888871179</v>
      </c>
      <c r="T10" s="835">
        <f t="shared" si="0"/>
        <v>3061.6291983226579</v>
      </c>
    </row>
    <row r="11" spans="1:23">
      <c r="A11" s="847">
        <v>410</v>
      </c>
      <c r="B11" s="847">
        <v>395</v>
      </c>
      <c r="C11" s="841">
        <v>30</v>
      </c>
      <c r="D11" s="841">
        <v>45</v>
      </c>
      <c r="E11" s="842">
        <f t="shared" ref="E11:E16" si="8">(B11*A11-(B11-C11)*(A11-2*D11))/100</f>
        <v>451.5</v>
      </c>
      <c r="F11" s="842">
        <v>7.85</v>
      </c>
      <c r="G11" s="846">
        <f t="shared" si="1"/>
        <v>354.42750000000001</v>
      </c>
      <c r="H11" s="847">
        <f t="shared" si="2"/>
        <v>127195.625</v>
      </c>
      <c r="I11" s="861">
        <f t="shared" si="3"/>
        <v>6204.6646341463411</v>
      </c>
      <c r="J11" s="849">
        <f t="shared" si="4"/>
        <v>16.784453664875421</v>
      </c>
      <c r="K11" s="1381">
        <f t="shared" si="5"/>
        <v>46294.40625</v>
      </c>
      <c r="L11" s="1381">
        <f t="shared" si="6"/>
        <v>2344.0205696202534</v>
      </c>
      <c r="M11" s="850">
        <f t="shared" si="7"/>
        <v>10.125940750356691</v>
      </c>
    </row>
    <row r="12" spans="1:23">
      <c r="A12" s="847">
        <v>482</v>
      </c>
      <c r="B12" s="847">
        <v>309</v>
      </c>
      <c r="C12" s="848">
        <v>25.5</v>
      </c>
      <c r="D12" s="848">
        <v>46</v>
      </c>
      <c r="E12" s="842">
        <f t="shared" si="8"/>
        <v>383.73</v>
      </c>
      <c r="F12" s="842">
        <v>7.85</v>
      </c>
      <c r="G12" s="846">
        <f t="shared" si="1"/>
        <v>301.22805000000005</v>
      </c>
      <c r="H12" s="847">
        <f t="shared" si="2"/>
        <v>148207.79509999999</v>
      </c>
      <c r="I12" s="861">
        <f t="shared" si="3"/>
        <v>6149.7010414937758</v>
      </c>
      <c r="J12" s="849">
        <f t="shared" si="4"/>
        <v>19.652719080662614</v>
      </c>
      <c r="K12" s="1381">
        <f t="shared" si="5"/>
        <v>22673.338368749999</v>
      </c>
      <c r="L12" s="1381">
        <f t="shared" si="6"/>
        <v>1467.5299915048543</v>
      </c>
      <c r="M12" s="850">
        <f t="shared" si="7"/>
        <v>7.6867871920599899</v>
      </c>
      <c r="O12" s="843"/>
      <c r="P12" s="843"/>
      <c r="Q12" s="843"/>
    </row>
    <row r="13" spans="1:23">
      <c r="A13" s="847">
        <v>360</v>
      </c>
      <c r="B13" s="847">
        <v>170</v>
      </c>
      <c r="C13" s="848">
        <v>8</v>
      </c>
      <c r="D13" s="848">
        <v>12.7</v>
      </c>
      <c r="E13" s="842">
        <f t="shared" si="8"/>
        <v>69.947999999999951</v>
      </c>
      <c r="F13" s="842">
        <v>7.85</v>
      </c>
      <c r="G13" s="846">
        <f t="shared" si="1"/>
        <v>54.909179999999964</v>
      </c>
      <c r="H13" s="847">
        <f t="shared" si="2"/>
        <v>15523.83125639999</v>
      </c>
      <c r="I13" s="861">
        <f t="shared" si="3"/>
        <v>862.4350697999995</v>
      </c>
      <c r="J13" s="849">
        <f t="shared" si="4"/>
        <v>14.897445523273053</v>
      </c>
      <c r="K13" s="1381">
        <f t="shared" si="5"/>
        <v>1041.3459600000001</v>
      </c>
      <c r="L13" s="1381">
        <f t="shared" si="6"/>
        <v>122.51128941176474</v>
      </c>
      <c r="M13" s="850">
        <f t="shared" si="7"/>
        <v>3.8584232648744874</v>
      </c>
      <c r="O13" s="843"/>
      <c r="P13" s="843"/>
      <c r="Q13" s="843"/>
    </row>
    <row r="14" spans="1:23">
      <c r="A14" s="847">
        <v>400</v>
      </c>
      <c r="B14" s="847">
        <v>100</v>
      </c>
      <c r="C14" s="848">
        <v>8.6</v>
      </c>
      <c r="D14" s="848">
        <v>13.5</v>
      </c>
      <c r="E14" s="842">
        <f t="shared" si="8"/>
        <v>59.077999999999953</v>
      </c>
      <c r="F14" s="842">
        <v>7.85</v>
      </c>
      <c r="G14" s="846">
        <f t="shared" si="1"/>
        <v>46.376229999999964</v>
      </c>
      <c r="H14" s="847">
        <f t="shared" si="2"/>
        <v>13806.552551666666</v>
      </c>
      <c r="I14" s="861">
        <f t="shared" si="3"/>
        <v>690.3276275833332</v>
      </c>
      <c r="J14" s="849">
        <f t="shared" si="4"/>
        <v>15.287262849328759</v>
      </c>
      <c r="K14" s="1381">
        <f t="shared" si="5"/>
        <v>226.97707406666666</v>
      </c>
      <c r="L14" s="1381">
        <f t="shared" si="6"/>
        <v>45.395414813333339</v>
      </c>
      <c r="M14" s="850">
        <f t="shared" si="7"/>
        <v>1.9600994391127307</v>
      </c>
      <c r="O14" s="843"/>
      <c r="P14" s="843"/>
      <c r="Q14" s="843"/>
    </row>
    <row r="15" spans="1:23">
      <c r="A15" s="847">
        <v>60</v>
      </c>
      <c r="B15" s="847">
        <v>70</v>
      </c>
      <c r="C15" s="848">
        <v>2</v>
      </c>
      <c r="D15" s="848">
        <v>3</v>
      </c>
      <c r="E15" s="842">
        <f t="shared" si="8"/>
        <v>5.28</v>
      </c>
      <c r="F15" s="842">
        <v>7.85</v>
      </c>
      <c r="G15" s="846">
        <f t="shared" si="1"/>
        <v>4.1448</v>
      </c>
      <c r="H15" s="847">
        <f t="shared" si="2"/>
        <v>36.770400000000002</v>
      </c>
      <c r="I15" s="861">
        <f t="shared" si="3"/>
        <v>12.2568</v>
      </c>
      <c r="J15" s="849">
        <f t="shared" si="4"/>
        <v>2.6389564053032228</v>
      </c>
      <c r="K15" s="1381">
        <f t="shared" si="5"/>
        <v>17.153600000000001</v>
      </c>
      <c r="L15" s="1381">
        <f t="shared" si="6"/>
        <v>4.9010285714285713</v>
      </c>
      <c r="M15" s="850">
        <f t="shared" si="7"/>
        <v>1.8024394244434065</v>
      </c>
    </row>
    <row r="16" spans="1:23">
      <c r="A16" s="847">
        <v>120</v>
      </c>
      <c r="B16" s="847">
        <v>70</v>
      </c>
      <c r="C16" s="848">
        <v>2</v>
      </c>
      <c r="D16" s="848">
        <v>3</v>
      </c>
      <c r="E16" s="842">
        <f t="shared" si="8"/>
        <v>6.48</v>
      </c>
      <c r="F16" s="842">
        <v>2.7</v>
      </c>
      <c r="G16" s="846">
        <f t="shared" si="1"/>
        <v>5.0868000000000002</v>
      </c>
      <c r="H16" s="847">
        <f t="shared" si="2"/>
        <v>168.45840000000001</v>
      </c>
      <c r="I16" s="861">
        <f t="shared" si="3"/>
        <v>28.0764</v>
      </c>
      <c r="J16" s="849">
        <f t="shared" si="4"/>
        <v>5.0986926428905939</v>
      </c>
      <c r="K16" s="1381">
        <f t="shared" si="5"/>
        <v>17.157599999999999</v>
      </c>
      <c r="L16" s="1381">
        <f t="shared" si="6"/>
        <v>4.9021714285714282</v>
      </c>
      <c r="M16" s="850">
        <f t="shared" si="7"/>
        <v>1.6271993663278563</v>
      </c>
    </row>
    <row r="17" spans="1:22">
      <c r="A17" s="847">
        <v>180</v>
      </c>
      <c r="B17" s="847"/>
      <c r="F17" s="842"/>
      <c r="G17" s="842">
        <v>1.6</v>
      </c>
      <c r="H17" s="843">
        <f>G16/G17</f>
        <v>3.1792500000000001</v>
      </c>
      <c r="I17" s="863">
        <f t="shared" si="3"/>
        <v>0.35325000000000001</v>
      </c>
      <c r="J17" s="851"/>
      <c r="K17" s="843"/>
      <c r="L17" s="843"/>
      <c r="M17" s="851"/>
    </row>
    <row r="18" spans="1:22" s="835" customFormat="1">
      <c r="A18" s="829" t="s">
        <v>104</v>
      </c>
      <c r="B18" s="829"/>
      <c r="C18" s="829"/>
      <c r="D18" s="829"/>
      <c r="E18" s="829"/>
      <c r="F18" s="829"/>
      <c r="G18" s="829"/>
      <c r="H18" s="829"/>
      <c r="I18" s="829"/>
      <c r="J18" s="829"/>
      <c r="K18" s="829"/>
      <c r="L18" s="829"/>
      <c r="M18" s="829"/>
      <c r="N18" s="830"/>
    </row>
    <row r="19" spans="1:22" s="835" customFormat="1">
      <c r="A19" s="831" t="s">
        <v>132</v>
      </c>
      <c r="B19" s="832"/>
      <c r="C19" s="832"/>
      <c r="D19" s="832"/>
      <c r="E19" s="833" t="s">
        <v>578</v>
      </c>
      <c r="F19" s="845" t="s">
        <v>136</v>
      </c>
      <c r="G19" s="833" t="s">
        <v>572</v>
      </c>
      <c r="H19" s="833" t="s">
        <v>56</v>
      </c>
      <c r="I19" s="833" t="s">
        <v>1952</v>
      </c>
      <c r="J19" s="833" t="s">
        <v>105</v>
      </c>
      <c r="K19" s="833" t="s">
        <v>106</v>
      </c>
      <c r="L19" s="833" t="s">
        <v>0</v>
      </c>
      <c r="M19" s="852" t="s">
        <v>107</v>
      </c>
    </row>
    <row r="20" spans="1:22">
      <c r="A20" s="836" t="s">
        <v>570</v>
      </c>
      <c r="B20" s="837" t="s">
        <v>1746</v>
      </c>
      <c r="C20" s="837" t="s">
        <v>108</v>
      </c>
      <c r="D20" s="837" t="s">
        <v>109</v>
      </c>
      <c r="E20" s="838" t="s">
        <v>110</v>
      </c>
      <c r="F20" s="838" t="s">
        <v>137</v>
      </c>
      <c r="G20" s="838" t="s">
        <v>599</v>
      </c>
      <c r="H20" s="838" t="s">
        <v>111</v>
      </c>
      <c r="I20" s="838" t="s">
        <v>72</v>
      </c>
      <c r="J20" s="838" t="s">
        <v>607</v>
      </c>
      <c r="K20" s="838" t="s">
        <v>111</v>
      </c>
      <c r="L20" s="838" t="s">
        <v>72</v>
      </c>
      <c r="M20" s="853" t="s">
        <v>607</v>
      </c>
      <c r="N20" s="835"/>
      <c r="O20" s="859" t="s">
        <v>479</v>
      </c>
      <c r="P20" s="858">
        <f>G21/N21</f>
        <v>2.6846999999999999</v>
      </c>
      <c r="Q20" s="858"/>
      <c r="R20" s="859">
        <v>8</v>
      </c>
      <c r="S20" s="843">
        <f>R20*G21</f>
        <v>42.955199999999998</v>
      </c>
      <c r="T20" s="865">
        <v>90</v>
      </c>
      <c r="U20" s="830">
        <v>150</v>
      </c>
      <c r="V20" s="830">
        <f>T20*U20</f>
        <v>13500</v>
      </c>
    </row>
    <row r="21" spans="1:22">
      <c r="A21" s="860">
        <v>60</v>
      </c>
      <c r="B21" s="860">
        <v>60</v>
      </c>
      <c r="C21" s="1690">
        <v>3</v>
      </c>
      <c r="D21" s="1690">
        <v>3</v>
      </c>
      <c r="E21" s="1421">
        <f>(B21*A21-(B21-2*C21)*(A21-2*D21))/100</f>
        <v>6.84</v>
      </c>
      <c r="F21" s="1409">
        <v>7.85</v>
      </c>
      <c r="G21" s="1421">
        <f t="shared" ref="G21:G29" si="9">E21*F21/10</f>
        <v>5.3693999999999997</v>
      </c>
      <c r="H21" s="1359">
        <f t="shared" ref="H21:H29" si="10">(B21*A21*A21*A21-(B21-2*C21)*(A21-2*D21)*(A21-2*D21)*(A21-2*D21))/12/10000</f>
        <v>37.141199999999998</v>
      </c>
      <c r="I21" s="860">
        <f t="shared" ref="I21:I29" si="11">2*10*H21/A21</f>
        <v>12.3804</v>
      </c>
      <c r="J21" s="1421">
        <f t="shared" ref="J21:J29" si="12">SQRT(H21/E21)</f>
        <v>2.3302360395462087</v>
      </c>
      <c r="K21" s="860">
        <f t="shared" ref="K21:K29" si="13">(A21*B21*B21*B21-(A21-2*D21)*(B21-2*C21)*(B21-2*C21)*(B21-2*C21))/12/10000</f>
        <v>37.141199999999998</v>
      </c>
      <c r="L21" s="860">
        <f t="shared" ref="L21:L29" si="14">2*10*K21/B21</f>
        <v>12.3804</v>
      </c>
      <c r="M21" s="1421">
        <f t="shared" ref="M21:M29" si="15">SQRT(K21/E21)</f>
        <v>2.3302360395462087</v>
      </c>
      <c r="N21" s="830">
        <v>2</v>
      </c>
      <c r="O21" s="830">
        <f>2.5*K21</f>
        <v>92.852999999999994</v>
      </c>
      <c r="R21" s="859"/>
    </row>
    <row r="22" spans="1:22">
      <c r="A22" s="860">
        <v>450</v>
      </c>
      <c r="B22" s="860">
        <v>350</v>
      </c>
      <c r="C22" s="1690">
        <v>6</v>
      </c>
      <c r="D22" s="1690">
        <f>C22</f>
        <v>6</v>
      </c>
      <c r="E22" s="1421">
        <f t="shared" ref="E22:E29" si="16">(B22*A22-(B22-2*C22)*(A22-2*D22))/100</f>
        <v>94.56</v>
      </c>
      <c r="F22" s="1409">
        <f t="shared" ref="F22:F28" si="17">F21</f>
        <v>7.85</v>
      </c>
      <c r="G22" s="1421">
        <f t="shared" si="9"/>
        <v>74.229599999999991</v>
      </c>
      <c r="H22" s="860">
        <f t="shared" si="10"/>
        <v>29103.307199999999</v>
      </c>
      <c r="I22" s="860">
        <f t="shared" si="11"/>
        <v>1293.4803199999999</v>
      </c>
      <c r="J22" s="1421">
        <f t="shared" si="12"/>
        <v>17.543548425861808</v>
      </c>
      <c r="K22" s="860">
        <f t="shared" si="13"/>
        <v>19838.427199999998</v>
      </c>
      <c r="L22" s="860">
        <f t="shared" si="14"/>
        <v>1133.6244114285714</v>
      </c>
      <c r="M22" s="1421">
        <f t="shared" si="15"/>
        <v>14.484379239814695</v>
      </c>
      <c r="R22" s="859"/>
    </row>
    <row r="23" spans="1:22">
      <c r="A23" s="860">
        <v>50</v>
      </c>
      <c r="B23" s="860">
        <v>50</v>
      </c>
      <c r="C23" s="1690">
        <v>4</v>
      </c>
      <c r="D23" s="1690">
        <v>4</v>
      </c>
      <c r="E23" s="1421">
        <f t="shared" si="16"/>
        <v>7.36</v>
      </c>
      <c r="F23" s="1409">
        <f t="shared" si="17"/>
        <v>7.85</v>
      </c>
      <c r="G23" s="1421">
        <f t="shared" si="9"/>
        <v>5.7776000000000005</v>
      </c>
      <c r="H23" s="860">
        <f t="shared" si="10"/>
        <v>26.152533333333334</v>
      </c>
      <c r="I23" s="860">
        <f t="shared" si="11"/>
        <v>10.461013333333334</v>
      </c>
      <c r="J23" s="1421">
        <f t="shared" si="12"/>
        <v>1.885028735413159</v>
      </c>
      <c r="K23" s="860">
        <f t="shared" si="13"/>
        <v>26.152533333333334</v>
      </c>
      <c r="L23" s="860">
        <f t="shared" si="14"/>
        <v>10.461013333333334</v>
      </c>
      <c r="M23" s="1421">
        <f t="shared" si="15"/>
        <v>1.885028735413159</v>
      </c>
      <c r="O23" s="843">
        <f>N24/J24</f>
        <v>438.89197652616969</v>
      </c>
      <c r="R23" s="859"/>
    </row>
    <row r="24" spans="1:22">
      <c r="A24" s="860">
        <v>3</v>
      </c>
      <c r="B24" s="860">
        <v>325</v>
      </c>
      <c r="C24" s="1690">
        <v>30</v>
      </c>
      <c r="D24" s="1690">
        <f>C24</f>
        <v>30</v>
      </c>
      <c r="E24" s="1421">
        <f t="shared" si="16"/>
        <v>160.80000000000001</v>
      </c>
      <c r="F24" s="1409">
        <f t="shared" si="17"/>
        <v>7.85</v>
      </c>
      <c r="G24" s="1421">
        <f t="shared" si="9"/>
        <v>126.22799999999999</v>
      </c>
      <c r="H24" s="860">
        <f t="shared" si="10"/>
        <v>409.041</v>
      </c>
      <c r="I24" s="860">
        <f t="shared" si="11"/>
        <v>2726.94</v>
      </c>
      <c r="J24" s="1421">
        <f t="shared" si="12"/>
        <v>1.5949254883639035</v>
      </c>
      <c r="K24" s="860">
        <f t="shared" si="13"/>
        <v>9697.7749999999996</v>
      </c>
      <c r="L24" s="860">
        <f t="shared" si="14"/>
        <v>596.78615384615387</v>
      </c>
      <c r="M24" s="1421">
        <f t="shared" si="15"/>
        <v>7.765922097207806</v>
      </c>
      <c r="N24" s="830">
        <v>700</v>
      </c>
      <c r="R24" s="859"/>
    </row>
    <row r="25" spans="1:22">
      <c r="A25" s="860">
        <v>150</v>
      </c>
      <c r="B25" s="860">
        <v>100</v>
      </c>
      <c r="C25" s="1690">
        <v>4</v>
      </c>
      <c r="D25" s="1690">
        <f>C25</f>
        <v>4</v>
      </c>
      <c r="E25" s="1421">
        <f t="shared" si="16"/>
        <v>19.36</v>
      </c>
      <c r="F25" s="1409">
        <f t="shared" si="17"/>
        <v>7.85</v>
      </c>
      <c r="G25" s="1421">
        <f t="shared" si="9"/>
        <v>15.1976</v>
      </c>
      <c r="H25" s="860">
        <f t="shared" si="10"/>
        <v>617.31253333333325</v>
      </c>
      <c r="I25" s="860">
        <f t="shared" si="11"/>
        <v>82.308337777777766</v>
      </c>
      <c r="J25" s="1421">
        <f t="shared" si="12"/>
        <v>5.6467670362281197</v>
      </c>
      <c r="K25" s="860">
        <f t="shared" si="13"/>
        <v>328.55253333333337</v>
      </c>
      <c r="L25" s="860">
        <f t="shared" si="14"/>
        <v>65.710506666666674</v>
      </c>
      <c r="M25" s="1421">
        <f t="shared" si="15"/>
        <v>4.1195495755281506</v>
      </c>
      <c r="P25" s="830">
        <v>13367</v>
      </c>
      <c r="Q25" s="830">
        <v>8621</v>
      </c>
      <c r="R25" s="859"/>
      <c r="S25" s="830">
        <v>3050</v>
      </c>
      <c r="T25" s="830">
        <v>1100</v>
      </c>
      <c r="U25" s="830">
        <v>2950</v>
      </c>
      <c r="V25" s="830">
        <v>1100</v>
      </c>
    </row>
    <row r="26" spans="1:22">
      <c r="A26" s="860">
        <v>150</v>
      </c>
      <c r="B26" s="860">
        <v>100</v>
      </c>
      <c r="C26" s="1690">
        <v>8</v>
      </c>
      <c r="D26" s="1690">
        <v>8</v>
      </c>
      <c r="E26" s="1421">
        <f t="shared" si="16"/>
        <v>37.44</v>
      </c>
      <c r="F26" s="1409">
        <f t="shared" si="17"/>
        <v>7.85</v>
      </c>
      <c r="G26" s="1421">
        <f t="shared" si="9"/>
        <v>29.3904</v>
      </c>
      <c r="H26" s="860">
        <f t="shared" si="10"/>
        <v>1128.2272</v>
      </c>
      <c r="I26" s="860">
        <f t="shared" si="11"/>
        <v>150.43029333333334</v>
      </c>
      <c r="J26" s="1421">
        <f t="shared" si="12"/>
        <v>5.4894693281111886</v>
      </c>
      <c r="K26" s="860">
        <f t="shared" si="13"/>
        <v>588.1472</v>
      </c>
      <c r="L26" s="860">
        <f t="shared" si="14"/>
        <v>117.62943999999999</v>
      </c>
      <c r="M26" s="1421">
        <f t="shared" si="15"/>
        <v>3.9634656336418295</v>
      </c>
      <c r="Q26" s="830">
        <v>4</v>
      </c>
      <c r="R26" s="859"/>
      <c r="S26" s="830">
        <v>6</v>
      </c>
      <c r="T26" s="830">
        <f>S26+1</f>
        <v>7</v>
      </c>
      <c r="U26" s="830">
        <v>5</v>
      </c>
      <c r="V26" s="830">
        <f>U26+1</f>
        <v>6</v>
      </c>
    </row>
    <row r="27" spans="1:22">
      <c r="A27" s="860">
        <v>150</v>
      </c>
      <c r="B27" s="860">
        <v>100</v>
      </c>
      <c r="C27" s="1690">
        <v>4</v>
      </c>
      <c r="D27" s="1690">
        <v>4</v>
      </c>
      <c r="E27" s="1421">
        <f t="shared" si="16"/>
        <v>19.36</v>
      </c>
      <c r="F27" s="1409">
        <f t="shared" si="17"/>
        <v>7.85</v>
      </c>
      <c r="G27" s="1421">
        <f t="shared" si="9"/>
        <v>15.1976</v>
      </c>
      <c r="H27" s="860">
        <f t="shared" si="10"/>
        <v>617.31253333333325</v>
      </c>
      <c r="I27" s="860">
        <f t="shared" si="11"/>
        <v>82.308337777777766</v>
      </c>
      <c r="J27" s="1421">
        <f t="shared" si="12"/>
        <v>5.6467670362281197</v>
      </c>
      <c r="K27" s="860">
        <f t="shared" si="13"/>
        <v>328.55253333333337</v>
      </c>
      <c r="L27" s="860">
        <f t="shared" si="14"/>
        <v>65.710506666666674</v>
      </c>
      <c r="M27" s="1421">
        <f t="shared" si="15"/>
        <v>4.1195495755281506</v>
      </c>
      <c r="P27" s="830">
        <v>3</v>
      </c>
      <c r="Q27" s="830">
        <f>Q25/Q26</f>
        <v>2155.25</v>
      </c>
      <c r="S27" s="830">
        <f>S26*S25</f>
        <v>18300</v>
      </c>
      <c r="T27" s="830">
        <f>T26*T25</f>
        <v>7700</v>
      </c>
      <c r="U27" s="830">
        <f>U26*U25</f>
        <v>14750</v>
      </c>
      <c r="V27" s="830">
        <f>V26*V25</f>
        <v>6600</v>
      </c>
    </row>
    <row r="28" spans="1:22">
      <c r="A28" s="860">
        <v>150</v>
      </c>
      <c r="B28" s="860">
        <v>150</v>
      </c>
      <c r="C28" s="1690">
        <v>3.6</v>
      </c>
      <c r="D28" s="1690">
        <f>C28</f>
        <v>3.6</v>
      </c>
      <c r="E28" s="1421">
        <f t="shared" si="16"/>
        <v>21.081599999999963</v>
      </c>
      <c r="F28" s="1409">
        <f t="shared" si="17"/>
        <v>7.85</v>
      </c>
      <c r="G28" s="1421">
        <f t="shared" si="9"/>
        <v>16.549055999999972</v>
      </c>
      <c r="H28" s="860">
        <f t="shared" si="10"/>
        <v>753.5238451199989</v>
      </c>
      <c r="I28" s="860">
        <f t="shared" si="11"/>
        <v>100.46984601599985</v>
      </c>
      <c r="J28" s="1421">
        <f t="shared" si="12"/>
        <v>5.9785616999408822</v>
      </c>
      <c r="K28" s="860">
        <f t="shared" si="13"/>
        <v>753.5238451199989</v>
      </c>
      <c r="L28" s="860">
        <f t="shared" si="14"/>
        <v>100.46984601599985</v>
      </c>
      <c r="M28" s="1421">
        <f t="shared" si="15"/>
        <v>5.9785616999408822</v>
      </c>
      <c r="P28" s="830">
        <f>P25/P27</f>
        <v>4455.666666666667</v>
      </c>
      <c r="S28" s="830">
        <f>SUM(S27:T27)</f>
        <v>26000</v>
      </c>
      <c r="U28" s="830">
        <f>SUM(U27:V27)</f>
        <v>21350</v>
      </c>
    </row>
    <row r="29" spans="1:22">
      <c r="A29" s="860">
        <v>120</v>
      </c>
      <c r="B29" s="860">
        <v>80</v>
      </c>
      <c r="C29" s="1690">
        <v>5</v>
      </c>
      <c r="D29" s="1690">
        <f>C29</f>
        <v>5</v>
      </c>
      <c r="E29" s="1421">
        <f t="shared" si="16"/>
        <v>19</v>
      </c>
      <c r="F29" s="1409">
        <v>7.85</v>
      </c>
      <c r="G29" s="1421">
        <f t="shared" si="9"/>
        <v>14.915000000000001</v>
      </c>
      <c r="H29" s="862">
        <f t="shared" si="10"/>
        <v>375.58333333333337</v>
      </c>
      <c r="I29" s="860">
        <f t="shared" si="11"/>
        <v>62.597222222222236</v>
      </c>
      <c r="J29" s="1421">
        <f t="shared" si="12"/>
        <v>4.4460706089365161</v>
      </c>
      <c r="K29" s="860">
        <f t="shared" si="13"/>
        <v>197.58333333333331</v>
      </c>
      <c r="L29" s="860">
        <f t="shared" si="14"/>
        <v>49.395833333333329</v>
      </c>
      <c r="M29" s="1421">
        <f t="shared" si="15"/>
        <v>3.2247670934530364</v>
      </c>
      <c r="S29" s="830">
        <v>347</v>
      </c>
      <c r="T29" s="830">
        <v>2</v>
      </c>
      <c r="U29" s="830">
        <v>316</v>
      </c>
      <c r="V29" s="830">
        <v>2</v>
      </c>
    </row>
    <row r="30" spans="1:22">
      <c r="A30" s="862">
        <v>140</v>
      </c>
      <c r="B30" s="862">
        <v>80</v>
      </c>
      <c r="C30" s="1690">
        <v>7</v>
      </c>
      <c r="D30" s="1690">
        <f>C30</f>
        <v>7</v>
      </c>
      <c r="E30" s="1420">
        <f>G30/0.785</f>
        <v>28.84</v>
      </c>
      <c r="F30" s="851">
        <v>7.85</v>
      </c>
      <c r="G30" s="1420">
        <f>((B30*A30-(B30-2*C30)*(A30-2*D30))/100)*0.785</f>
        <v>22.639400000000002</v>
      </c>
      <c r="H30" s="1420">
        <f>(B30*A30*A30*A30-(B30-2*C30)*(A30-2*D30)*(A30-2*D30)*(A30-2*D30))/12/10000</f>
        <v>729.12653333333333</v>
      </c>
      <c r="I30" s="1409">
        <f>2*10*H30/A30</f>
        <v>104.16093333333333</v>
      </c>
      <c r="J30" s="1421">
        <f>SQRT(H30/E30)</f>
        <v>5.0280990379342256</v>
      </c>
      <c r="K30" s="860">
        <f>(A30*B30*B30*B30-(A30-2*D30)*(B30-2*C30)*(B30-2*C30)*(B30-2*C30))/12/10000</f>
        <v>295.46253333333334</v>
      </c>
      <c r="L30" s="860">
        <f>2*10*K30/B30</f>
        <v>73.865633333333335</v>
      </c>
      <c r="M30" s="1421">
        <f>SQRT(K30/E30)</f>
        <v>3.2007634607061464</v>
      </c>
      <c r="S30" s="830">
        <f>S29*T29</f>
        <v>694</v>
      </c>
      <c r="U30" s="830">
        <f>U29*V29</f>
        <v>632</v>
      </c>
    </row>
    <row r="31" spans="1:22">
      <c r="A31" s="829" t="s">
        <v>138</v>
      </c>
      <c r="B31" s="829"/>
      <c r="C31" s="829"/>
      <c r="D31" s="829"/>
      <c r="E31" s="829"/>
      <c r="F31" s="829"/>
      <c r="G31" s="829"/>
      <c r="H31" s="829"/>
      <c r="I31" s="829"/>
      <c r="J31" s="829"/>
      <c r="K31" s="829"/>
      <c r="L31" s="829"/>
      <c r="M31" s="829"/>
      <c r="S31" s="830">
        <f>S30+S28</f>
        <v>26694</v>
      </c>
      <c r="U31" s="830">
        <f>U30+U28</f>
        <v>21982</v>
      </c>
    </row>
    <row r="32" spans="1:22">
      <c r="A32" s="831" t="s">
        <v>132</v>
      </c>
      <c r="B32" s="832"/>
      <c r="C32" s="832"/>
      <c r="D32" s="832"/>
      <c r="E32" s="833" t="s">
        <v>578</v>
      </c>
      <c r="F32" s="833" t="s">
        <v>136</v>
      </c>
      <c r="G32" s="833" t="s">
        <v>572</v>
      </c>
      <c r="H32" s="833" t="s">
        <v>56</v>
      </c>
      <c r="I32" s="833" t="s">
        <v>1952</v>
      </c>
      <c r="J32" s="833" t="s">
        <v>105</v>
      </c>
      <c r="K32" s="833" t="s">
        <v>106</v>
      </c>
      <c r="L32" s="833" t="s">
        <v>0</v>
      </c>
      <c r="M32" s="852" t="s">
        <v>107</v>
      </c>
      <c r="S32" s="830">
        <v>26693</v>
      </c>
      <c r="U32" s="830">
        <v>21982</v>
      </c>
    </row>
    <row r="33" spans="1:21">
      <c r="A33" s="836" t="s">
        <v>570</v>
      </c>
      <c r="B33" s="837" t="s">
        <v>1746</v>
      </c>
      <c r="C33" s="837"/>
      <c r="D33" s="837"/>
      <c r="E33" s="838" t="s">
        <v>110</v>
      </c>
      <c r="F33" s="838" t="s">
        <v>137</v>
      </c>
      <c r="G33" s="838" t="s">
        <v>599</v>
      </c>
      <c r="H33" s="838" t="s">
        <v>111</v>
      </c>
      <c r="I33" s="838" t="s">
        <v>72</v>
      </c>
      <c r="J33" s="838" t="s">
        <v>607</v>
      </c>
      <c r="K33" s="838" t="s">
        <v>111</v>
      </c>
      <c r="L33" s="838" t="s">
        <v>72</v>
      </c>
      <c r="M33" s="853" t="s">
        <v>607</v>
      </c>
      <c r="O33" s="830">
        <v>2</v>
      </c>
      <c r="P33" s="830">
        <f>O33*G34</f>
        <v>8.791999999999998</v>
      </c>
      <c r="S33" s="830">
        <f>S31-S32</f>
        <v>1</v>
      </c>
      <c r="U33" s="830">
        <f>U31-U32</f>
        <v>0</v>
      </c>
    </row>
    <row r="34" spans="1:21">
      <c r="A34" s="854">
        <v>40</v>
      </c>
      <c r="B34" s="854">
        <v>14</v>
      </c>
      <c r="C34" s="854"/>
      <c r="D34" s="854"/>
      <c r="E34" s="849">
        <f t="shared" ref="E34:E41" si="18">A34*B34/100</f>
        <v>5.6</v>
      </c>
      <c r="F34" s="842">
        <v>7.85</v>
      </c>
      <c r="G34" s="846">
        <f t="shared" ref="G34:G41" si="19">E34*F34/10</f>
        <v>4.395999999999999</v>
      </c>
      <c r="H34" s="1717">
        <f t="shared" ref="H34:H41" si="20">(B34*A34*A34*A34)/12/10000</f>
        <v>7.4666666666666668</v>
      </c>
      <c r="I34" s="1717">
        <f t="shared" ref="I34:I41" si="21">2*10*H34/A34</f>
        <v>3.7333333333333334</v>
      </c>
      <c r="J34" s="1717">
        <f t="shared" ref="J34:J41" si="22">SQRT(H34/E34)</f>
        <v>1.1547005383792517</v>
      </c>
      <c r="K34" s="1727">
        <f t="shared" ref="K34:K41" si="23">(A34*B34*B34*B34)/12/10000</f>
        <v>0.91466666666666663</v>
      </c>
      <c r="L34" s="1727">
        <f t="shared" ref="L34:L41" si="24">2*10*K34/B34</f>
        <v>1.3066666666666666</v>
      </c>
      <c r="M34" s="857">
        <f t="shared" ref="M34:M41" si="25">SQRT(K34/E34)</f>
        <v>0.40414518843273806</v>
      </c>
      <c r="N34" s="830">
        <v>1300</v>
      </c>
      <c r="O34" s="830">
        <v>175</v>
      </c>
      <c r="P34" s="830">
        <f>G35*O34</f>
        <v>19782</v>
      </c>
    </row>
    <row r="35" spans="1:21">
      <c r="A35" s="848">
        <v>120</v>
      </c>
      <c r="B35" s="848">
        <v>120</v>
      </c>
      <c r="C35" s="848"/>
      <c r="D35" s="848"/>
      <c r="E35" s="849">
        <f t="shared" si="18"/>
        <v>144</v>
      </c>
      <c r="F35" s="842">
        <v>7.85</v>
      </c>
      <c r="G35" s="846">
        <f t="shared" si="19"/>
        <v>113.03999999999999</v>
      </c>
      <c r="H35" s="847">
        <f t="shared" si="20"/>
        <v>1728</v>
      </c>
      <c r="I35" s="847">
        <f t="shared" si="21"/>
        <v>288</v>
      </c>
      <c r="J35" s="1717">
        <f t="shared" si="22"/>
        <v>3.4641016151377544</v>
      </c>
      <c r="K35" s="847">
        <f t="shared" si="23"/>
        <v>1728</v>
      </c>
      <c r="L35" s="847">
        <f t="shared" si="24"/>
        <v>288</v>
      </c>
      <c r="M35" s="850">
        <f t="shared" si="25"/>
        <v>3.4641016151377544</v>
      </c>
      <c r="O35" s="830">
        <f>N34/O34</f>
        <v>7.4285714285714288</v>
      </c>
      <c r="P35" s="830">
        <f>SUM(P33:P34)</f>
        <v>19790.792000000001</v>
      </c>
      <c r="Q35" s="830" t="s">
        <v>599</v>
      </c>
      <c r="R35" s="830">
        <f>P35/1000</f>
        <v>19.790792</v>
      </c>
      <c r="S35" s="830" t="s">
        <v>475</v>
      </c>
      <c r="T35" s="830">
        <v>9</v>
      </c>
      <c r="U35" s="830" t="s">
        <v>461</v>
      </c>
    </row>
    <row r="36" spans="1:21">
      <c r="A36" s="848">
        <v>80</v>
      </c>
      <c r="B36" s="848">
        <v>40</v>
      </c>
      <c r="C36" s="848"/>
      <c r="D36" s="848"/>
      <c r="E36" s="849">
        <f t="shared" si="18"/>
        <v>32</v>
      </c>
      <c r="F36" s="842">
        <v>7.85</v>
      </c>
      <c r="G36" s="846">
        <f t="shared" si="19"/>
        <v>25.119999999999997</v>
      </c>
      <c r="H36" s="847">
        <f t="shared" si="20"/>
        <v>170.66666666666669</v>
      </c>
      <c r="I36" s="847">
        <f t="shared" si="21"/>
        <v>42.666666666666671</v>
      </c>
      <c r="J36" s="1717">
        <f t="shared" si="22"/>
        <v>2.3094010767585034</v>
      </c>
      <c r="K36" s="847">
        <f t="shared" si="23"/>
        <v>42.666666666666671</v>
      </c>
      <c r="L36" s="847">
        <f t="shared" si="24"/>
        <v>21.333333333333336</v>
      </c>
      <c r="M36" s="850">
        <f t="shared" si="25"/>
        <v>1.1547005383792517</v>
      </c>
      <c r="P36" s="830">
        <v>2002</v>
      </c>
      <c r="Q36" s="830">
        <v>232</v>
      </c>
      <c r="R36" s="830">
        <f>P36*Q36/1000000</f>
        <v>0.46446399999999999</v>
      </c>
      <c r="S36" s="830" t="s">
        <v>461</v>
      </c>
      <c r="T36" s="830">
        <v>1.5</v>
      </c>
      <c r="U36" s="830" t="s">
        <v>475</v>
      </c>
    </row>
    <row r="37" spans="1:21">
      <c r="A37" s="848">
        <v>80</v>
      </c>
      <c r="B37" s="848">
        <v>80</v>
      </c>
      <c r="C37" s="848"/>
      <c r="D37" s="848"/>
      <c r="E37" s="849">
        <f t="shared" si="18"/>
        <v>64</v>
      </c>
      <c r="F37" s="842">
        <v>7.85</v>
      </c>
      <c r="G37" s="846">
        <f t="shared" si="19"/>
        <v>50.239999999999995</v>
      </c>
      <c r="H37" s="847">
        <f t="shared" si="20"/>
        <v>341.33333333333337</v>
      </c>
      <c r="I37" s="847">
        <f t="shared" si="21"/>
        <v>85.333333333333343</v>
      </c>
      <c r="J37" s="1717">
        <f t="shared" si="22"/>
        <v>2.3094010767585034</v>
      </c>
      <c r="K37" s="847">
        <f t="shared" si="23"/>
        <v>341.33333333333337</v>
      </c>
      <c r="L37" s="847">
        <f t="shared" si="24"/>
        <v>85.333333333333343</v>
      </c>
      <c r="M37" s="850">
        <f t="shared" si="25"/>
        <v>2.3094010767585034</v>
      </c>
      <c r="R37" s="835">
        <f>R35/R36</f>
        <v>42.609959006510728</v>
      </c>
      <c r="S37" s="835" t="s">
        <v>476</v>
      </c>
      <c r="T37" s="863">
        <f>T36/T35</f>
        <v>0.16666666666666666</v>
      </c>
      <c r="U37" s="830" t="s">
        <v>476</v>
      </c>
    </row>
    <row r="38" spans="1:21">
      <c r="A38" s="848">
        <v>50</v>
      </c>
      <c r="B38" s="848">
        <v>20</v>
      </c>
      <c r="C38" s="848"/>
      <c r="D38" s="848"/>
      <c r="E38" s="849">
        <f t="shared" si="18"/>
        <v>10</v>
      </c>
      <c r="F38" s="842">
        <v>7.85</v>
      </c>
      <c r="G38" s="846">
        <f t="shared" si="19"/>
        <v>7.85</v>
      </c>
      <c r="H38" s="847">
        <f t="shared" si="20"/>
        <v>20.833333333333336</v>
      </c>
      <c r="I38" s="847">
        <f t="shared" si="21"/>
        <v>8.3333333333333357</v>
      </c>
      <c r="J38" s="1717">
        <f t="shared" si="22"/>
        <v>1.4433756729740645</v>
      </c>
      <c r="K38" s="847">
        <f t="shared" si="23"/>
        <v>3.3333333333333335</v>
      </c>
      <c r="L38" s="847">
        <f t="shared" si="24"/>
        <v>3.3333333333333335</v>
      </c>
      <c r="M38" s="850">
        <f t="shared" si="25"/>
        <v>0.57735026918962584</v>
      </c>
    </row>
    <row r="39" spans="1:21">
      <c r="A39" s="848">
        <v>80</v>
      </c>
      <c r="B39" s="848">
        <v>20</v>
      </c>
      <c r="C39" s="848"/>
      <c r="D39" s="848"/>
      <c r="E39" s="849">
        <f t="shared" si="18"/>
        <v>16</v>
      </c>
      <c r="F39" s="842">
        <v>7.85</v>
      </c>
      <c r="G39" s="846">
        <f t="shared" si="19"/>
        <v>12.559999999999999</v>
      </c>
      <c r="H39" s="847">
        <f t="shared" si="20"/>
        <v>85.333333333333343</v>
      </c>
      <c r="I39" s="847">
        <f t="shared" si="21"/>
        <v>21.333333333333336</v>
      </c>
      <c r="J39" s="1717">
        <f t="shared" si="22"/>
        <v>2.3094010767585034</v>
      </c>
      <c r="K39" s="847">
        <f t="shared" si="23"/>
        <v>5.3333333333333339</v>
      </c>
      <c r="L39" s="847">
        <f t="shared" si="24"/>
        <v>5.3333333333333339</v>
      </c>
      <c r="M39" s="850">
        <f t="shared" si="25"/>
        <v>0.57735026918962584</v>
      </c>
      <c r="R39" s="835">
        <v>2.4</v>
      </c>
      <c r="S39" s="835"/>
    </row>
    <row r="40" spans="1:21">
      <c r="A40" s="848">
        <v>60</v>
      </c>
      <c r="B40" s="848">
        <v>40</v>
      </c>
      <c r="C40" s="848"/>
      <c r="D40" s="848"/>
      <c r="E40" s="849">
        <f t="shared" si="18"/>
        <v>24</v>
      </c>
      <c r="F40" s="842">
        <v>7.85</v>
      </c>
      <c r="G40" s="846">
        <f t="shared" si="19"/>
        <v>18.839999999999996</v>
      </c>
      <c r="H40" s="847">
        <f t="shared" si="20"/>
        <v>72</v>
      </c>
      <c r="I40" s="847">
        <f t="shared" si="21"/>
        <v>24</v>
      </c>
      <c r="J40" s="1717">
        <f t="shared" si="22"/>
        <v>1.7320508075688772</v>
      </c>
      <c r="K40" s="847">
        <f t="shared" si="23"/>
        <v>32</v>
      </c>
      <c r="L40" s="847">
        <f t="shared" si="24"/>
        <v>16</v>
      </c>
      <c r="M40" s="850">
        <f t="shared" si="25"/>
        <v>1.1547005383792515</v>
      </c>
      <c r="R40" s="835">
        <v>2.8</v>
      </c>
      <c r="S40" s="835"/>
    </row>
    <row r="41" spans="1:21">
      <c r="A41" s="848">
        <v>200</v>
      </c>
      <c r="B41" s="848">
        <v>40</v>
      </c>
      <c r="C41" s="848"/>
      <c r="D41" s="848"/>
      <c r="E41" s="849">
        <f t="shared" si="18"/>
        <v>80</v>
      </c>
      <c r="F41" s="842">
        <v>7.85</v>
      </c>
      <c r="G41" s="846">
        <f t="shared" si="19"/>
        <v>62.8</v>
      </c>
      <c r="H41" s="847">
        <f t="shared" si="20"/>
        <v>2666.666666666667</v>
      </c>
      <c r="I41" s="847">
        <f t="shared" si="21"/>
        <v>266.66666666666674</v>
      </c>
      <c r="J41" s="1717">
        <f t="shared" si="22"/>
        <v>5.7735026918962582</v>
      </c>
      <c r="K41" s="847">
        <f t="shared" si="23"/>
        <v>106.66666666666667</v>
      </c>
      <c r="L41" s="847">
        <f t="shared" si="24"/>
        <v>53.333333333333336</v>
      </c>
      <c r="M41" s="850">
        <f t="shared" si="25"/>
        <v>1.1547005383792517</v>
      </c>
      <c r="R41" s="835">
        <v>12.5</v>
      </c>
      <c r="S41" s="835"/>
    </row>
    <row r="42" spans="1:21">
      <c r="R42" s="835">
        <f>R41*R40*R39</f>
        <v>84</v>
      </c>
      <c r="S42" s="835" t="s">
        <v>477</v>
      </c>
    </row>
    <row r="43" spans="1:21">
      <c r="G43" s="830">
        <f>G35*10</f>
        <v>1130.3999999999999</v>
      </c>
      <c r="H43" s="830">
        <f>G43+G34*2</f>
        <v>1139.1919999999998</v>
      </c>
      <c r="R43" s="835">
        <v>60</v>
      </c>
      <c r="S43" s="835" t="s">
        <v>236</v>
      </c>
    </row>
    <row r="44" spans="1:21">
      <c r="A44" s="1728" t="s">
        <v>139</v>
      </c>
      <c r="B44" s="1728"/>
      <c r="C44" s="1728"/>
      <c r="D44" s="1728"/>
      <c r="E44" s="1728"/>
      <c r="F44" s="1728"/>
      <c r="G44" s="1728"/>
      <c r="H44" s="1728"/>
      <c r="I44" s="1728"/>
      <c r="J44" s="1728"/>
      <c r="R44" s="835">
        <f>R43/R42</f>
        <v>0.7142857142857143</v>
      </c>
      <c r="S44" s="835" t="s">
        <v>137</v>
      </c>
    </row>
    <row r="45" spans="1:21">
      <c r="A45" s="1730" t="s">
        <v>132</v>
      </c>
      <c r="B45" s="1731"/>
      <c r="C45" s="1731"/>
      <c r="D45" s="1732"/>
      <c r="E45" s="1659" t="s">
        <v>578</v>
      </c>
      <c r="F45" s="1659"/>
      <c r="G45" s="1659" t="s">
        <v>572</v>
      </c>
      <c r="H45" s="1659" t="s">
        <v>56</v>
      </c>
      <c r="I45" s="1659" t="s">
        <v>1952</v>
      </c>
      <c r="J45" s="1659" t="s">
        <v>105</v>
      </c>
      <c r="K45" s="1660" t="s">
        <v>282</v>
      </c>
      <c r="L45" s="1729"/>
      <c r="M45" s="1729"/>
      <c r="P45" s="865"/>
    </row>
    <row r="46" spans="1:21">
      <c r="A46" s="836" t="s">
        <v>140</v>
      </c>
      <c r="B46" s="837"/>
      <c r="C46" s="837" t="s">
        <v>1507</v>
      </c>
      <c r="D46" s="837"/>
      <c r="E46" s="837" t="s">
        <v>110</v>
      </c>
      <c r="F46" s="837"/>
      <c r="G46" s="837" t="s">
        <v>599</v>
      </c>
      <c r="H46" s="837" t="s">
        <v>111</v>
      </c>
      <c r="I46" s="837" t="s">
        <v>72</v>
      </c>
      <c r="J46" s="837" t="s">
        <v>607</v>
      </c>
      <c r="K46" s="3" t="s">
        <v>2505</v>
      </c>
      <c r="L46" s="864"/>
      <c r="M46" s="864"/>
      <c r="N46" s="859" t="s">
        <v>2532</v>
      </c>
      <c r="O46" s="859" t="s">
        <v>2533</v>
      </c>
      <c r="P46" s="859" t="s">
        <v>2531</v>
      </c>
      <c r="Q46" s="859" t="s">
        <v>2530</v>
      </c>
    </row>
    <row r="47" spans="1:21">
      <c r="A47" s="1657">
        <v>21.3</v>
      </c>
      <c r="B47" s="1406"/>
      <c r="C47" s="846">
        <v>3.2</v>
      </c>
      <c r="D47" s="1406"/>
      <c r="E47" s="846">
        <f t="shared" ref="E47:E57" si="26">3.14159*(A47*A47-(A47-2*C47)*(A47-2*C47))/400</f>
        <v>1.8196089280000001</v>
      </c>
      <c r="F47" s="842"/>
      <c r="G47" s="846">
        <f t="shared" ref="G47:G57" si="27">3.14159*(A47*A47-(A47-2*C47)*(A47-2*C47))/400*0.785</f>
        <v>1.4283930084800001</v>
      </c>
      <c r="H47" s="1717">
        <f>3.14159*(A47*A47*A47*A47/10000-(A47-2*C47)*(A47-2*C47)*(A47-2*C47)*(A47-2*C47)/10000)/64</f>
        <v>0.76844359540600016</v>
      </c>
      <c r="I47" s="1717">
        <f>H47/A47*20</f>
        <v>0.72154328207136165</v>
      </c>
      <c r="J47" s="1658">
        <f>SQRT(H47/E47)</f>
        <v>0.64985575322528311</v>
      </c>
      <c r="K47" s="1658">
        <f>3.14159*10*A47/E47</f>
        <v>367.74861878453038</v>
      </c>
      <c r="L47" s="1519"/>
      <c r="M47" s="863">
        <v>64</v>
      </c>
      <c r="N47" s="843">
        <v>788.06</v>
      </c>
      <c r="O47" s="859">
        <v>2.91</v>
      </c>
      <c r="P47" s="1720">
        <f>N47/O47</f>
        <v>270.81099656357384</v>
      </c>
      <c r="Q47" s="1519">
        <f>P47/G47</f>
        <v>189.59137643200361</v>
      </c>
    </row>
    <row r="48" spans="1:21">
      <c r="A48" s="1657">
        <v>127</v>
      </c>
      <c r="B48" s="1406"/>
      <c r="C48" s="846">
        <v>12.5</v>
      </c>
      <c r="D48" s="1406"/>
      <c r="E48" s="846">
        <f t="shared" si="26"/>
        <v>44.964006874999995</v>
      </c>
      <c r="F48" s="842"/>
      <c r="G48" s="846">
        <f t="shared" si="27"/>
        <v>35.296745396874996</v>
      </c>
      <c r="H48" s="847">
        <f t="shared" ref="H48:H55" si="28">3.14159*(A48*A48*A48*A48/10000-(A48-2*C48)*(A48-2*C48)*(A48-2*C48)*(A48-2*C48)/10000)/64</f>
        <v>745.64374650898446</v>
      </c>
      <c r="I48" s="847">
        <f t="shared" ref="I48:I55" si="29">H48/A48*20</f>
        <v>117.42421204865897</v>
      </c>
      <c r="J48" s="1658">
        <f t="shared" ref="J48:J55" si="30">SQRT(H48/E48)</f>
        <v>4.0722383279960424</v>
      </c>
      <c r="K48" s="1658">
        <f t="shared" ref="K48:K55" si="31">3.14159*10*A48/E48</f>
        <v>88.733624454148483</v>
      </c>
      <c r="L48" s="1401">
        <v>1132</v>
      </c>
      <c r="M48" s="1401">
        <f>L48*G48</f>
        <v>39955.915789262493</v>
      </c>
      <c r="N48" s="843">
        <v>873.18</v>
      </c>
      <c r="O48" s="859">
        <v>2.91</v>
      </c>
      <c r="P48" s="1720">
        <f>N48/O48</f>
        <v>300.06185567010306</v>
      </c>
      <c r="Q48" s="1519">
        <f>P48/G48</f>
        <v>8.5011196442114194</v>
      </c>
    </row>
    <row r="49" spans="1:21">
      <c r="A49" s="1657">
        <v>168.1</v>
      </c>
      <c r="B49" s="1406"/>
      <c r="C49" s="846">
        <v>6</v>
      </c>
      <c r="D49" s="1406"/>
      <c r="E49" s="846">
        <f t="shared" si="26"/>
        <v>30.555104339999978</v>
      </c>
      <c r="F49" s="842"/>
      <c r="G49" s="846">
        <f t="shared" si="27"/>
        <v>23.985756906899983</v>
      </c>
      <c r="H49" s="847">
        <f t="shared" si="28"/>
        <v>1004.9730412335739</v>
      </c>
      <c r="I49" s="847">
        <f t="shared" si="29"/>
        <v>119.56847605396477</v>
      </c>
      <c r="J49" s="1658">
        <f t="shared" si="30"/>
        <v>5.7350250653331951</v>
      </c>
      <c r="K49" s="1658">
        <f t="shared" si="31"/>
        <v>172.83569812872724</v>
      </c>
      <c r="L49" s="1401">
        <v>1132</v>
      </c>
      <c r="M49" s="1401">
        <f>L49*G49</f>
        <v>27151.876818610781</v>
      </c>
      <c r="P49" s="843">
        <v>13</v>
      </c>
      <c r="Q49" s="830">
        <f>P49/G49</f>
        <v>0.54198831625197907</v>
      </c>
    </row>
    <row r="50" spans="1:21">
      <c r="A50" s="1657">
        <v>101.6</v>
      </c>
      <c r="B50" s="1406"/>
      <c r="C50" s="846">
        <v>8</v>
      </c>
      <c r="D50" s="1406"/>
      <c r="E50" s="846">
        <f t="shared" si="26"/>
        <v>23.524225920000003</v>
      </c>
      <c r="F50" s="842"/>
      <c r="G50" s="846">
        <f t="shared" si="27"/>
        <v>18.466517347200003</v>
      </c>
      <c r="H50" s="847">
        <f t="shared" si="28"/>
        <v>259.50044096870403</v>
      </c>
      <c r="I50" s="847">
        <f t="shared" si="29"/>
        <v>51.082763970217329</v>
      </c>
      <c r="J50" s="1658">
        <f t="shared" si="30"/>
        <v>3.3213250367887812</v>
      </c>
      <c r="K50" s="1658">
        <f t="shared" si="31"/>
        <v>135.68376068376065</v>
      </c>
      <c r="L50" s="830">
        <v>370</v>
      </c>
      <c r="M50" s="1401">
        <f>L50*G50</f>
        <v>6832.611418464001</v>
      </c>
    </row>
    <row r="51" spans="1:21">
      <c r="A51" s="1657">
        <v>168</v>
      </c>
      <c r="B51" s="1406"/>
      <c r="C51" s="846">
        <v>4</v>
      </c>
      <c r="D51" s="1406"/>
      <c r="E51" s="846">
        <f t="shared" si="26"/>
        <v>20.608830399999999</v>
      </c>
      <c r="F51" s="842"/>
      <c r="G51" s="846">
        <f t="shared" si="27"/>
        <v>16.177931863999998</v>
      </c>
      <c r="H51" s="847">
        <f t="shared" si="28"/>
        <v>693.28105465600004</v>
      </c>
      <c r="I51" s="847">
        <f t="shared" si="29"/>
        <v>82.533458887619048</v>
      </c>
      <c r="J51" s="1658">
        <f t="shared" si="30"/>
        <v>5.8</v>
      </c>
      <c r="K51" s="1658">
        <f t="shared" si="31"/>
        <v>256.09756097560978</v>
      </c>
    </row>
    <row r="52" spans="1:21">
      <c r="A52" s="1657">
        <v>273</v>
      </c>
      <c r="B52" s="1406"/>
      <c r="C52" s="846">
        <v>3.6</v>
      </c>
      <c r="D52" s="1406"/>
      <c r="E52" s="846">
        <f t="shared" si="26"/>
        <v>30.468396456000004</v>
      </c>
      <c r="F52" s="842"/>
      <c r="G52" s="846">
        <f t="shared" si="27"/>
        <v>23.917691217960005</v>
      </c>
      <c r="H52" s="847">
        <f t="shared" si="28"/>
        <v>2764.6002252893127</v>
      </c>
      <c r="I52" s="847">
        <f t="shared" si="29"/>
        <v>202.53481503951008</v>
      </c>
      <c r="J52" s="1658">
        <f t="shared" si="30"/>
        <v>9.5255787225763875</v>
      </c>
      <c r="K52" s="1658">
        <f t="shared" si="31"/>
        <v>281.48973026478586</v>
      </c>
    </row>
    <row r="53" spans="1:21">
      <c r="A53" s="1657">
        <v>219</v>
      </c>
      <c r="B53" s="1406"/>
      <c r="C53" s="846">
        <v>6.3</v>
      </c>
      <c r="D53" s="1406"/>
      <c r="E53" s="846">
        <f t="shared" si="26"/>
        <v>42.097620159000009</v>
      </c>
      <c r="F53" s="842"/>
      <c r="G53" s="846">
        <f t="shared" si="27"/>
        <v>33.046631824815009</v>
      </c>
      <c r="H53" s="847">
        <f t="shared" si="28"/>
        <v>2382.7768705840954</v>
      </c>
      <c r="I53" s="847">
        <f t="shared" si="29"/>
        <v>217.60519366064798</v>
      </c>
      <c r="J53" s="1658">
        <f t="shared" si="30"/>
        <v>7.523378562853261</v>
      </c>
      <c r="K53" s="1658">
        <f t="shared" si="31"/>
        <v>163.43161618196876</v>
      </c>
    </row>
    <row r="54" spans="1:21">
      <c r="A54" s="1657">
        <v>244.5</v>
      </c>
      <c r="B54" s="1406"/>
      <c r="C54" s="846">
        <v>4.5</v>
      </c>
      <c r="D54" s="1406"/>
      <c r="E54" s="846">
        <f t="shared" si="26"/>
        <v>33.929172000000001</v>
      </c>
      <c r="F54" s="842"/>
      <c r="G54" s="846">
        <f t="shared" si="27"/>
        <v>26.634400020000001</v>
      </c>
      <c r="H54" s="847">
        <f t="shared" si="28"/>
        <v>2443.7592161662501</v>
      </c>
      <c r="I54" s="847">
        <f t="shared" si="29"/>
        <v>199.8985043898773</v>
      </c>
      <c r="J54" s="1658">
        <f t="shared" si="30"/>
        <v>8.4867727965346162</v>
      </c>
      <c r="K54" s="1658">
        <f t="shared" si="31"/>
        <v>226.38888888888889</v>
      </c>
      <c r="O54" s="830">
        <f>6*75</f>
        <v>450</v>
      </c>
      <c r="P54" s="865">
        <f>O54*N55</f>
        <v>562.5</v>
      </c>
      <c r="Q54" s="843">
        <f>P54/E55</f>
        <v>1.2489499317452084</v>
      </c>
    </row>
    <row r="55" spans="1:21">
      <c r="A55" s="847">
        <v>1800</v>
      </c>
      <c r="B55" s="1406"/>
      <c r="C55" s="846">
        <v>8</v>
      </c>
      <c r="D55" s="1406"/>
      <c r="E55" s="846">
        <f t="shared" si="26"/>
        <v>450.37834239999995</v>
      </c>
      <c r="F55" s="842"/>
      <c r="G55" s="846">
        <f t="shared" si="27"/>
        <v>353.54699878399998</v>
      </c>
      <c r="H55" s="847">
        <f t="shared" si="28"/>
        <v>1807890.7269283864</v>
      </c>
      <c r="I55" s="847">
        <f t="shared" si="29"/>
        <v>20087.674743648739</v>
      </c>
      <c r="J55" s="1658">
        <f t="shared" si="30"/>
        <v>63.357398936509426</v>
      </c>
      <c r="K55" s="1658">
        <f t="shared" si="31"/>
        <v>125.55803571428574</v>
      </c>
      <c r="L55" s="847">
        <v>2700</v>
      </c>
      <c r="M55" s="1717">
        <f>L55/J55</f>
        <v>42.615385816353907</v>
      </c>
      <c r="N55" s="830">
        <v>1.25</v>
      </c>
      <c r="P55" s="865"/>
      <c r="Q55" s="843"/>
    </row>
    <row r="56" spans="1:21">
      <c r="A56" s="847">
        <v>2700</v>
      </c>
      <c r="B56" s="1406"/>
      <c r="C56" s="846">
        <v>6</v>
      </c>
      <c r="D56" s="1406"/>
      <c r="E56" s="846">
        <f t="shared" si="26"/>
        <v>507.80660760000001</v>
      </c>
      <c r="F56" s="842"/>
      <c r="G56" s="846">
        <f t="shared" si="27"/>
        <v>398.62818696600004</v>
      </c>
      <c r="H56" s="847">
        <f>3.14159*(A56*A56*A56*A56/10000-(A56-2*C56)*(A56-2*C56)*(A56-2*C56)*(A56-2*C56)/10000)/64</f>
        <v>4606867.2467418816</v>
      </c>
      <c r="I56" s="847">
        <f>H56/A56*20</f>
        <v>34124.942568458384</v>
      </c>
      <c r="J56" s="1658">
        <f>SQRT(H56/E56)</f>
        <v>95.247519652744742</v>
      </c>
      <c r="K56" s="1658">
        <f>3.14159*10*A56/E56</f>
        <v>167.0378619153675</v>
      </c>
    </row>
    <row r="57" spans="1:21" s="864" customFormat="1">
      <c r="A57" s="1657">
        <v>127</v>
      </c>
      <c r="B57" s="1406"/>
      <c r="C57" s="846">
        <v>6</v>
      </c>
      <c r="D57" s="1406"/>
      <c r="E57" s="846">
        <f t="shared" si="26"/>
        <v>22.807943399999999</v>
      </c>
      <c r="F57" s="842"/>
      <c r="G57" s="846">
        <f t="shared" si="27"/>
        <v>17.904235569000001</v>
      </c>
      <c r="H57" s="847">
        <f>3.14159*(A57*A57*A57*A57/10000-(A57-2*C57)*(A57-2*C57)*(A57-2*C57)*(A57-2*C57)/10000)/64</f>
        <v>418.44023160225004</v>
      </c>
      <c r="I57" s="847">
        <f>H57/A57*20</f>
        <v>65.896099464921264</v>
      </c>
      <c r="J57" s="1658">
        <f>SQRT(H57/E57)</f>
        <v>4.2832522690124151</v>
      </c>
      <c r="K57" s="1658">
        <f>3.14159*10*A57/E57</f>
        <v>174.93112947658403</v>
      </c>
      <c r="L57" s="863"/>
      <c r="M57" s="830"/>
      <c r="N57" s="830"/>
    </row>
    <row r="58" spans="1:21" s="864" customFormat="1">
      <c r="A58" s="830"/>
      <c r="B58" s="830"/>
      <c r="C58" s="830"/>
      <c r="D58" s="830"/>
      <c r="E58" s="830"/>
      <c r="F58" s="830"/>
      <c r="G58" s="830"/>
      <c r="H58" s="830"/>
      <c r="I58" s="830"/>
      <c r="J58" s="830"/>
      <c r="K58" s="830"/>
      <c r="L58" s="830"/>
      <c r="M58" s="830"/>
      <c r="N58" s="830"/>
    </row>
    <row r="59" spans="1:21">
      <c r="A59" s="1728" t="s">
        <v>141</v>
      </c>
      <c r="B59" s="1728"/>
      <c r="C59" s="1728"/>
      <c r="D59" s="1728"/>
      <c r="E59" s="1728"/>
      <c r="F59" s="1728"/>
      <c r="G59" s="1728"/>
      <c r="H59" s="1728"/>
      <c r="I59" s="1728"/>
      <c r="J59" s="1728"/>
      <c r="K59" s="864"/>
      <c r="L59" s="864"/>
      <c r="M59" s="864"/>
      <c r="N59" s="864"/>
    </row>
    <row r="60" spans="1:21">
      <c r="A60" s="831" t="s">
        <v>132</v>
      </c>
      <c r="B60" s="832"/>
      <c r="C60" s="832"/>
      <c r="D60" s="832"/>
      <c r="E60" s="833" t="s">
        <v>578</v>
      </c>
      <c r="F60" s="833" t="s">
        <v>136</v>
      </c>
      <c r="G60" s="833" t="s">
        <v>572</v>
      </c>
      <c r="H60" s="833" t="s">
        <v>56</v>
      </c>
      <c r="I60" s="833" t="s">
        <v>1952</v>
      </c>
      <c r="J60" s="852" t="s">
        <v>105</v>
      </c>
      <c r="K60" s="852" t="s">
        <v>94</v>
      </c>
      <c r="L60" s="852"/>
      <c r="M60" s="852"/>
      <c r="N60" s="852"/>
    </row>
    <row r="61" spans="1:21">
      <c r="A61" s="836" t="s">
        <v>142</v>
      </c>
      <c r="B61" s="837"/>
      <c r="C61" s="837"/>
      <c r="D61" s="837"/>
      <c r="E61" s="838" t="s">
        <v>110</v>
      </c>
      <c r="F61" s="838" t="s">
        <v>137</v>
      </c>
      <c r="G61" s="838" t="s">
        <v>599</v>
      </c>
      <c r="H61" s="838" t="s">
        <v>111</v>
      </c>
      <c r="I61" s="838" t="s">
        <v>72</v>
      </c>
      <c r="J61" s="838" t="s">
        <v>607</v>
      </c>
      <c r="K61" s="838" t="s">
        <v>607</v>
      </c>
      <c r="L61" s="838" t="s">
        <v>143</v>
      </c>
      <c r="M61" s="838"/>
      <c r="N61" s="838"/>
      <c r="O61" s="830">
        <v>1.5</v>
      </c>
      <c r="P61" s="863">
        <f>O61*E62*2</f>
        <v>9.4247699999999988</v>
      </c>
      <c r="Q61" s="830">
        <v>1.5</v>
      </c>
      <c r="R61" s="863">
        <f>P61/Q61</f>
        <v>6.2831799999999989</v>
      </c>
      <c r="S61" s="847">
        <v>1377</v>
      </c>
      <c r="T61" s="830">
        <v>377</v>
      </c>
      <c r="U61" s="863">
        <f>R61*S61/T61</f>
        <v>22.9494399469496</v>
      </c>
    </row>
    <row r="62" spans="1:21">
      <c r="A62" s="846">
        <v>20</v>
      </c>
      <c r="B62" s="846"/>
      <c r="C62" s="846"/>
      <c r="D62" s="846"/>
      <c r="E62" s="846">
        <f>3.14159*A62*A62/400</f>
        <v>3.1415899999999999</v>
      </c>
      <c r="F62" s="846">
        <v>7.85</v>
      </c>
      <c r="G62" s="846">
        <f>E62*0.785</f>
        <v>2.46614815</v>
      </c>
      <c r="H62" s="846">
        <f>3.14159*A62*A62*A62*A62/640000</f>
        <v>0.78539750000000008</v>
      </c>
      <c r="I62" s="846">
        <f>3.14159*A62*A62*A62/32000</f>
        <v>0.78539750000000008</v>
      </c>
      <c r="J62" s="846">
        <f>SQRT(H62/E62)</f>
        <v>0.5</v>
      </c>
      <c r="K62" s="889">
        <f>260*1.45</f>
        <v>377</v>
      </c>
      <c r="L62" s="890">
        <f>K62/J62</f>
        <v>754</v>
      </c>
      <c r="M62" s="847">
        <v>21000</v>
      </c>
      <c r="N62" s="847">
        <f>M62*G62</f>
        <v>51789.111149999997</v>
      </c>
      <c r="R62" s="830" t="s">
        <v>319</v>
      </c>
    </row>
    <row r="63" spans="1:21" s="835" customFormat="1">
      <c r="A63" s="846">
        <v>130</v>
      </c>
      <c r="B63" s="846"/>
      <c r="C63" s="846"/>
      <c r="D63" s="846"/>
      <c r="E63" s="846">
        <f>3.14159*A63*A63/400</f>
        <v>132.73217750000001</v>
      </c>
      <c r="F63" s="846">
        <v>7.85</v>
      </c>
      <c r="G63" s="846">
        <f>E63*0.785</f>
        <v>104.1947593375</v>
      </c>
      <c r="H63" s="1717">
        <f>3.14159*A63*A63*A63*A63/640000</f>
        <v>1401.98362484375</v>
      </c>
      <c r="I63" s="846">
        <f>3.14159*A63*A63*A63/32000</f>
        <v>215.6897884375</v>
      </c>
      <c r="J63" s="846">
        <f>SQRT(H63/E63)</f>
        <v>3.25</v>
      </c>
      <c r="K63" s="889">
        <f>260*1.45</f>
        <v>377</v>
      </c>
      <c r="L63" s="890">
        <f>K63/J63</f>
        <v>116</v>
      </c>
      <c r="M63" s="1717">
        <f>G63*0.12</f>
        <v>12.503371120500001</v>
      </c>
      <c r="N63" s="1717"/>
    </row>
    <row r="64" spans="1:21">
      <c r="A64" s="846">
        <v>22</v>
      </c>
      <c r="B64" s="846"/>
      <c r="C64" s="846"/>
      <c r="D64" s="846"/>
      <c r="E64" s="846">
        <f>3.14159*A64*A64/400</f>
        <v>3.8013238999999999</v>
      </c>
      <c r="F64" s="846">
        <v>7.85</v>
      </c>
      <c r="G64" s="846">
        <f>E64*0.785</f>
        <v>2.9840392615</v>
      </c>
      <c r="H64" s="846">
        <f>3.14159*A64*A64*A64*A64/640000</f>
        <v>1.1499004797499999</v>
      </c>
      <c r="I64" s="846">
        <f>3.14159*A64*A64*A64/32000</f>
        <v>1.0453640725</v>
      </c>
      <c r="J64" s="846">
        <f>SQRT(H64/E64)</f>
        <v>0.55000000000000004</v>
      </c>
      <c r="K64" s="889">
        <f>260*1.45</f>
        <v>377</v>
      </c>
      <c r="L64" s="890">
        <f>K64/J64</f>
        <v>685.45454545454538</v>
      </c>
      <c r="M64" s="1717"/>
      <c r="N64" s="1717"/>
    </row>
    <row r="65" spans="1:17">
      <c r="A65" s="846">
        <v>24</v>
      </c>
      <c r="B65" s="846"/>
      <c r="C65" s="846"/>
      <c r="D65" s="846"/>
      <c r="E65" s="846">
        <f>3.14159*A65*A65/400</f>
        <v>4.5238895999999995</v>
      </c>
      <c r="F65" s="846">
        <v>7.85</v>
      </c>
      <c r="G65" s="846">
        <f>E65*0.785</f>
        <v>3.5512533359999998</v>
      </c>
      <c r="H65" s="846">
        <f>3.14159*A65*A65*A65*A65/640000</f>
        <v>1.6286002559999997</v>
      </c>
      <c r="I65" s="846">
        <f>3.14159*A65*A65*A65/32000</f>
        <v>1.3571668799999999</v>
      </c>
      <c r="J65" s="846">
        <f>SQRT(H65/E65)</f>
        <v>0.6</v>
      </c>
      <c r="K65" s="889">
        <f>260*1.45</f>
        <v>377</v>
      </c>
      <c r="L65" s="890">
        <f>K65/J65</f>
        <v>628.33333333333337</v>
      </c>
      <c r="M65" s="1717"/>
      <c r="N65" s="1717"/>
      <c r="O65" s="847">
        <v>289</v>
      </c>
      <c r="P65" s="847">
        <v>150</v>
      </c>
      <c r="Q65" s="1717">
        <f>O65/P65</f>
        <v>1.9266666666666667</v>
      </c>
    </row>
    <row r="66" spans="1:17">
      <c r="A66" s="846">
        <v>31</v>
      </c>
      <c r="B66" s="846"/>
      <c r="C66" s="846"/>
      <c r="D66" s="846"/>
      <c r="E66" s="846">
        <f>3.14159*A66*A66/400</f>
        <v>7.5476699749999998</v>
      </c>
      <c r="F66" s="846">
        <v>7.85</v>
      </c>
      <c r="G66" s="846">
        <f>E66*0.785</f>
        <v>5.9249209303750003</v>
      </c>
      <c r="H66" s="846">
        <f>3.14159*A66*A66*A66*A66/640000</f>
        <v>4.5333192787343757</v>
      </c>
      <c r="I66" s="846">
        <f>3.14159*A66*A66*A66/32000</f>
        <v>2.9247221153125</v>
      </c>
      <c r="J66" s="846">
        <f>SQRT(H66/E66)</f>
        <v>0.77500000000000002</v>
      </c>
      <c r="K66" s="889">
        <f>260*1.45</f>
        <v>377</v>
      </c>
      <c r="L66" s="890">
        <f>K66/J66</f>
        <v>486.45161290322579</v>
      </c>
      <c r="M66" s="1717"/>
      <c r="N66" s="1717"/>
    </row>
    <row r="67" spans="1:17">
      <c r="A67" s="867"/>
      <c r="B67" s="867"/>
      <c r="C67" s="867"/>
      <c r="D67" s="867"/>
      <c r="E67" s="867"/>
      <c r="F67" s="867"/>
      <c r="G67" s="867"/>
    </row>
    <row r="68" spans="1:17" s="835" customFormat="1">
      <c r="A68" s="864"/>
      <c r="B68" s="829"/>
      <c r="C68" s="829"/>
      <c r="D68" s="829"/>
      <c r="E68" s="864"/>
      <c r="F68" s="829"/>
      <c r="G68" s="829"/>
      <c r="H68" s="829"/>
      <c r="I68" s="829"/>
      <c r="J68" s="829"/>
      <c r="K68" s="829"/>
      <c r="L68" s="829"/>
      <c r="M68" s="829"/>
      <c r="N68" s="830"/>
    </row>
    <row r="69" spans="1:17" s="835" customFormat="1">
      <c r="A69" s="829" t="s">
        <v>144</v>
      </c>
      <c r="B69" s="829"/>
      <c r="C69" s="829"/>
      <c r="D69" s="829"/>
      <c r="E69" s="829"/>
      <c r="F69" s="829"/>
      <c r="G69" s="829"/>
      <c r="H69" s="829"/>
      <c r="I69" s="829"/>
      <c r="J69" s="829"/>
      <c r="K69" s="829"/>
      <c r="L69" s="829"/>
      <c r="M69" s="829"/>
    </row>
    <row r="70" spans="1:17">
      <c r="A70" s="871"/>
      <c r="B70" s="831" t="s">
        <v>132</v>
      </c>
      <c r="C70" s="832"/>
      <c r="D70" s="832"/>
      <c r="E70" s="832"/>
      <c r="F70" s="833" t="s">
        <v>578</v>
      </c>
      <c r="G70" s="845" t="s">
        <v>136</v>
      </c>
      <c r="H70" s="833" t="s">
        <v>572</v>
      </c>
      <c r="I70" s="833" t="s">
        <v>56</v>
      </c>
      <c r="J70" s="833" t="s">
        <v>1952</v>
      </c>
      <c r="K70" s="833" t="s">
        <v>105</v>
      </c>
      <c r="L70" s="833" t="s">
        <v>106</v>
      </c>
      <c r="M70" s="833" t="s">
        <v>0</v>
      </c>
      <c r="N70" s="834" t="s">
        <v>107</v>
      </c>
      <c r="O70" s="834" t="s">
        <v>145</v>
      </c>
      <c r="P70" s="834" t="s">
        <v>577</v>
      </c>
      <c r="Q70" s="833" t="s">
        <v>146</v>
      </c>
    </row>
    <row r="71" spans="1:17">
      <c r="A71" s="872" t="s">
        <v>147</v>
      </c>
      <c r="B71" s="836" t="s">
        <v>570</v>
      </c>
      <c r="C71" s="837" t="s">
        <v>1746</v>
      </c>
      <c r="D71" s="837" t="s">
        <v>108</v>
      </c>
      <c r="E71" s="837" t="s">
        <v>109</v>
      </c>
      <c r="F71" s="838" t="s">
        <v>110</v>
      </c>
      <c r="G71" s="838" t="s">
        <v>137</v>
      </c>
      <c r="H71" s="838" t="s">
        <v>599</v>
      </c>
      <c r="I71" s="838" t="s">
        <v>111</v>
      </c>
      <c r="J71" s="838" t="s">
        <v>72</v>
      </c>
      <c r="K71" s="838" t="s">
        <v>607</v>
      </c>
      <c r="L71" s="838" t="s">
        <v>111</v>
      </c>
      <c r="M71" s="838" t="s">
        <v>72</v>
      </c>
      <c r="N71" s="839" t="s">
        <v>607</v>
      </c>
      <c r="O71" s="839" t="s">
        <v>607</v>
      </c>
      <c r="P71" s="839" t="s">
        <v>607</v>
      </c>
      <c r="Q71" s="838" t="s">
        <v>111</v>
      </c>
    </row>
    <row r="72" spans="1:17">
      <c r="A72" s="854">
        <v>1</v>
      </c>
      <c r="B72" s="873">
        <v>100</v>
      </c>
      <c r="C72" s="854">
        <v>100</v>
      </c>
      <c r="D72" s="873">
        <v>4</v>
      </c>
      <c r="E72" s="854">
        <f>D72</f>
        <v>4</v>
      </c>
      <c r="F72" s="855">
        <f>(C72*B72-(C72-2*D72)*(B72-2*E72))/100</f>
        <v>15.36</v>
      </c>
      <c r="G72" s="842">
        <v>7.85</v>
      </c>
      <c r="H72" s="842">
        <f>F72*G72/10</f>
        <v>12.057599999999999</v>
      </c>
      <c r="I72" s="856">
        <f>(C72*B72*B72*B72-(C72-2*D72)*(B72-2*E72)*(B72-2*E72)*(B72-2*E72))/12/10000</f>
        <v>236.33920000000001</v>
      </c>
      <c r="J72" s="856">
        <f>2*10*I72/B72</f>
        <v>47.26784</v>
      </c>
      <c r="K72" s="856">
        <f>SQRT(I72/F72)</f>
        <v>3.9225841822281731</v>
      </c>
      <c r="L72" s="856">
        <f>(B72*C72*C72*C72-(B72-2*E72)*(C72-2*D72)*(C72-2*D72)*(C72-2*D72))/12/10000</f>
        <v>236.33920000000001</v>
      </c>
      <c r="M72" s="856">
        <f>2*10*L72/C72</f>
        <v>47.26784</v>
      </c>
      <c r="N72" s="856">
        <f>SQRT(L72/F72)</f>
        <v>3.9225841822281731</v>
      </c>
      <c r="O72" s="861">
        <f>(F73*B73/2+F72*(B73+B72/2))/(F74*10)</f>
        <v>9.6195121951219509</v>
      </c>
      <c r="P72" s="856">
        <f>(B73+B72/2-O72*10)/10</f>
        <v>3.3804878048780496</v>
      </c>
      <c r="Q72" s="856">
        <f>I72+F72*P72*P72</f>
        <v>411.86863819155269</v>
      </c>
    </row>
    <row r="73" spans="1:17">
      <c r="A73" s="848">
        <v>2</v>
      </c>
      <c r="B73" s="874">
        <v>80</v>
      </c>
      <c r="C73" s="848">
        <v>80</v>
      </c>
      <c r="D73" s="874">
        <v>3</v>
      </c>
      <c r="E73" s="848">
        <f>D73</f>
        <v>3</v>
      </c>
      <c r="F73" s="849">
        <f>(C73*B73-(C73-2*D73)*(B73-2*E73))/100</f>
        <v>9.24</v>
      </c>
      <c r="G73" s="842">
        <f>G72</f>
        <v>7.85</v>
      </c>
      <c r="H73" s="842">
        <f>F73*G73/10</f>
        <v>7.2533999999999992</v>
      </c>
      <c r="I73" s="861">
        <f>(C73*B73*B73*B73-(C73-2*D73)*(B73-2*E73)*(B73-2*E73)*(B73-2*E73))/12/10000</f>
        <v>91.4452</v>
      </c>
      <c r="J73" s="861">
        <f>2*10*I73/B73</f>
        <v>22.8613</v>
      </c>
      <c r="K73" s="861">
        <f>SQRT(I73/F73)</f>
        <v>3.1458967984768136</v>
      </c>
      <c r="L73" s="861">
        <f>(B73*C73*C73*C73-(B73-2*E73)*(C73-2*D73)*(C73-2*D73)*(C73-2*D73))/12/10000</f>
        <v>91.4452</v>
      </c>
      <c r="M73" s="861">
        <f>2*10*L73/C73</f>
        <v>22.8613</v>
      </c>
      <c r="N73" s="861">
        <f>SQRT(L73/F73)</f>
        <v>3.1458967984768136</v>
      </c>
      <c r="O73" s="861">
        <f>B74/10-O72</f>
        <v>8.3804878048780491</v>
      </c>
      <c r="P73" s="861">
        <f>O72-B73/20</f>
        <v>5.6195121951219509</v>
      </c>
      <c r="Q73" s="861">
        <f>I73+F73*P73*P73</f>
        <v>383.23439595478879</v>
      </c>
    </row>
    <row r="74" spans="1:17">
      <c r="A74" s="875" t="s">
        <v>148</v>
      </c>
      <c r="B74" s="875">
        <f>SUM(B72:B73)</f>
        <v>180</v>
      </c>
      <c r="C74" s="875">
        <f>C72</f>
        <v>100</v>
      </c>
      <c r="D74" s="875"/>
      <c r="E74" s="875"/>
      <c r="F74" s="876">
        <f>SUM(F72:F73)</f>
        <v>24.6</v>
      </c>
      <c r="G74" s="877">
        <f>G73</f>
        <v>7.85</v>
      </c>
      <c r="H74" s="877">
        <f>F74*G74/10</f>
        <v>19.311</v>
      </c>
      <c r="I74" s="876">
        <f>SUM(Q72:Q73)</f>
        <v>795.10303414634154</v>
      </c>
      <c r="J74" s="876">
        <f>2*10*I74/B74</f>
        <v>88.34478157181573</v>
      </c>
      <c r="K74" s="876">
        <f>SQRT(I74/F74)</f>
        <v>5.6851791133318121</v>
      </c>
      <c r="L74" s="876">
        <f>SUM(L72:L73)</f>
        <v>327.78440000000001</v>
      </c>
      <c r="M74" s="876">
        <f>2*10*L74/C74</f>
        <v>65.556880000000007</v>
      </c>
      <c r="N74" s="876">
        <f>SQRT(L74/F74)</f>
        <v>3.6502834281314454</v>
      </c>
      <c r="O74" s="863">
        <f>SUM(O72:O73)</f>
        <v>18</v>
      </c>
      <c r="P74" s="849"/>
      <c r="Q74" s="849"/>
    </row>
  </sheetData>
  <mergeCells count="6">
    <mergeCell ref="A44:J44"/>
    <mergeCell ref="A59:J59"/>
    <mergeCell ref="A1:N1"/>
    <mergeCell ref="A7:M7"/>
    <mergeCell ref="L45:M45"/>
    <mergeCell ref="A45:D45"/>
  </mergeCells>
  <phoneticPr fontId="68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horizontalDpi="200" verticalDpi="2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0"/>
  <sheetViews>
    <sheetView topLeftCell="A34" zoomScale="85" zoomScaleNormal="85" workbookViewId="0">
      <selection activeCell="E46" sqref="E46"/>
    </sheetView>
  </sheetViews>
  <sheetFormatPr defaultColWidth="9.140625" defaultRowHeight="12.75"/>
  <cols>
    <col min="1" max="1" width="7.7109375" style="1422" customWidth="1"/>
    <col min="2" max="16384" width="9.140625" style="1422"/>
  </cols>
  <sheetData>
    <row r="1" spans="1:17" ht="13.5" thickBot="1"/>
    <row r="2" spans="1:17" ht="20.25" thickBot="1">
      <c r="B2" s="1423" t="s">
        <v>492</v>
      </c>
      <c r="C2" s="1424" t="s">
        <v>493</v>
      </c>
      <c r="D2" s="1424" t="s">
        <v>494</v>
      </c>
      <c r="E2" s="1424" t="s">
        <v>494</v>
      </c>
      <c r="F2" s="1424" t="s">
        <v>495</v>
      </c>
      <c r="G2" s="1424" t="s">
        <v>496</v>
      </c>
      <c r="H2" s="1424" t="s">
        <v>497</v>
      </c>
      <c r="I2" s="1424" t="s">
        <v>498</v>
      </c>
      <c r="J2" s="1424" t="s">
        <v>499</v>
      </c>
      <c r="K2" s="1424" t="s">
        <v>500</v>
      </c>
      <c r="L2" s="1424" t="s">
        <v>501</v>
      </c>
      <c r="M2" s="1424" t="s">
        <v>502</v>
      </c>
      <c r="N2" s="1424" t="s">
        <v>503</v>
      </c>
      <c r="O2" s="1424" t="s">
        <v>504</v>
      </c>
      <c r="P2" s="1424" t="s">
        <v>1705</v>
      </c>
      <c r="Q2" s="1424" t="s">
        <v>286</v>
      </c>
    </row>
    <row r="3" spans="1:17" ht="16.5" thickBot="1">
      <c r="B3" s="1425"/>
      <c r="C3" s="1426" t="s">
        <v>505</v>
      </c>
      <c r="D3" s="1426" t="s">
        <v>506</v>
      </c>
      <c r="E3" s="1426" t="s">
        <v>507</v>
      </c>
      <c r="F3" s="1426" t="s">
        <v>508</v>
      </c>
      <c r="G3" s="1426" t="s">
        <v>509</v>
      </c>
      <c r="H3" s="1426" t="s">
        <v>599</v>
      </c>
      <c r="I3" s="1426" t="s">
        <v>110</v>
      </c>
      <c r="J3" s="1426" t="s">
        <v>111</v>
      </c>
      <c r="K3" s="1426" t="s">
        <v>72</v>
      </c>
      <c r="L3" s="1426" t="s">
        <v>111</v>
      </c>
      <c r="M3" s="1426" t="s">
        <v>111</v>
      </c>
      <c r="N3" s="1426" t="s">
        <v>607</v>
      </c>
      <c r="O3" s="1426" t="s">
        <v>607</v>
      </c>
      <c r="P3" s="1426" t="s">
        <v>601</v>
      </c>
      <c r="Q3" s="1426" t="s">
        <v>601</v>
      </c>
    </row>
    <row r="4" spans="1:17" ht="13.5" thickBot="1">
      <c r="A4" s="1427" t="s">
        <v>155</v>
      </c>
      <c r="B4" s="1428" t="s">
        <v>510</v>
      </c>
      <c r="C4" s="1429">
        <v>40</v>
      </c>
      <c r="D4" s="1429">
        <v>40</v>
      </c>
      <c r="E4" s="1429">
        <v>86</v>
      </c>
      <c r="F4" s="1429">
        <v>0.5</v>
      </c>
      <c r="G4" s="1429">
        <v>25</v>
      </c>
      <c r="H4" s="1429">
        <v>0.70399999999999996</v>
      </c>
      <c r="I4" s="1429">
        <v>0.9</v>
      </c>
      <c r="J4" s="1429">
        <v>2.3199999999999998</v>
      </c>
      <c r="K4" s="1429">
        <v>1.0900000000000001</v>
      </c>
      <c r="L4" s="1429">
        <v>12.58</v>
      </c>
      <c r="M4" s="1429">
        <v>1.86</v>
      </c>
      <c r="N4" s="1429">
        <v>1.61</v>
      </c>
      <c r="O4" s="1429">
        <v>3.74</v>
      </c>
      <c r="P4" s="1429">
        <v>21.23</v>
      </c>
      <c r="Q4" s="1429">
        <v>67.66</v>
      </c>
    </row>
    <row r="5" spans="1:17" ht="13.5" thickBot="1">
      <c r="A5" s="1427" t="s">
        <v>155</v>
      </c>
      <c r="B5" s="1430" t="s">
        <v>511</v>
      </c>
      <c r="C5" s="1431">
        <v>40</v>
      </c>
      <c r="D5" s="1431">
        <v>40</v>
      </c>
      <c r="E5" s="1431">
        <v>86</v>
      </c>
      <c r="F5" s="1431">
        <v>0.7</v>
      </c>
      <c r="G5" s="1431">
        <v>25</v>
      </c>
      <c r="H5" s="1431">
        <v>0.98299999999999998</v>
      </c>
      <c r="I5" s="1431">
        <v>1.25</v>
      </c>
      <c r="J5" s="1431">
        <v>3.22</v>
      </c>
      <c r="K5" s="1431">
        <v>1.51</v>
      </c>
      <c r="L5" s="1431">
        <v>17.47</v>
      </c>
      <c r="M5" s="1431">
        <v>2.59</v>
      </c>
      <c r="N5" s="1431">
        <v>1.6</v>
      </c>
      <c r="O5" s="1431">
        <v>3.74</v>
      </c>
      <c r="P5" s="1431">
        <v>21.28</v>
      </c>
      <c r="Q5" s="1431">
        <v>67.489999999999995</v>
      </c>
    </row>
    <row r="6" spans="1:17" ht="13.5" thickBot="1">
      <c r="A6" s="1427" t="s">
        <v>155</v>
      </c>
      <c r="B6" s="1428" t="s">
        <v>512</v>
      </c>
      <c r="C6" s="1429">
        <v>40</v>
      </c>
      <c r="D6" s="1429">
        <v>40</v>
      </c>
      <c r="E6" s="1429">
        <v>86</v>
      </c>
      <c r="F6" s="1429">
        <v>1</v>
      </c>
      <c r="G6" s="1429">
        <v>25</v>
      </c>
      <c r="H6" s="1429">
        <v>1.3979999999999999</v>
      </c>
      <c r="I6" s="1429">
        <v>1.78</v>
      </c>
      <c r="J6" s="1429">
        <v>4.54</v>
      </c>
      <c r="K6" s="1429">
        <v>2.13</v>
      </c>
      <c r="L6" s="1429">
        <v>24.66</v>
      </c>
      <c r="M6" s="1429">
        <v>3.67</v>
      </c>
      <c r="N6" s="1429">
        <v>1.6</v>
      </c>
      <c r="O6" s="1429">
        <v>3.72</v>
      </c>
      <c r="P6" s="1429">
        <v>21.36</v>
      </c>
      <c r="Q6" s="1429">
        <v>67.23</v>
      </c>
    </row>
    <row r="7" spans="1:17" ht="13.5" thickBot="1">
      <c r="A7" s="1427" t="s">
        <v>155</v>
      </c>
      <c r="B7" s="1430" t="s">
        <v>513</v>
      </c>
      <c r="C7" s="1431">
        <v>40</v>
      </c>
      <c r="D7" s="1431">
        <v>40</v>
      </c>
      <c r="E7" s="1431">
        <v>86</v>
      </c>
      <c r="F7" s="1431">
        <v>1.2</v>
      </c>
      <c r="G7" s="1431">
        <v>25</v>
      </c>
      <c r="H7" s="1431">
        <v>1.673</v>
      </c>
      <c r="I7" s="1431">
        <v>2.13</v>
      </c>
      <c r="J7" s="1431">
        <v>5.41</v>
      </c>
      <c r="K7" s="1431">
        <v>2.5299999999999998</v>
      </c>
      <c r="L7" s="1431">
        <v>29.36</v>
      </c>
      <c r="M7" s="1431">
        <v>4.38</v>
      </c>
      <c r="N7" s="1431">
        <v>1.59</v>
      </c>
      <c r="O7" s="1431">
        <v>3.71</v>
      </c>
      <c r="P7" s="1431">
        <v>21.41</v>
      </c>
      <c r="Q7" s="1431">
        <v>67.06</v>
      </c>
    </row>
    <row r="8" spans="1:17" ht="13.5" thickBot="1">
      <c r="A8" s="1427" t="s">
        <v>155</v>
      </c>
      <c r="B8" s="1428" t="s">
        <v>514</v>
      </c>
      <c r="C8" s="1429">
        <v>50</v>
      </c>
      <c r="D8" s="1429">
        <v>50</v>
      </c>
      <c r="E8" s="1429">
        <v>108</v>
      </c>
      <c r="F8" s="1429">
        <v>0.7</v>
      </c>
      <c r="G8" s="1429">
        <v>25</v>
      </c>
      <c r="H8" s="1429">
        <v>1.165</v>
      </c>
      <c r="I8" s="1429">
        <v>1.48</v>
      </c>
      <c r="J8" s="1429">
        <v>5.84</v>
      </c>
      <c r="K8" s="1429">
        <v>2.3199999999999998</v>
      </c>
      <c r="L8" s="1429">
        <v>28.56</v>
      </c>
      <c r="M8" s="1429">
        <v>3.65</v>
      </c>
      <c r="N8" s="1429">
        <v>1.98</v>
      </c>
      <c r="O8" s="1429">
        <v>4.3899999999999997</v>
      </c>
      <c r="P8" s="1429">
        <v>25.18</v>
      </c>
      <c r="Q8" s="1429">
        <v>78.260000000000005</v>
      </c>
    </row>
    <row r="9" spans="1:17" ht="13.5" thickBot="1">
      <c r="A9" s="1427" t="s">
        <v>155</v>
      </c>
      <c r="B9" s="1430" t="s">
        <v>515</v>
      </c>
      <c r="C9" s="1431">
        <v>50</v>
      </c>
      <c r="D9" s="1431">
        <v>50</v>
      </c>
      <c r="E9" s="1431">
        <v>108</v>
      </c>
      <c r="F9" s="1431">
        <v>1</v>
      </c>
      <c r="G9" s="1431">
        <v>25</v>
      </c>
      <c r="H9" s="1431">
        <v>1.6579999999999999</v>
      </c>
      <c r="I9" s="1431">
        <v>2.11</v>
      </c>
      <c r="J9" s="1431">
        <v>8.26</v>
      </c>
      <c r="K9" s="1431">
        <v>3.27</v>
      </c>
      <c r="L9" s="1431">
        <v>40.39</v>
      </c>
      <c r="M9" s="1431">
        <v>5.18</v>
      </c>
      <c r="N9" s="1431">
        <v>1.98</v>
      </c>
      <c r="O9" s="1431">
        <v>4.37</v>
      </c>
      <c r="P9" s="1431">
        <v>25.25</v>
      </c>
      <c r="Q9" s="1431">
        <v>78</v>
      </c>
    </row>
    <row r="10" spans="1:17" ht="13.5" thickBot="1">
      <c r="A10" s="1427" t="s">
        <v>155</v>
      </c>
      <c r="B10" s="1428" t="s">
        <v>516</v>
      </c>
      <c r="C10" s="1429">
        <v>50</v>
      </c>
      <c r="D10" s="1429">
        <v>50</v>
      </c>
      <c r="E10" s="1429">
        <v>108</v>
      </c>
      <c r="F10" s="1429">
        <v>1.2</v>
      </c>
      <c r="G10" s="1429">
        <v>25</v>
      </c>
      <c r="H10" s="1429">
        <v>1.9850000000000001</v>
      </c>
      <c r="I10" s="1429">
        <v>2.5299999999999998</v>
      </c>
      <c r="J10" s="1429">
        <v>9.85</v>
      </c>
      <c r="K10" s="1429">
        <v>3.89</v>
      </c>
      <c r="L10" s="1429">
        <v>48.14</v>
      </c>
      <c r="M10" s="1429">
        <v>6.19</v>
      </c>
      <c r="N10" s="1429">
        <v>1.97</v>
      </c>
      <c r="O10" s="1429">
        <v>4.3600000000000003</v>
      </c>
      <c r="P10" s="1429">
        <v>25.3</v>
      </c>
      <c r="Q10" s="1429">
        <v>77.83</v>
      </c>
    </row>
    <row r="11" spans="1:17" ht="13.5" thickBot="1">
      <c r="A11" s="1427" t="s">
        <v>155</v>
      </c>
      <c r="B11" s="1430" t="s">
        <v>517</v>
      </c>
      <c r="C11" s="1431">
        <v>50</v>
      </c>
      <c r="D11" s="1431">
        <v>50</v>
      </c>
      <c r="E11" s="1431">
        <v>108</v>
      </c>
      <c r="F11" s="1431">
        <v>1.5</v>
      </c>
      <c r="G11" s="1431">
        <v>25</v>
      </c>
      <c r="H11" s="1431">
        <v>2.472</v>
      </c>
      <c r="I11" s="1431">
        <v>3.15</v>
      </c>
      <c r="J11" s="1431">
        <v>12.19</v>
      </c>
      <c r="K11" s="1431">
        <v>4.8</v>
      </c>
      <c r="L11" s="1431">
        <v>59.56</v>
      </c>
      <c r="M11" s="1431">
        <v>7.68</v>
      </c>
      <c r="N11" s="1431">
        <v>1.97</v>
      </c>
      <c r="O11" s="1431">
        <v>4.3499999999999996</v>
      </c>
      <c r="P11" s="1431">
        <v>25.38</v>
      </c>
      <c r="Q11" s="1431">
        <v>77.569999999999993</v>
      </c>
    </row>
    <row r="12" spans="1:17" ht="13.5" thickBot="1">
      <c r="A12" s="1427" t="s">
        <v>155</v>
      </c>
      <c r="B12" s="1428" t="s">
        <v>518</v>
      </c>
      <c r="C12" s="1429">
        <v>60</v>
      </c>
      <c r="D12" s="1429">
        <v>60</v>
      </c>
      <c r="E12" s="1429">
        <v>129</v>
      </c>
      <c r="F12" s="1429">
        <v>0.7</v>
      </c>
      <c r="G12" s="1429">
        <v>25</v>
      </c>
      <c r="H12" s="1429">
        <v>1.347</v>
      </c>
      <c r="I12" s="1429">
        <v>1.72</v>
      </c>
      <c r="J12" s="1429">
        <v>9.51</v>
      </c>
      <c r="K12" s="1429">
        <v>3.28</v>
      </c>
      <c r="L12" s="1429">
        <v>43.75</v>
      </c>
      <c r="M12" s="1429">
        <v>4.91</v>
      </c>
      <c r="N12" s="1429">
        <v>2.35</v>
      </c>
      <c r="O12" s="1429">
        <v>5.05</v>
      </c>
      <c r="P12" s="1429">
        <v>28.96</v>
      </c>
      <c r="Q12" s="1429">
        <v>89.04</v>
      </c>
    </row>
    <row r="13" spans="1:17" ht="13.5" thickBot="1">
      <c r="A13" s="1427" t="s">
        <v>155</v>
      </c>
      <c r="B13" s="1430" t="s">
        <v>519</v>
      </c>
      <c r="C13" s="1431">
        <v>60</v>
      </c>
      <c r="D13" s="1431">
        <v>60</v>
      </c>
      <c r="E13" s="1431">
        <v>129</v>
      </c>
      <c r="F13" s="1431">
        <v>1</v>
      </c>
      <c r="G13" s="1431">
        <v>25</v>
      </c>
      <c r="H13" s="1431">
        <v>1.9179999999999999</v>
      </c>
      <c r="I13" s="1431">
        <v>2.44</v>
      </c>
      <c r="J13" s="1431">
        <v>13.47</v>
      </c>
      <c r="K13" s="1431">
        <v>4.6399999999999997</v>
      </c>
      <c r="L13" s="1431">
        <v>61.95</v>
      </c>
      <c r="M13" s="1431">
        <v>6.98</v>
      </c>
      <c r="N13" s="1431">
        <v>2.35</v>
      </c>
      <c r="O13" s="1431">
        <v>5.04</v>
      </c>
      <c r="P13" s="1431">
        <v>29.03</v>
      </c>
      <c r="Q13" s="1431">
        <v>88.78</v>
      </c>
    </row>
    <row r="14" spans="1:17" ht="13.5" thickBot="1">
      <c r="A14" s="1427" t="s">
        <v>155</v>
      </c>
      <c r="B14" s="1428" t="s">
        <v>520</v>
      </c>
      <c r="C14" s="1429">
        <v>60</v>
      </c>
      <c r="D14" s="1429">
        <v>60</v>
      </c>
      <c r="E14" s="1429">
        <v>129</v>
      </c>
      <c r="F14" s="1429">
        <v>1.2</v>
      </c>
      <c r="G14" s="1429">
        <v>25</v>
      </c>
      <c r="H14" s="1429">
        <v>2.2970000000000002</v>
      </c>
      <c r="I14" s="1429">
        <v>2.93</v>
      </c>
      <c r="J14" s="1429">
        <v>16.07</v>
      </c>
      <c r="K14" s="1429">
        <v>5.52</v>
      </c>
      <c r="L14" s="1429">
        <v>73.900000000000006</v>
      </c>
      <c r="M14" s="1429">
        <v>8.34</v>
      </c>
      <c r="N14" s="1429">
        <v>2.34</v>
      </c>
      <c r="O14" s="1429">
        <v>5.03</v>
      </c>
      <c r="P14" s="1429">
        <v>29.08</v>
      </c>
      <c r="Q14" s="1429">
        <v>88.6</v>
      </c>
    </row>
    <row r="15" spans="1:17" ht="13.5" thickBot="1">
      <c r="A15" s="1427" t="s">
        <v>155</v>
      </c>
      <c r="B15" s="1430" t="s">
        <v>521</v>
      </c>
      <c r="C15" s="1431">
        <v>60</v>
      </c>
      <c r="D15" s="1431">
        <v>60</v>
      </c>
      <c r="E15" s="1431">
        <v>129</v>
      </c>
      <c r="F15" s="1431">
        <v>1.5</v>
      </c>
      <c r="G15" s="1431">
        <v>25</v>
      </c>
      <c r="H15" s="1431">
        <v>2.8620000000000001</v>
      </c>
      <c r="I15" s="1431">
        <v>3.65</v>
      </c>
      <c r="J15" s="1431">
        <v>19.82</v>
      </c>
      <c r="K15" s="1431">
        <v>6.83</v>
      </c>
      <c r="L15" s="1431">
        <v>91.55</v>
      </c>
      <c r="M15" s="1431">
        <v>10.36</v>
      </c>
      <c r="N15" s="1431">
        <v>2.34</v>
      </c>
      <c r="O15" s="1431">
        <v>5.01</v>
      </c>
      <c r="P15" s="1431">
        <v>29.16</v>
      </c>
      <c r="Q15" s="1431">
        <v>88.34</v>
      </c>
    </row>
    <row r="16" spans="1:17" ht="13.5" thickBot="1">
      <c r="A16" s="1427" t="s">
        <v>155</v>
      </c>
      <c r="B16" s="1428" t="s">
        <v>522</v>
      </c>
      <c r="C16" s="1429">
        <v>70</v>
      </c>
      <c r="D16" s="1429">
        <v>70</v>
      </c>
      <c r="E16" s="1429">
        <v>151</v>
      </c>
      <c r="F16" s="1429">
        <v>0.7</v>
      </c>
      <c r="G16" s="1429">
        <v>25</v>
      </c>
      <c r="H16" s="1429">
        <v>1.5289999999999999</v>
      </c>
      <c r="I16" s="1429">
        <v>1.95</v>
      </c>
      <c r="J16" s="1429">
        <v>14.38</v>
      </c>
      <c r="K16" s="1429">
        <v>4.4000000000000004</v>
      </c>
      <c r="L16" s="1429">
        <v>63.69</v>
      </c>
      <c r="M16" s="1429">
        <v>6.38</v>
      </c>
      <c r="N16" s="1429">
        <v>2.72</v>
      </c>
      <c r="O16" s="1429">
        <v>5.72</v>
      </c>
      <c r="P16" s="1429">
        <v>32.67</v>
      </c>
      <c r="Q16" s="1429">
        <v>99.81</v>
      </c>
    </row>
    <row r="17" spans="1:17" ht="13.5" thickBot="1">
      <c r="A17" s="1427" t="s">
        <v>155</v>
      </c>
      <c r="B17" s="1430" t="s">
        <v>523</v>
      </c>
      <c r="C17" s="1431">
        <v>70</v>
      </c>
      <c r="D17" s="1431">
        <v>70</v>
      </c>
      <c r="E17" s="1431">
        <v>151</v>
      </c>
      <c r="F17" s="1431">
        <v>1</v>
      </c>
      <c r="G17" s="1431">
        <v>25</v>
      </c>
      <c r="H17" s="1431">
        <v>2.1779999999999999</v>
      </c>
      <c r="I17" s="1431">
        <v>2.77</v>
      </c>
      <c r="J17" s="1431">
        <v>20.39</v>
      </c>
      <c r="K17" s="1431">
        <v>6.23</v>
      </c>
      <c r="L17" s="1431">
        <v>90.27</v>
      </c>
      <c r="M17" s="1431">
        <v>9.07</v>
      </c>
      <c r="N17" s="1431">
        <v>2.71</v>
      </c>
      <c r="O17" s="1431">
        <v>5.7</v>
      </c>
      <c r="P17" s="1431">
        <v>32.75</v>
      </c>
      <c r="Q17" s="1431">
        <v>99.55</v>
      </c>
    </row>
    <row r="18" spans="1:17" ht="13.5" thickBot="1">
      <c r="A18" s="1427" t="s">
        <v>155</v>
      </c>
      <c r="B18" s="1428" t="s">
        <v>524</v>
      </c>
      <c r="C18" s="1429">
        <v>70</v>
      </c>
      <c r="D18" s="1429">
        <v>70</v>
      </c>
      <c r="E18" s="1429">
        <v>151</v>
      </c>
      <c r="F18" s="1429">
        <v>1.2</v>
      </c>
      <c r="G18" s="1429">
        <v>25</v>
      </c>
      <c r="H18" s="1429">
        <v>2.6080000000000001</v>
      </c>
      <c r="I18" s="1429">
        <v>3.32</v>
      </c>
      <c r="J18" s="1429">
        <v>24.34</v>
      </c>
      <c r="K18" s="1429">
        <v>7.42</v>
      </c>
      <c r="L18" s="1429">
        <v>107.76</v>
      </c>
      <c r="M18" s="1429">
        <v>10.84</v>
      </c>
      <c r="N18" s="1429">
        <v>2.71</v>
      </c>
      <c r="O18" s="1429">
        <v>5.69</v>
      </c>
      <c r="P18" s="1429">
        <v>32.79</v>
      </c>
      <c r="Q18" s="1429">
        <v>99.38</v>
      </c>
    </row>
    <row r="19" spans="1:17" ht="13.5" thickBot="1">
      <c r="A19" s="1427" t="s">
        <v>155</v>
      </c>
      <c r="B19" s="1430" t="s">
        <v>525</v>
      </c>
      <c r="C19" s="1431">
        <v>70</v>
      </c>
      <c r="D19" s="1431">
        <v>70</v>
      </c>
      <c r="E19" s="1431">
        <v>151</v>
      </c>
      <c r="F19" s="1431">
        <v>1.5</v>
      </c>
      <c r="G19" s="1431">
        <v>25</v>
      </c>
      <c r="H19" s="1431">
        <v>3.2519999999999998</v>
      </c>
      <c r="I19" s="1431">
        <v>4.1399999999999997</v>
      </c>
      <c r="J19" s="1431">
        <v>30.2</v>
      </c>
      <c r="K19" s="1431">
        <v>9.19</v>
      </c>
      <c r="L19" s="1431">
        <v>133.66999999999999</v>
      </c>
      <c r="M19" s="1431">
        <v>13.48</v>
      </c>
      <c r="N19" s="1431">
        <v>2.7</v>
      </c>
      <c r="O19" s="1431">
        <v>5.68</v>
      </c>
      <c r="P19" s="1431">
        <v>32.869999999999997</v>
      </c>
      <c r="Q19" s="1431">
        <v>99.12</v>
      </c>
    </row>
    <row r="21" spans="1:17" ht="13.5" thickBot="1"/>
    <row r="22" spans="1:17" ht="24.75" thickBot="1">
      <c r="B22" s="1432" t="s">
        <v>492</v>
      </c>
      <c r="C22" s="1433" t="s">
        <v>493</v>
      </c>
      <c r="D22" s="1433" t="s">
        <v>494</v>
      </c>
      <c r="E22" s="1433" t="s">
        <v>495</v>
      </c>
      <c r="F22" s="1433" t="s">
        <v>497</v>
      </c>
      <c r="G22" s="1433" t="s">
        <v>498</v>
      </c>
      <c r="H22" s="1433" t="s">
        <v>499</v>
      </c>
      <c r="I22" s="1433" t="s">
        <v>500</v>
      </c>
      <c r="J22" s="1433" t="s">
        <v>501</v>
      </c>
      <c r="K22" s="1433" t="s">
        <v>502</v>
      </c>
      <c r="L22" s="1433" t="s">
        <v>503</v>
      </c>
      <c r="M22" s="1433" t="s">
        <v>504</v>
      </c>
      <c r="N22" s="1433" t="s">
        <v>1705</v>
      </c>
      <c r="O22" s="1433" t="s">
        <v>286</v>
      </c>
    </row>
    <row r="23" spans="1:17" ht="20.25" thickBot="1">
      <c r="B23" s="1434"/>
      <c r="C23" s="1435" t="s">
        <v>526</v>
      </c>
      <c r="D23" s="1435" t="s">
        <v>527</v>
      </c>
      <c r="E23" s="1435" t="s">
        <v>528</v>
      </c>
      <c r="F23" s="1435" t="s">
        <v>529</v>
      </c>
      <c r="G23" s="1435" t="s">
        <v>110</v>
      </c>
      <c r="H23" s="1435" t="s">
        <v>111</v>
      </c>
      <c r="I23" s="1435" t="s">
        <v>72</v>
      </c>
      <c r="J23" s="1435" t="s">
        <v>111</v>
      </c>
      <c r="K23" s="1435" t="s">
        <v>111</v>
      </c>
      <c r="L23" s="1435" t="s">
        <v>607</v>
      </c>
      <c r="M23" s="1435" t="s">
        <v>607</v>
      </c>
      <c r="N23" s="1435" t="s">
        <v>601</v>
      </c>
      <c r="O23" s="1435" t="s">
        <v>601</v>
      </c>
    </row>
    <row r="24" spans="1:17" ht="13.5" thickBot="1">
      <c r="A24" s="1427" t="s">
        <v>1787</v>
      </c>
      <c r="B24" s="1436" t="s">
        <v>530</v>
      </c>
      <c r="C24" s="1437">
        <v>105</v>
      </c>
      <c r="D24" s="1437">
        <v>57</v>
      </c>
      <c r="E24" s="1437">
        <v>0.7</v>
      </c>
      <c r="F24" s="1437">
        <v>1.175</v>
      </c>
      <c r="G24" s="1437">
        <v>1.5</v>
      </c>
      <c r="H24" s="1437">
        <v>27.5</v>
      </c>
      <c r="I24" s="1437">
        <v>5.24</v>
      </c>
      <c r="J24" s="1437">
        <v>4.91</v>
      </c>
      <c r="K24" s="1437">
        <v>1.19</v>
      </c>
      <c r="L24" s="1437">
        <v>4.28</v>
      </c>
      <c r="M24" s="1437">
        <v>1.81</v>
      </c>
      <c r="N24" s="1437">
        <v>52.5</v>
      </c>
      <c r="O24" s="1437">
        <v>41.18</v>
      </c>
    </row>
    <row r="25" spans="1:17" ht="13.5" thickBot="1">
      <c r="A25" s="1427" t="s">
        <v>1787</v>
      </c>
      <c r="B25" s="1438" t="s">
        <v>531</v>
      </c>
      <c r="C25" s="1439">
        <v>105</v>
      </c>
      <c r="D25" s="1439">
        <v>57</v>
      </c>
      <c r="E25" s="1439">
        <v>1</v>
      </c>
      <c r="F25" s="1439">
        <v>1.673</v>
      </c>
      <c r="G25" s="1439">
        <v>2.13</v>
      </c>
      <c r="H25" s="1439">
        <v>38.92</v>
      </c>
      <c r="I25" s="1439">
        <v>7.41</v>
      </c>
      <c r="J25" s="1439">
        <v>6.95</v>
      </c>
      <c r="K25" s="1439">
        <v>1.69</v>
      </c>
      <c r="L25" s="1439">
        <v>4.2699999999999996</v>
      </c>
      <c r="M25" s="1439">
        <v>1.8</v>
      </c>
      <c r="N25" s="1439">
        <v>52.5</v>
      </c>
      <c r="O25" s="1439">
        <v>41.06</v>
      </c>
    </row>
    <row r="26" spans="1:17" ht="13.5" thickBot="1">
      <c r="A26" s="1427" t="s">
        <v>1787</v>
      </c>
      <c r="B26" s="1436" t="s">
        <v>532</v>
      </c>
      <c r="C26" s="1437">
        <v>105</v>
      </c>
      <c r="D26" s="1437">
        <v>57</v>
      </c>
      <c r="E26" s="1437">
        <v>1.2</v>
      </c>
      <c r="F26" s="1440">
        <v>2.0030000000000001</v>
      </c>
      <c r="G26" s="1437">
        <v>2.5499999999999998</v>
      </c>
      <c r="H26" s="1437">
        <v>46.41</v>
      </c>
      <c r="I26" s="1437">
        <v>8.84</v>
      </c>
      <c r="J26" s="1437">
        <v>8.2899999999999991</v>
      </c>
      <c r="K26" s="1437">
        <v>2.02</v>
      </c>
      <c r="L26" s="1437">
        <v>4.26</v>
      </c>
      <c r="M26" s="1437">
        <v>1.8</v>
      </c>
      <c r="N26" s="1437">
        <v>52.5</v>
      </c>
      <c r="O26" s="1437">
        <v>40.98</v>
      </c>
    </row>
    <row r="27" spans="1:17" ht="13.5" thickBot="1">
      <c r="A27" s="1427" t="s">
        <v>1787</v>
      </c>
      <c r="B27" s="1438" t="s">
        <v>533</v>
      </c>
      <c r="C27" s="1439">
        <v>105</v>
      </c>
      <c r="D27" s="1439">
        <v>57</v>
      </c>
      <c r="E27" s="1439">
        <v>1.5</v>
      </c>
      <c r="F27" s="1439">
        <v>2.4950000000000001</v>
      </c>
      <c r="G27" s="1439">
        <v>3.18</v>
      </c>
      <c r="H27" s="1439">
        <v>57.47</v>
      </c>
      <c r="I27" s="1439">
        <v>10.95</v>
      </c>
      <c r="J27" s="1439">
        <v>10.28</v>
      </c>
      <c r="K27" s="1439">
        <v>2.52</v>
      </c>
      <c r="L27" s="1439">
        <v>4.25</v>
      </c>
      <c r="M27" s="1439">
        <v>1.8</v>
      </c>
      <c r="N27" s="1439">
        <v>52.5</v>
      </c>
      <c r="O27" s="1439">
        <v>40.85</v>
      </c>
    </row>
    <row r="28" spans="1:17" ht="13.5" thickBot="1">
      <c r="A28" s="1427" t="s">
        <v>1787</v>
      </c>
      <c r="B28" s="1436" t="s">
        <v>534</v>
      </c>
      <c r="C28" s="1437">
        <v>155</v>
      </c>
      <c r="D28" s="1437">
        <v>72</v>
      </c>
      <c r="E28" s="1437">
        <v>0.7</v>
      </c>
      <c r="F28" s="1437">
        <v>1.625</v>
      </c>
      <c r="G28" s="1437">
        <v>2.0699999999999998</v>
      </c>
      <c r="H28" s="1437">
        <v>80.47</v>
      </c>
      <c r="I28" s="1437">
        <v>10.38</v>
      </c>
      <c r="J28" s="1437">
        <v>10.93</v>
      </c>
      <c r="K28" s="1437">
        <v>2.0099999999999998</v>
      </c>
      <c r="L28" s="1437">
        <v>6.23</v>
      </c>
      <c r="M28" s="1437">
        <v>2.2999999999999998</v>
      </c>
      <c r="N28" s="1437">
        <v>77.5</v>
      </c>
      <c r="O28" s="1437">
        <v>54.31</v>
      </c>
    </row>
    <row r="29" spans="1:17" ht="13.5" thickBot="1">
      <c r="A29" s="1427" t="s">
        <v>1787</v>
      </c>
      <c r="B29" s="1438" t="s">
        <v>535</v>
      </c>
      <c r="C29" s="1439">
        <v>155</v>
      </c>
      <c r="D29" s="1439">
        <v>72</v>
      </c>
      <c r="E29" s="1439">
        <v>1</v>
      </c>
      <c r="F29" s="1439">
        <v>2.3159999999999998</v>
      </c>
      <c r="G29" s="1439">
        <v>2.95</v>
      </c>
      <c r="H29" s="1439">
        <v>114.2</v>
      </c>
      <c r="I29" s="1439">
        <v>14.74</v>
      </c>
      <c r="J29" s="1439">
        <v>15.52</v>
      </c>
      <c r="K29" s="1439">
        <v>2.86</v>
      </c>
      <c r="L29" s="1439">
        <v>6.22</v>
      </c>
      <c r="M29" s="1439">
        <v>2.29</v>
      </c>
      <c r="N29" s="1439">
        <v>77.5</v>
      </c>
      <c r="O29" s="1439">
        <v>54.19</v>
      </c>
    </row>
    <row r="30" spans="1:17" ht="13.5" thickBot="1">
      <c r="A30" s="1427" t="s">
        <v>1787</v>
      </c>
      <c r="B30" s="1436" t="s">
        <v>536</v>
      </c>
      <c r="C30" s="1437">
        <v>155</v>
      </c>
      <c r="D30" s="1437">
        <v>72</v>
      </c>
      <c r="E30" s="1437">
        <v>1.2</v>
      </c>
      <c r="F30" s="1437">
        <v>2.7749999999999999</v>
      </c>
      <c r="G30" s="1437">
        <v>3.54</v>
      </c>
      <c r="H30" s="1437">
        <v>136.43</v>
      </c>
      <c r="I30" s="1437">
        <v>17.600000000000001</v>
      </c>
      <c r="J30" s="1437">
        <v>18.54</v>
      </c>
      <c r="K30" s="1437">
        <v>3.43</v>
      </c>
      <c r="L30" s="1437">
        <v>6.21</v>
      </c>
      <c r="M30" s="1437">
        <v>2.29</v>
      </c>
      <c r="N30" s="1437">
        <v>77.5</v>
      </c>
      <c r="O30" s="1437">
        <v>54.11</v>
      </c>
    </row>
    <row r="31" spans="1:17" ht="13.5" thickBot="1">
      <c r="A31" s="1427" t="s">
        <v>1787</v>
      </c>
      <c r="B31" s="1438" t="s">
        <v>537</v>
      </c>
      <c r="C31" s="1439">
        <v>155</v>
      </c>
      <c r="D31" s="1439">
        <v>72</v>
      </c>
      <c r="E31" s="1439">
        <v>1.5</v>
      </c>
      <c r="F31" s="1439">
        <v>3.46</v>
      </c>
      <c r="G31" s="1439">
        <v>4.41</v>
      </c>
      <c r="H31" s="1439">
        <v>169.41</v>
      </c>
      <c r="I31" s="1439">
        <v>21.86</v>
      </c>
      <c r="J31" s="1439">
        <v>23.03</v>
      </c>
      <c r="K31" s="1439">
        <v>4.2699999999999996</v>
      </c>
      <c r="L31" s="1439">
        <v>6.2</v>
      </c>
      <c r="M31" s="1439">
        <v>2.2799999999999998</v>
      </c>
      <c r="N31" s="1439">
        <v>77.5</v>
      </c>
      <c r="O31" s="1439">
        <v>53.99</v>
      </c>
    </row>
    <row r="32" spans="1:17" ht="13.5" thickBot="1">
      <c r="A32" s="1427" t="s">
        <v>1787</v>
      </c>
      <c r="B32" s="1436" t="s">
        <v>538</v>
      </c>
      <c r="C32" s="1437">
        <v>206</v>
      </c>
      <c r="D32" s="1437">
        <v>86</v>
      </c>
      <c r="E32" s="1437">
        <v>0.7</v>
      </c>
      <c r="F32" s="1437">
        <v>2.0590000000000002</v>
      </c>
      <c r="G32" s="1437">
        <v>2.63</v>
      </c>
      <c r="H32" s="1437">
        <v>175.65</v>
      </c>
      <c r="I32" s="1437">
        <v>17.05</v>
      </c>
      <c r="J32" s="1437">
        <v>19.28</v>
      </c>
      <c r="K32" s="1437">
        <v>2.92</v>
      </c>
      <c r="L32" s="1437">
        <v>8.18</v>
      </c>
      <c r="M32" s="1437">
        <v>2.71</v>
      </c>
      <c r="N32" s="1437">
        <v>103</v>
      </c>
      <c r="O32" s="1437">
        <v>66.09</v>
      </c>
    </row>
    <row r="33" spans="1:16" ht="13.5" thickBot="1">
      <c r="A33" s="1427" t="s">
        <v>1787</v>
      </c>
      <c r="B33" s="1438" t="s">
        <v>539</v>
      </c>
      <c r="C33" s="1439">
        <v>206</v>
      </c>
      <c r="D33" s="1439">
        <v>86</v>
      </c>
      <c r="E33" s="1439">
        <v>1</v>
      </c>
      <c r="F33" s="1439">
        <v>2.9359999999999999</v>
      </c>
      <c r="G33" s="1439">
        <v>3.74</v>
      </c>
      <c r="H33" s="1439">
        <v>249.64</v>
      </c>
      <c r="I33" s="1439">
        <v>24.24</v>
      </c>
      <c r="J33" s="1439">
        <v>27.39</v>
      </c>
      <c r="K33" s="1439">
        <v>4.1500000000000004</v>
      </c>
      <c r="L33" s="1439">
        <v>8.17</v>
      </c>
      <c r="M33" s="1439">
        <v>2.71</v>
      </c>
      <c r="N33" s="1439">
        <v>103</v>
      </c>
      <c r="O33" s="1439">
        <v>65.97</v>
      </c>
    </row>
    <row r="34" spans="1:16" ht="13.5" thickBot="1">
      <c r="A34" s="1427" t="s">
        <v>1787</v>
      </c>
      <c r="B34" s="1436" t="s">
        <v>540</v>
      </c>
      <c r="C34" s="1437">
        <v>206</v>
      </c>
      <c r="D34" s="1437">
        <v>86</v>
      </c>
      <c r="E34" s="1437">
        <v>1.2</v>
      </c>
      <c r="F34" s="1437">
        <v>3.5190000000000001</v>
      </c>
      <c r="G34" s="1437">
        <v>4.49</v>
      </c>
      <c r="H34" s="1437">
        <v>298.54000000000002</v>
      </c>
      <c r="I34" s="1437">
        <v>28.98</v>
      </c>
      <c r="J34" s="1437">
        <v>32.75</v>
      </c>
      <c r="K34" s="1437">
        <v>4.97</v>
      </c>
      <c r="L34" s="1437">
        <v>8.16</v>
      </c>
      <c r="M34" s="1437">
        <v>2.7</v>
      </c>
      <c r="N34" s="1437">
        <v>103</v>
      </c>
      <c r="O34" s="1437">
        <v>65.89</v>
      </c>
    </row>
    <row r="35" spans="1:16" ht="13.5" thickBot="1">
      <c r="A35" s="1427" t="s">
        <v>1787</v>
      </c>
      <c r="B35" s="1438" t="s">
        <v>541</v>
      </c>
      <c r="C35" s="1439">
        <v>206</v>
      </c>
      <c r="D35" s="1439">
        <v>86</v>
      </c>
      <c r="E35" s="1439">
        <v>1.5</v>
      </c>
      <c r="F35" s="1439">
        <v>4.3899999999999997</v>
      </c>
      <c r="G35" s="1439">
        <v>5.6</v>
      </c>
      <c r="H35" s="1439">
        <v>371.26</v>
      </c>
      <c r="I35" s="1439">
        <v>36.04</v>
      </c>
      <c r="J35" s="1439">
        <v>40.72</v>
      </c>
      <c r="K35" s="1439">
        <v>6.19</v>
      </c>
      <c r="L35" s="1439">
        <v>8.15</v>
      </c>
      <c r="M35" s="1439">
        <v>2.7</v>
      </c>
      <c r="N35" s="1439">
        <v>103</v>
      </c>
      <c r="O35" s="1439">
        <v>65.77</v>
      </c>
    </row>
    <row r="37" spans="1:16" ht="13.5" thickBot="1"/>
    <row r="38" spans="1:16" ht="24.75" thickBot="1">
      <c r="B38" s="1432" t="s">
        <v>492</v>
      </c>
      <c r="C38" s="1433" t="s">
        <v>493</v>
      </c>
      <c r="D38" s="1433" t="s">
        <v>494</v>
      </c>
      <c r="E38" s="1433" t="s">
        <v>495</v>
      </c>
      <c r="F38" s="1433" t="s">
        <v>496</v>
      </c>
      <c r="G38" s="1433" t="s">
        <v>497</v>
      </c>
      <c r="H38" s="1433" t="s">
        <v>498</v>
      </c>
      <c r="I38" s="1433" t="s">
        <v>499</v>
      </c>
      <c r="J38" s="1433" t="s">
        <v>500</v>
      </c>
      <c r="K38" s="1433" t="s">
        <v>501</v>
      </c>
      <c r="L38" s="1433" t="s">
        <v>502</v>
      </c>
      <c r="M38" s="1433" t="s">
        <v>503</v>
      </c>
      <c r="N38" s="1433" t="s">
        <v>504</v>
      </c>
      <c r="O38" s="1433" t="s">
        <v>1705</v>
      </c>
      <c r="P38" s="1433" t="s">
        <v>286</v>
      </c>
    </row>
    <row r="39" spans="1:16" ht="20.25" thickBot="1">
      <c r="B39" s="1441"/>
      <c r="C39" s="1442" t="s">
        <v>505</v>
      </c>
      <c r="D39" s="1442" t="s">
        <v>506</v>
      </c>
      <c r="E39" s="1442" t="s">
        <v>508</v>
      </c>
      <c r="F39" s="1442" t="s">
        <v>509</v>
      </c>
      <c r="G39" s="1442" t="s">
        <v>599</v>
      </c>
      <c r="H39" s="1442" t="s">
        <v>110</v>
      </c>
      <c r="I39" s="1442" t="s">
        <v>111</v>
      </c>
      <c r="J39" s="1442" t="s">
        <v>72</v>
      </c>
      <c r="K39" s="1442" t="s">
        <v>111</v>
      </c>
      <c r="L39" s="1442" t="s">
        <v>111</v>
      </c>
      <c r="M39" s="1442" t="s">
        <v>607</v>
      </c>
      <c r="N39" s="1442" t="s">
        <v>607</v>
      </c>
      <c r="O39" s="1442" t="s">
        <v>601</v>
      </c>
      <c r="P39" s="1442" t="s">
        <v>601</v>
      </c>
    </row>
    <row r="40" spans="1:16" ht="13.5" thickBot="1">
      <c r="A40" s="1427" t="s">
        <v>153</v>
      </c>
      <c r="B40" s="1443" t="s">
        <v>542</v>
      </c>
      <c r="C40" s="1444">
        <v>102</v>
      </c>
      <c r="D40" s="1444">
        <v>51</v>
      </c>
      <c r="E40" s="1444">
        <v>1</v>
      </c>
      <c r="F40" s="1444">
        <v>12.5</v>
      </c>
      <c r="G40" s="1444">
        <v>1.68</v>
      </c>
      <c r="H40" s="1444">
        <v>2.15</v>
      </c>
      <c r="I40" s="1444">
        <v>37.97</v>
      </c>
      <c r="J40" s="1444">
        <v>7.52</v>
      </c>
      <c r="K40" s="1444">
        <v>7.58</v>
      </c>
      <c r="L40" s="1444">
        <v>2.23</v>
      </c>
      <c r="M40" s="1444">
        <v>4.2</v>
      </c>
      <c r="N40" s="1444">
        <v>1.88</v>
      </c>
      <c r="O40" s="1444">
        <v>51</v>
      </c>
      <c r="P40" s="1444">
        <v>34.520000000000003</v>
      </c>
    </row>
    <row r="41" spans="1:16" ht="13.5" thickBot="1">
      <c r="A41" s="1427" t="s">
        <v>153</v>
      </c>
      <c r="B41" s="1445" t="s">
        <v>543</v>
      </c>
      <c r="C41" s="1446">
        <v>102</v>
      </c>
      <c r="D41" s="1446">
        <v>51</v>
      </c>
      <c r="E41" s="1446">
        <v>1.2</v>
      </c>
      <c r="F41" s="1446">
        <v>13</v>
      </c>
      <c r="G41" s="1446">
        <v>2.02</v>
      </c>
      <c r="H41" s="1446">
        <v>2.58</v>
      </c>
      <c r="I41" s="1446">
        <v>45.6</v>
      </c>
      <c r="J41" s="1446">
        <v>9.0500000000000007</v>
      </c>
      <c r="K41" s="1446">
        <v>9.2899999999999991</v>
      </c>
      <c r="L41" s="1446">
        <v>2.77</v>
      </c>
      <c r="M41" s="1446">
        <v>4.2</v>
      </c>
      <c r="N41" s="1446">
        <v>1.9</v>
      </c>
      <c r="O41" s="1446">
        <v>51</v>
      </c>
      <c r="P41" s="1446">
        <v>34.090000000000003</v>
      </c>
    </row>
    <row r="42" spans="1:16" ht="13.5" thickBot="1">
      <c r="A42" s="1427" t="s">
        <v>153</v>
      </c>
      <c r="B42" s="1443" t="s">
        <v>544</v>
      </c>
      <c r="C42" s="1444">
        <v>102</v>
      </c>
      <c r="D42" s="1444">
        <v>51</v>
      </c>
      <c r="E42" s="1444">
        <v>1.5</v>
      </c>
      <c r="F42" s="1444">
        <v>13.5</v>
      </c>
      <c r="G42" s="1444">
        <v>2.5299999999999998</v>
      </c>
      <c r="H42" s="1444">
        <v>3.23</v>
      </c>
      <c r="I42" s="1444">
        <v>56.27</v>
      </c>
      <c r="J42" s="1444">
        <v>11.2</v>
      </c>
      <c r="K42" s="1444">
        <v>11.38</v>
      </c>
      <c r="L42" s="1444">
        <v>3.42</v>
      </c>
      <c r="M42" s="1444">
        <v>4.18</v>
      </c>
      <c r="N42" s="1444">
        <v>1.88</v>
      </c>
      <c r="O42" s="1444">
        <v>51</v>
      </c>
      <c r="P42" s="1444">
        <v>33.979999999999997</v>
      </c>
    </row>
    <row r="43" spans="1:16" ht="13.5" thickBot="1">
      <c r="A43" s="1427" t="s">
        <v>153</v>
      </c>
      <c r="B43" s="1445" t="s">
        <v>545</v>
      </c>
      <c r="C43" s="1446">
        <v>102</v>
      </c>
      <c r="D43" s="1446">
        <v>51</v>
      </c>
      <c r="E43" s="1446">
        <v>1.6</v>
      </c>
      <c r="F43" s="1446">
        <v>14</v>
      </c>
      <c r="G43" s="1446">
        <v>2.69</v>
      </c>
      <c r="H43" s="1446">
        <v>3.44</v>
      </c>
      <c r="I43" s="1446">
        <v>59.91</v>
      </c>
      <c r="J43" s="1446">
        <v>11.93</v>
      </c>
      <c r="K43" s="1446">
        <v>12.17</v>
      </c>
      <c r="L43" s="1446">
        <v>3.68</v>
      </c>
      <c r="M43" s="1446">
        <v>4.17</v>
      </c>
      <c r="N43" s="1446">
        <v>1.88</v>
      </c>
      <c r="O43" s="1446">
        <v>51</v>
      </c>
      <c r="P43" s="1446">
        <v>33.840000000000003</v>
      </c>
    </row>
    <row r="44" spans="1:16" ht="13.5" thickBot="1">
      <c r="A44" s="1427" t="s">
        <v>153</v>
      </c>
      <c r="B44" s="1443" t="s">
        <v>546</v>
      </c>
      <c r="C44" s="1444">
        <v>102</v>
      </c>
      <c r="D44" s="1444">
        <v>51</v>
      </c>
      <c r="E44" s="1444">
        <v>1.8</v>
      </c>
      <c r="F44" s="1444">
        <v>14.5</v>
      </c>
      <c r="G44" s="1444">
        <v>3.03</v>
      </c>
      <c r="H44" s="1444">
        <v>3.87</v>
      </c>
      <c r="I44" s="1444">
        <v>66.89</v>
      </c>
      <c r="J44" s="1444">
        <v>13.35</v>
      </c>
      <c r="K44" s="1444">
        <v>13.58</v>
      </c>
      <c r="L44" s="1444">
        <v>4.1399999999999997</v>
      </c>
      <c r="M44" s="1444">
        <v>4.16</v>
      </c>
      <c r="N44" s="1444">
        <v>1.87</v>
      </c>
      <c r="O44" s="1444">
        <v>51</v>
      </c>
      <c r="P44" s="1444">
        <v>33.72</v>
      </c>
    </row>
    <row r="45" spans="1:16" ht="13.5" thickBot="1">
      <c r="A45" s="1427" t="s">
        <v>153</v>
      </c>
      <c r="B45" s="1445" t="s">
        <v>547</v>
      </c>
      <c r="C45" s="1446">
        <v>102</v>
      </c>
      <c r="D45" s="1446">
        <v>51</v>
      </c>
      <c r="E45" s="1446">
        <v>2</v>
      </c>
      <c r="F45" s="1446">
        <v>15</v>
      </c>
      <c r="G45" s="1446">
        <v>3.37</v>
      </c>
      <c r="H45" s="1446">
        <v>4.3</v>
      </c>
      <c r="I45" s="1446">
        <v>73.760000000000005</v>
      </c>
      <c r="J45" s="1446">
        <v>14.75</v>
      </c>
      <c r="K45" s="1446">
        <v>14.97</v>
      </c>
      <c r="L45" s="1446">
        <v>4.59</v>
      </c>
      <c r="M45" s="1446">
        <v>4.1399999999999997</v>
      </c>
      <c r="N45" s="1446">
        <v>1.87</v>
      </c>
      <c r="O45" s="1446">
        <v>51</v>
      </c>
      <c r="P45" s="1446">
        <v>33.590000000000003</v>
      </c>
    </row>
    <row r="46" spans="1:16" ht="13.5" thickBot="1">
      <c r="A46" s="1427" t="s">
        <v>153</v>
      </c>
      <c r="B46" s="1443" t="s">
        <v>548</v>
      </c>
      <c r="C46" s="1444">
        <v>152</v>
      </c>
      <c r="D46" s="1444">
        <v>64</v>
      </c>
      <c r="E46" s="1444">
        <v>1.2</v>
      </c>
      <c r="F46" s="1444">
        <v>15</v>
      </c>
      <c r="G46" s="1444">
        <v>2.77</v>
      </c>
      <c r="H46" s="1444">
        <v>3.54</v>
      </c>
      <c r="I46" s="1444">
        <v>134.24</v>
      </c>
      <c r="J46" s="1444">
        <v>17.8</v>
      </c>
      <c r="K46" s="1444">
        <v>19.350000000000001</v>
      </c>
      <c r="L46" s="1444">
        <v>4.38</v>
      </c>
      <c r="M46" s="1444">
        <v>6.16</v>
      </c>
      <c r="N46" s="1444">
        <v>2.34</v>
      </c>
      <c r="O46" s="1444">
        <v>76</v>
      </c>
      <c r="P46" s="1444">
        <v>44.79</v>
      </c>
    </row>
    <row r="47" spans="1:16" ht="13.5" thickBot="1">
      <c r="A47" s="1427" t="s">
        <v>153</v>
      </c>
      <c r="B47" s="1445" t="s">
        <v>549</v>
      </c>
      <c r="C47" s="1446">
        <v>152</v>
      </c>
      <c r="D47" s="1446">
        <v>64</v>
      </c>
      <c r="E47" s="1446">
        <v>1.5</v>
      </c>
      <c r="F47" s="1446">
        <v>15.5</v>
      </c>
      <c r="G47" s="1446">
        <v>3.47</v>
      </c>
      <c r="H47" s="1446">
        <v>4.43</v>
      </c>
      <c r="I47" s="1446">
        <v>166.33</v>
      </c>
      <c r="J47" s="1446">
        <v>22.1</v>
      </c>
      <c r="K47" s="1446">
        <v>23.78</v>
      </c>
      <c r="L47" s="1446">
        <v>5.42</v>
      </c>
      <c r="M47" s="1446">
        <v>6.13</v>
      </c>
      <c r="N47" s="1446">
        <v>2.3199999999999998</v>
      </c>
      <c r="O47" s="1446">
        <v>76</v>
      </c>
      <c r="P47" s="1446">
        <v>44.65</v>
      </c>
    </row>
    <row r="48" spans="1:16" ht="13.5" thickBot="1">
      <c r="A48" s="1427" t="s">
        <v>153</v>
      </c>
      <c r="B48" s="1443" t="s">
        <v>550</v>
      </c>
      <c r="C48" s="1444">
        <v>152</v>
      </c>
      <c r="D48" s="1444">
        <v>64</v>
      </c>
      <c r="E48" s="1444">
        <v>1.6</v>
      </c>
      <c r="F48" s="1444">
        <v>16</v>
      </c>
      <c r="G48" s="1444">
        <v>3.7</v>
      </c>
      <c r="H48" s="1444">
        <v>4.78</v>
      </c>
      <c r="I48" s="1444">
        <v>177.28</v>
      </c>
      <c r="J48" s="1444">
        <v>23.57</v>
      </c>
      <c r="K48" s="1444">
        <v>25.44</v>
      </c>
      <c r="L48" s="1444">
        <v>5.82</v>
      </c>
      <c r="M48" s="1444">
        <v>6.13</v>
      </c>
      <c r="N48" s="1444">
        <v>2.3199999999999998</v>
      </c>
      <c r="O48" s="1444">
        <v>76</v>
      </c>
      <c r="P48" s="1444">
        <v>44.51</v>
      </c>
    </row>
    <row r="49" spans="1:16" ht="13.5" thickBot="1">
      <c r="A49" s="1427" t="s">
        <v>153</v>
      </c>
      <c r="B49" s="1445" t="s">
        <v>551</v>
      </c>
      <c r="C49" s="1446">
        <v>152</v>
      </c>
      <c r="D49" s="1446">
        <v>64</v>
      </c>
      <c r="E49" s="1446">
        <v>1.8</v>
      </c>
      <c r="F49" s="1446">
        <v>16.5</v>
      </c>
      <c r="G49" s="1446">
        <v>4.16</v>
      </c>
      <c r="H49" s="1446">
        <v>5.31</v>
      </c>
      <c r="I49" s="1446">
        <v>198.47</v>
      </c>
      <c r="J49" s="1446">
        <v>26.43</v>
      </c>
      <c r="K49" s="1446">
        <v>28.42</v>
      </c>
      <c r="L49" s="1446">
        <v>6.53</v>
      </c>
      <c r="M49" s="1446">
        <v>6.11</v>
      </c>
      <c r="N49" s="1446">
        <v>2.31</v>
      </c>
      <c r="O49" s="1446">
        <v>76</v>
      </c>
      <c r="P49" s="1446">
        <v>44.39</v>
      </c>
    </row>
    <row r="50" spans="1:16" ht="13.5" thickBot="1">
      <c r="A50" s="1427" t="s">
        <v>153</v>
      </c>
      <c r="B50" s="1445" t="s">
        <v>552</v>
      </c>
      <c r="C50" s="1446">
        <v>152</v>
      </c>
      <c r="D50" s="1446">
        <v>64</v>
      </c>
      <c r="E50" s="1446">
        <v>2</v>
      </c>
      <c r="F50" s="1446">
        <v>17</v>
      </c>
      <c r="G50" s="1446">
        <v>4.62</v>
      </c>
      <c r="H50" s="1446">
        <v>5.9</v>
      </c>
      <c r="I50" s="1446">
        <v>220.11</v>
      </c>
      <c r="J50" s="1446">
        <v>29.35</v>
      </c>
      <c r="K50" s="1446">
        <v>31.75</v>
      </c>
      <c r="L50" s="1446">
        <v>7.36</v>
      </c>
      <c r="M50" s="1446">
        <v>6.11</v>
      </c>
      <c r="N50" s="1446">
        <v>2.3199999999999998</v>
      </c>
      <c r="O50" s="1446">
        <v>76</v>
      </c>
      <c r="P50" s="1446">
        <v>44.13</v>
      </c>
    </row>
    <row r="51" spans="1:16" ht="13.5" thickBot="1">
      <c r="A51" s="1427" t="s">
        <v>153</v>
      </c>
      <c r="B51" s="1443" t="s">
        <v>553</v>
      </c>
      <c r="C51" s="1444">
        <v>152</v>
      </c>
      <c r="D51" s="1444">
        <v>64</v>
      </c>
      <c r="E51" s="1444">
        <v>2.4</v>
      </c>
      <c r="F51" s="1444">
        <v>18</v>
      </c>
      <c r="G51" s="1444">
        <v>5.54</v>
      </c>
      <c r="H51" s="1444">
        <v>7.08</v>
      </c>
      <c r="I51" s="1444">
        <v>260.72000000000003</v>
      </c>
      <c r="J51" s="1444">
        <v>34.86</v>
      </c>
      <c r="K51" s="1444">
        <v>37.14</v>
      </c>
      <c r="L51" s="1444">
        <v>8.67</v>
      </c>
      <c r="M51" s="1444">
        <v>6.07</v>
      </c>
      <c r="N51" s="1444">
        <v>2.29</v>
      </c>
      <c r="O51" s="1444">
        <v>76</v>
      </c>
      <c r="P51" s="1444">
        <v>44.04</v>
      </c>
    </row>
    <row r="52" spans="1:16" ht="13.5" thickBot="1">
      <c r="A52" s="1427" t="s">
        <v>153</v>
      </c>
      <c r="B52" s="1445" t="s">
        <v>554</v>
      </c>
      <c r="C52" s="1446">
        <v>152</v>
      </c>
      <c r="D52" s="1446">
        <v>64</v>
      </c>
      <c r="E52" s="1446">
        <v>2.5</v>
      </c>
      <c r="F52" s="1446">
        <v>18</v>
      </c>
      <c r="G52" s="1446">
        <v>5.78</v>
      </c>
      <c r="H52" s="1446">
        <v>7.38</v>
      </c>
      <c r="I52" s="1446">
        <v>270.5</v>
      </c>
      <c r="J52" s="1446">
        <v>36.19</v>
      </c>
      <c r="K52" s="1446">
        <v>38.32</v>
      </c>
      <c r="L52" s="1446">
        <v>8.9499999999999993</v>
      </c>
      <c r="M52" s="1446">
        <v>6.06</v>
      </c>
      <c r="N52" s="1446">
        <v>2.2799999999999998</v>
      </c>
      <c r="O52" s="1446">
        <v>76</v>
      </c>
      <c r="P52" s="1446">
        <v>44.05</v>
      </c>
    </row>
    <row r="53" spans="1:16" ht="13.5" thickBot="1">
      <c r="A53" s="1427" t="s">
        <v>153</v>
      </c>
      <c r="B53" s="1443" t="s">
        <v>555</v>
      </c>
      <c r="C53" s="1444">
        <v>203</v>
      </c>
      <c r="D53" s="1444">
        <v>76</v>
      </c>
      <c r="E53" s="1444">
        <v>1.5</v>
      </c>
      <c r="F53" s="1444">
        <v>15</v>
      </c>
      <c r="G53" s="1444">
        <v>4.4000000000000004</v>
      </c>
      <c r="H53" s="1444">
        <v>5.63</v>
      </c>
      <c r="I53" s="1444">
        <v>326.7</v>
      </c>
      <c r="J53" s="1444">
        <v>36</v>
      </c>
      <c r="K53" s="1444">
        <v>39.65</v>
      </c>
      <c r="L53" s="1444">
        <v>7.29</v>
      </c>
      <c r="M53" s="1444">
        <v>8.0299999999999994</v>
      </c>
      <c r="N53" s="1444">
        <v>2.65</v>
      </c>
      <c r="O53" s="1444">
        <v>101.5</v>
      </c>
      <c r="P53" s="1444">
        <v>55.13</v>
      </c>
    </row>
    <row r="54" spans="1:16" ht="13.5" thickBot="1">
      <c r="A54" s="1427" t="s">
        <v>153</v>
      </c>
      <c r="B54" s="1445" t="s">
        <v>556</v>
      </c>
      <c r="C54" s="1446">
        <v>203</v>
      </c>
      <c r="D54" s="1446">
        <v>76</v>
      </c>
      <c r="E54" s="1446">
        <v>1.6</v>
      </c>
      <c r="F54" s="1446">
        <v>15.5</v>
      </c>
      <c r="G54" s="1446">
        <v>4.7</v>
      </c>
      <c r="H54" s="1446">
        <v>6</v>
      </c>
      <c r="I54" s="1446">
        <v>386.8</v>
      </c>
      <c r="J54" s="1446">
        <v>38.409999999999997</v>
      </c>
      <c r="K54" s="1446">
        <v>42.4</v>
      </c>
      <c r="L54" s="1446">
        <v>7.82</v>
      </c>
      <c r="M54" s="1446">
        <v>8.0299999999999994</v>
      </c>
      <c r="N54" s="1446">
        <v>2.66</v>
      </c>
      <c r="O54" s="1446">
        <v>101.5</v>
      </c>
      <c r="P54" s="1446">
        <v>55</v>
      </c>
    </row>
    <row r="55" spans="1:16" ht="13.5" thickBot="1">
      <c r="A55" s="1427" t="s">
        <v>153</v>
      </c>
      <c r="B55" s="1443" t="s">
        <v>557</v>
      </c>
      <c r="C55" s="1444">
        <v>203</v>
      </c>
      <c r="D55" s="1444">
        <v>76</v>
      </c>
      <c r="E55" s="1444">
        <v>1.8</v>
      </c>
      <c r="F55" s="1444">
        <v>18</v>
      </c>
      <c r="G55" s="1444">
        <v>5.29</v>
      </c>
      <c r="H55" s="1444">
        <v>6.75</v>
      </c>
      <c r="I55" s="1444">
        <v>437.42</v>
      </c>
      <c r="J55" s="1444">
        <v>43.48</v>
      </c>
      <c r="K55" s="1444">
        <v>49.02</v>
      </c>
      <c r="L55" s="1444">
        <v>9.15</v>
      </c>
      <c r="M55" s="1444">
        <v>8.0500000000000007</v>
      </c>
      <c r="N55" s="1444">
        <v>2.69</v>
      </c>
      <c r="O55" s="1444">
        <v>101.5</v>
      </c>
      <c r="P55" s="1444">
        <v>54.45</v>
      </c>
    </row>
    <row r="56" spans="1:16" ht="13.5" thickBot="1">
      <c r="A56" s="1427" t="s">
        <v>153</v>
      </c>
      <c r="B56" s="1443" t="s">
        <v>558</v>
      </c>
      <c r="C56" s="1444">
        <v>203</v>
      </c>
      <c r="D56" s="1444">
        <v>76</v>
      </c>
      <c r="E56" s="1444">
        <v>2</v>
      </c>
      <c r="F56" s="1444">
        <v>19</v>
      </c>
      <c r="G56" s="1444">
        <v>5.87</v>
      </c>
      <c r="H56" s="1444">
        <v>7.5</v>
      </c>
      <c r="I56" s="1444">
        <v>509.16</v>
      </c>
      <c r="J56" s="1444">
        <v>48.32</v>
      </c>
      <c r="K56" s="1444">
        <v>54.73</v>
      </c>
      <c r="L56" s="1444">
        <v>10.59</v>
      </c>
      <c r="M56" s="1444">
        <v>8.0500000000000007</v>
      </c>
      <c r="N56" s="1444">
        <v>2.7</v>
      </c>
      <c r="O56" s="1444">
        <v>101.5</v>
      </c>
      <c r="P56" s="1444">
        <v>54.19</v>
      </c>
    </row>
    <row r="57" spans="1:16" ht="13.5" thickBot="1">
      <c r="A57" s="1427" t="s">
        <v>153</v>
      </c>
      <c r="B57" s="1445" t="s">
        <v>559</v>
      </c>
      <c r="C57" s="1446">
        <v>203</v>
      </c>
      <c r="D57" s="1446">
        <v>76</v>
      </c>
      <c r="E57" s="1446">
        <v>2.4</v>
      </c>
      <c r="F57" s="1446">
        <v>20</v>
      </c>
      <c r="G57" s="1446">
        <v>7.05</v>
      </c>
      <c r="H57" s="1446">
        <v>9</v>
      </c>
      <c r="I57" s="1446">
        <v>608.65</v>
      </c>
      <c r="J57" s="1446">
        <v>57.68</v>
      </c>
      <c r="K57" s="1446">
        <v>64.92</v>
      </c>
      <c r="L57" s="1446">
        <v>12.31</v>
      </c>
      <c r="M57" s="1446">
        <v>8.02</v>
      </c>
      <c r="N57" s="1446">
        <v>2.69</v>
      </c>
      <c r="O57" s="1446">
        <v>101.5</v>
      </c>
      <c r="P57" s="1446">
        <v>53.96</v>
      </c>
    </row>
    <row r="58" spans="1:16" ht="13.5" thickBot="1">
      <c r="A58" s="1427" t="s">
        <v>153</v>
      </c>
      <c r="B58" s="1443" t="s">
        <v>560</v>
      </c>
      <c r="C58" s="1444">
        <v>203</v>
      </c>
      <c r="D58" s="1444">
        <v>76</v>
      </c>
      <c r="E58" s="1444">
        <v>2.5</v>
      </c>
      <c r="F58" s="1444">
        <v>20.5</v>
      </c>
      <c r="G58" s="1444">
        <v>7.34</v>
      </c>
      <c r="H58" s="1444">
        <v>9.3800000000000008</v>
      </c>
      <c r="I58" s="1444">
        <v>634.76</v>
      </c>
      <c r="J58" s="1444">
        <v>60.08</v>
      </c>
      <c r="K58" s="1444">
        <v>67.8</v>
      </c>
      <c r="L58" s="1444">
        <v>12.89</v>
      </c>
      <c r="M58" s="1444">
        <v>8.02</v>
      </c>
      <c r="N58" s="1444">
        <v>2.69</v>
      </c>
      <c r="O58" s="1444">
        <v>101.5</v>
      </c>
      <c r="P58" s="1444">
        <v>53.83</v>
      </c>
    </row>
    <row r="59" spans="1:16" ht="13.5" thickBot="1">
      <c r="A59" s="1427" t="s">
        <v>153</v>
      </c>
      <c r="B59" s="1445" t="s">
        <v>561</v>
      </c>
      <c r="C59" s="1446">
        <v>254</v>
      </c>
      <c r="D59" s="1446">
        <v>76</v>
      </c>
      <c r="E59" s="1446">
        <v>1.5</v>
      </c>
      <c r="F59" s="1446">
        <v>18</v>
      </c>
      <c r="G59" s="1446">
        <v>4.99</v>
      </c>
      <c r="H59" s="1446">
        <v>6.38</v>
      </c>
      <c r="I59" s="1446">
        <v>644.47</v>
      </c>
      <c r="J59" s="1446">
        <v>49.21</v>
      </c>
      <c r="K59" s="1446">
        <v>44.65</v>
      </c>
      <c r="L59" s="1446">
        <v>7.95</v>
      </c>
      <c r="M59" s="1446">
        <v>9.8699999999999992</v>
      </c>
      <c r="N59" s="1446">
        <v>2.65</v>
      </c>
      <c r="O59" s="1446">
        <v>127</v>
      </c>
      <c r="P59" s="1446">
        <v>56.88</v>
      </c>
    </row>
    <row r="60" spans="1:16" ht="13.5" thickBot="1">
      <c r="A60" s="1427" t="s">
        <v>153</v>
      </c>
      <c r="B60" s="1443" t="s">
        <v>562</v>
      </c>
      <c r="C60" s="1444">
        <v>254</v>
      </c>
      <c r="D60" s="1444">
        <v>76</v>
      </c>
      <c r="E60" s="1444">
        <v>1.8</v>
      </c>
      <c r="F60" s="1444">
        <v>18</v>
      </c>
      <c r="G60" s="1444">
        <v>5.99</v>
      </c>
      <c r="H60" s="1444">
        <v>7.65</v>
      </c>
      <c r="I60" s="1444">
        <v>768.93</v>
      </c>
      <c r="J60" s="1444">
        <v>58.62</v>
      </c>
      <c r="K60" s="1444">
        <v>52.24</v>
      </c>
      <c r="L60" s="1444">
        <v>9.33</v>
      </c>
      <c r="M60" s="1444">
        <v>9.83</v>
      </c>
      <c r="N60" s="1444">
        <v>2.61</v>
      </c>
      <c r="O60" s="1444">
        <v>127</v>
      </c>
      <c r="P60" s="1444">
        <v>56.91</v>
      </c>
    </row>
    <row r="61" spans="1:16" ht="13.5" thickBot="1">
      <c r="A61" s="1427" t="s">
        <v>153</v>
      </c>
      <c r="B61" s="1443" t="s">
        <v>563</v>
      </c>
      <c r="C61" s="1444">
        <v>254</v>
      </c>
      <c r="D61" s="1444">
        <v>76</v>
      </c>
      <c r="E61" s="1444">
        <v>2</v>
      </c>
      <c r="F61" s="1444">
        <v>18.5</v>
      </c>
      <c r="G61" s="1444">
        <v>6.66</v>
      </c>
      <c r="H61" s="1444">
        <v>8.5</v>
      </c>
      <c r="I61" s="1444">
        <v>853.89</v>
      </c>
      <c r="J61" s="1444">
        <v>65</v>
      </c>
      <c r="K61" s="1444">
        <v>57.7</v>
      </c>
      <c r="L61" s="1444">
        <v>10.34</v>
      </c>
      <c r="M61" s="1444">
        <v>9.82</v>
      </c>
      <c r="N61" s="1444">
        <v>2.61</v>
      </c>
      <c r="O61" s="1444">
        <v>127</v>
      </c>
      <c r="P61" s="1444">
        <v>56.8</v>
      </c>
    </row>
    <row r="62" spans="1:16" ht="13.5" thickBot="1">
      <c r="A62" s="1427" t="s">
        <v>153</v>
      </c>
      <c r="B62" s="1445" t="s">
        <v>564</v>
      </c>
      <c r="C62" s="1446">
        <v>254</v>
      </c>
      <c r="D62" s="1446">
        <v>76</v>
      </c>
      <c r="E62" s="1446">
        <v>2.4</v>
      </c>
      <c r="F62" s="1446">
        <v>19.5</v>
      </c>
      <c r="G62" s="1446">
        <v>7.99</v>
      </c>
      <c r="H62" s="1446">
        <v>10.199999999999999</v>
      </c>
      <c r="I62" s="1446">
        <v>1021.87</v>
      </c>
      <c r="J62" s="1446">
        <v>77.680000000000007</v>
      </c>
      <c r="K62" s="1446">
        <v>68.45</v>
      </c>
      <c r="L62" s="1446">
        <v>12.36</v>
      </c>
      <c r="M62" s="1446">
        <v>9.7899999999999991</v>
      </c>
      <c r="N62" s="1446">
        <v>2.59</v>
      </c>
      <c r="O62" s="1446">
        <v>127</v>
      </c>
      <c r="P62" s="1446">
        <v>56.58</v>
      </c>
    </row>
    <row r="63" spans="1:16" ht="13.5" thickBot="1">
      <c r="A63" s="1427" t="s">
        <v>153</v>
      </c>
      <c r="B63" s="1443" t="s">
        <v>565</v>
      </c>
      <c r="C63" s="1444">
        <v>254</v>
      </c>
      <c r="D63" s="1444">
        <v>76</v>
      </c>
      <c r="E63" s="1444">
        <v>2.5</v>
      </c>
      <c r="F63" s="1444">
        <v>20</v>
      </c>
      <c r="G63" s="1444">
        <v>8.32</v>
      </c>
      <c r="H63" s="1444">
        <v>10.63</v>
      </c>
      <c r="I63" s="1444">
        <v>1065.8699999999999</v>
      </c>
      <c r="J63" s="1444">
        <v>80.94</v>
      </c>
      <c r="K63" s="1444">
        <v>71.489999999999995</v>
      </c>
      <c r="L63" s="1444">
        <v>12.95</v>
      </c>
      <c r="M63" s="1444">
        <v>9.7899999999999991</v>
      </c>
      <c r="N63" s="1444">
        <v>2.59</v>
      </c>
      <c r="O63" s="1444">
        <v>127</v>
      </c>
      <c r="P63" s="1444">
        <v>56.46</v>
      </c>
    </row>
    <row r="64" spans="1:16" ht="15.75">
      <c r="B64" s="1447"/>
    </row>
    <row r="65" spans="2:2" ht="15.75">
      <c r="B65" s="1447"/>
    </row>
    <row r="66" spans="2:2" ht="15.75">
      <c r="B66" s="1447"/>
    </row>
    <row r="67" spans="2:2" ht="15.75">
      <c r="B67" s="1447"/>
    </row>
    <row r="68" spans="2:2" ht="15.75">
      <c r="B68" s="1447"/>
    </row>
    <row r="69" spans="2:2" ht="15.75">
      <c r="B69" s="1447"/>
    </row>
    <row r="70" spans="2:2" ht="15.75">
      <c r="B70" s="1447"/>
    </row>
    <row r="71" spans="2:2" ht="15.75">
      <c r="B71" s="1447"/>
    </row>
    <row r="72" spans="2:2" ht="15.75">
      <c r="B72" s="1447"/>
    </row>
    <row r="73" spans="2:2" ht="15.75">
      <c r="B73" s="1447"/>
    </row>
    <row r="74" spans="2:2" ht="15.75">
      <c r="B74" s="1447"/>
    </row>
    <row r="75" spans="2:2" ht="15.75">
      <c r="B75" s="1447"/>
    </row>
    <row r="76" spans="2:2" ht="15.75">
      <c r="B76" s="1447"/>
    </row>
    <row r="77" spans="2:2" ht="15.75">
      <c r="B77" s="1447"/>
    </row>
    <row r="78" spans="2:2" ht="15.75">
      <c r="B78" s="1447"/>
    </row>
    <row r="79" spans="2:2" ht="15.75">
      <c r="B79" s="1447"/>
    </row>
    <row r="80" spans="2:2" ht="15.75">
      <c r="B80" s="1447"/>
    </row>
  </sheetData>
  <phoneticPr fontId="28" type="noConversion"/>
  <pageMargins left="0.75" right="0.75" top="1" bottom="1" header="0.5" footer="0.5"/>
  <headerFooter alignWithMargins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K246"/>
  <sheetViews>
    <sheetView workbookViewId="0">
      <selection activeCell="B8" sqref="B8"/>
    </sheetView>
  </sheetViews>
  <sheetFormatPr defaultRowHeight="12"/>
  <cols>
    <col min="1" max="1" width="21" bestFit="1" customWidth="1"/>
    <col min="2" max="2" width="15.140625" customWidth="1"/>
    <col min="4" max="4" width="12.140625" bestFit="1" customWidth="1"/>
    <col min="5" max="5" width="15.42578125" customWidth="1"/>
  </cols>
  <sheetData>
    <row r="1" spans="1:9" ht="15.75">
      <c r="A1" s="598" t="s">
        <v>1937</v>
      </c>
      <c r="B1" s="568"/>
      <c r="C1" s="571" t="s">
        <v>1939</v>
      </c>
      <c r="D1" s="597">
        <f>(B3*B6*COS(B5*PI()/180)+B4*B6)*COS(B5*PI()/180)*B7^2/8</f>
        <v>347.3918988329516</v>
      </c>
      <c r="E1" t="s">
        <v>1947</v>
      </c>
    </row>
    <row r="2" spans="1:9">
      <c r="A2" s="568"/>
      <c r="B2" s="568"/>
      <c r="C2" s="571" t="s">
        <v>1940</v>
      </c>
      <c r="D2" s="597">
        <f>(B3*B6*COS(B5*PI()/180)+B4*B6)*SIN(B5*PI()/180)*B9^2/8</f>
        <v>31.610077700102565</v>
      </c>
      <c r="E2" t="s">
        <v>1947</v>
      </c>
    </row>
    <row r="3" spans="1:9">
      <c r="A3" s="568" t="s">
        <v>1946</v>
      </c>
      <c r="B3" s="569">
        <v>75</v>
      </c>
      <c r="C3" s="572" t="s">
        <v>1941</v>
      </c>
      <c r="D3" s="570">
        <f>D1*100/B11+D2*100/B12</f>
        <v>1215.5055125778999</v>
      </c>
      <c r="E3" t="s">
        <v>1948</v>
      </c>
    </row>
    <row r="4" spans="1:9">
      <c r="A4" s="568" t="s">
        <v>1945</v>
      </c>
      <c r="B4" s="569">
        <v>25</v>
      </c>
      <c r="C4" s="571" t="s">
        <v>1949</v>
      </c>
      <c r="D4" s="596">
        <f>(B3*B6*COS(B5*PI()/180)+B4*B6)*COS(B5*PI()/180)/100*5/384*(B7*100)^4/2100000/B13</f>
        <v>1.6194490583598073</v>
      </c>
      <c r="E4" t="s">
        <v>1950</v>
      </c>
      <c r="F4" s="576">
        <f>B7*100/200</f>
        <v>2.2000000000000002</v>
      </c>
      <c r="G4" s="574"/>
    </row>
    <row r="5" spans="1:9">
      <c r="A5" s="568" t="s">
        <v>1938</v>
      </c>
      <c r="B5" s="569">
        <v>20</v>
      </c>
      <c r="F5" s="1"/>
      <c r="I5" s="1"/>
    </row>
    <row r="6" spans="1:9">
      <c r="A6" s="568" t="s">
        <v>1943</v>
      </c>
      <c r="B6" s="569">
        <v>1.6</v>
      </c>
    </row>
    <row r="7" spans="1:9">
      <c r="A7" s="568" t="s">
        <v>1942</v>
      </c>
      <c r="B7" s="569">
        <v>4.4000000000000004</v>
      </c>
    </row>
    <row r="8" spans="1:9">
      <c r="A8" s="568" t="s">
        <v>214</v>
      </c>
      <c r="B8" s="569">
        <v>2</v>
      </c>
    </row>
    <row r="9" spans="1:9">
      <c r="A9" s="568" t="s">
        <v>207</v>
      </c>
      <c r="B9" s="573">
        <f>B7/B8</f>
        <v>2.2000000000000002</v>
      </c>
    </row>
    <row r="10" spans="1:9">
      <c r="A10" s="566" t="s">
        <v>1944</v>
      </c>
      <c r="B10" s="568"/>
    </row>
    <row r="11" spans="1:9">
      <c r="A11" s="573" t="s">
        <v>1952</v>
      </c>
      <c r="B11" s="593">
        <f>IF(C11=0,D11,C11)</f>
        <v>41.2</v>
      </c>
      <c r="C11" s="594">
        <v>0</v>
      </c>
      <c r="D11" s="946">
        <f>INDEX(Wu,$E$11)</f>
        <v>41.2</v>
      </c>
      <c r="E11" s="595">
        <v>1</v>
      </c>
    </row>
    <row r="12" spans="1:9">
      <c r="A12" s="573" t="s">
        <v>0</v>
      </c>
      <c r="B12" s="593">
        <f>IF(C12=0,D12,C12)</f>
        <v>8.49</v>
      </c>
      <c r="C12" s="594">
        <v>0</v>
      </c>
      <c r="D12" s="946">
        <f>INDEX(Wzu,$E$11)</f>
        <v>8.49</v>
      </c>
    </row>
    <row r="13" spans="1:9">
      <c r="A13" s="568" t="s">
        <v>1951</v>
      </c>
      <c r="B13" s="568">
        <f>IF(C13=0,D13,C13)</f>
        <v>206</v>
      </c>
      <c r="C13" s="594">
        <v>0</v>
      </c>
      <c r="D13" s="947">
        <f>INDEX(Iyu,$E$11)</f>
        <v>206</v>
      </c>
      <c r="F13" s="561"/>
    </row>
    <row r="14" spans="1:9">
      <c r="A14" s="568"/>
      <c r="C14" t="s">
        <v>212</v>
      </c>
    </row>
    <row r="15" spans="1:9">
      <c r="A15" s="575"/>
      <c r="B15" s="574"/>
      <c r="C15" t="s">
        <v>213</v>
      </c>
    </row>
    <row r="16" spans="1:9">
      <c r="A16" s="574"/>
    </row>
    <row r="18" spans="1:11">
      <c r="F18" s="1"/>
      <c r="I18" s="1"/>
    </row>
    <row r="19" spans="1:11" ht="15.75">
      <c r="A19" s="606"/>
      <c r="B19" s="602"/>
      <c r="C19" s="602"/>
      <c r="D19" s="602"/>
      <c r="E19" s="602"/>
      <c r="F19" s="602"/>
      <c r="G19" s="602"/>
      <c r="H19" s="602"/>
      <c r="I19" s="602"/>
      <c r="J19" s="602"/>
      <c r="K19" s="602"/>
    </row>
    <row r="20" spans="1:11">
      <c r="A20" s="602"/>
      <c r="B20" s="602"/>
      <c r="C20" s="602"/>
      <c r="D20" s="602"/>
      <c r="E20" s="602"/>
      <c r="F20" s="602"/>
      <c r="G20" s="602"/>
      <c r="H20" s="602"/>
      <c r="I20" s="602"/>
      <c r="J20" s="602"/>
      <c r="K20" s="602"/>
    </row>
    <row r="21" spans="1:11">
      <c r="A21" s="607"/>
      <c r="B21" s="607"/>
      <c r="C21" s="607"/>
      <c r="D21" s="607"/>
      <c r="E21" s="607"/>
      <c r="F21" s="607"/>
      <c r="G21" s="602"/>
      <c r="H21" s="602"/>
      <c r="I21" s="602"/>
      <c r="J21" s="602"/>
      <c r="K21" s="602"/>
    </row>
    <row r="22" spans="1:11">
      <c r="A22" s="602"/>
      <c r="B22" s="603"/>
      <c r="C22" s="603"/>
      <c r="D22" s="602"/>
      <c r="E22" s="602"/>
      <c r="F22" s="602"/>
      <c r="G22" s="602"/>
      <c r="H22" s="602"/>
      <c r="I22" s="602"/>
      <c r="J22" s="602"/>
      <c r="K22" s="602"/>
    </row>
    <row r="23" spans="1:11">
      <c r="A23" s="603"/>
      <c r="B23" s="603"/>
      <c r="C23" s="603"/>
      <c r="D23" s="602"/>
      <c r="E23" s="602"/>
      <c r="F23" s="608"/>
      <c r="G23" s="602"/>
      <c r="H23" s="602"/>
      <c r="I23" s="602"/>
      <c r="J23" s="602"/>
      <c r="K23" s="602"/>
    </row>
    <row r="24" spans="1:11">
      <c r="A24" s="603"/>
      <c r="B24" s="609"/>
      <c r="C24" s="609"/>
      <c r="D24" s="602"/>
      <c r="E24" s="610"/>
      <c r="F24" s="608"/>
      <c r="G24" s="602"/>
      <c r="H24" s="602"/>
      <c r="I24" s="602"/>
      <c r="J24" s="602"/>
      <c r="K24" s="602"/>
    </row>
    <row r="25" spans="1:11">
      <c r="A25" s="603"/>
      <c r="B25" s="609"/>
      <c r="C25" s="609"/>
      <c r="D25" s="602"/>
      <c r="E25" s="610"/>
      <c r="F25" s="608"/>
      <c r="G25" s="602"/>
      <c r="H25" s="602"/>
      <c r="I25" s="602"/>
      <c r="J25" s="602"/>
      <c r="K25" s="602"/>
    </row>
    <row r="26" spans="1:11">
      <c r="A26" s="603"/>
      <c r="B26" s="609"/>
      <c r="C26" s="609"/>
      <c r="D26" s="602"/>
      <c r="E26" s="610"/>
      <c r="F26" s="608"/>
      <c r="G26" s="602"/>
      <c r="H26" s="602"/>
      <c r="I26" s="602"/>
      <c r="J26" s="602"/>
      <c r="K26" s="602"/>
    </row>
    <row r="27" spans="1:11">
      <c r="A27" s="603"/>
      <c r="B27" s="609"/>
      <c r="C27" s="609"/>
      <c r="D27" s="602"/>
      <c r="E27" s="610"/>
      <c r="F27" s="608"/>
      <c r="G27" s="602"/>
      <c r="H27" s="602"/>
      <c r="I27" s="602"/>
      <c r="J27" s="602"/>
      <c r="K27" s="602"/>
    </row>
    <row r="28" spans="1:11">
      <c r="A28" s="603"/>
      <c r="B28" s="609"/>
      <c r="C28" s="609"/>
      <c r="D28" s="602"/>
      <c r="E28" s="610"/>
      <c r="F28" s="608"/>
      <c r="G28" s="602"/>
      <c r="H28" s="602"/>
      <c r="I28" s="602"/>
      <c r="J28" s="602"/>
      <c r="K28" s="602"/>
    </row>
    <row r="29" spans="1:11">
      <c r="A29" s="603"/>
      <c r="B29" s="609"/>
      <c r="C29" s="609"/>
      <c r="D29" s="602"/>
      <c r="E29" s="610"/>
      <c r="F29" s="608"/>
      <c r="G29" s="602"/>
      <c r="H29" s="602"/>
      <c r="I29" s="602"/>
      <c r="J29" s="602"/>
      <c r="K29" s="602"/>
    </row>
    <row r="30" spans="1:11">
      <c r="A30" s="603"/>
      <c r="B30" s="609"/>
      <c r="C30" s="609"/>
      <c r="D30" s="602"/>
      <c r="E30" s="602"/>
      <c r="F30" s="608"/>
      <c r="G30" s="602"/>
      <c r="H30" s="602"/>
      <c r="I30" s="602"/>
      <c r="J30" s="602"/>
      <c r="K30" s="602"/>
    </row>
    <row r="31" spans="1:11">
      <c r="A31" s="603"/>
      <c r="B31" s="609"/>
      <c r="C31" s="609"/>
      <c r="D31" s="602"/>
      <c r="E31" s="602"/>
      <c r="F31" s="608"/>
      <c r="G31" s="602"/>
      <c r="H31" s="602"/>
      <c r="I31" s="602"/>
      <c r="J31" s="602"/>
      <c r="K31" s="602"/>
    </row>
    <row r="32" spans="1:11">
      <c r="A32" s="603"/>
      <c r="B32" s="609"/>
      <c r="C32" s="609"/>
      <c r="D32" s="602"/>
      <c r="E32" s="602"/>
      <c r="F32" s="608"/>
      <c r="G32" s="602"/>
      <c r="H32" s="602"/>
      <c r="I32" s="602"/>
      <c r="J32" s="602"/>
      <c r="K32" s="602"/>
    </row>
    <row r="33" spans="1:11">
      <c r="A33" s="603"/>
      <c r="B33" s="609"/>
      <c r="C33" s="609"/>
      <c r="D33" s="602"/>
      <c r="E33" s="610"/>
      <c r="F33" s="608"/>
      <c r="G33" s="602"/>
      <c r="H33" s="602"/>
      <c r="I33" s="602"/>
      <c r="J33" s="602"/>
      <c r="K33" s="602"/>
    </row>
    <row r="34" spans="1:11">
      <c r="A34" s="602"/>
      <c r="B34" s="602"/>
      <c r="C34" s="602"/>
      <c r="D34" s="602"/>
      <c r="E34" s="602"/>
      <c r="F34" s="602"/>
      <c r="G34" s="602"/>
      <c r="H34" s="602"/>
      <c r="I34" s="602"/>
      <c r="J34" s="602"/>
      <c r="K34" s="602"/>
    </row>
    <row r="35" spans="1:11">
      <c r="A35" s="611"/>
      <c r="B35" s="602"/>
      <c r="C35" s="612"/>
      <c r="D35" s="612"/>
      <c r="E35" s="602"/>
      <c r="F35" s="620"/>
      <c r="G35" s="602"/>
      <c r="H35" s="602"/>
      <c r="I35" s="602"/>
      <c r="J35" s="602"/>
      <c r="K35" s="602"/>
    </row>
    <row r="36" spans="1:11">
      <c r="A36" s="602"/>
      <c r="B36" s="602"/>
      <c r="C36" s="602"/>
      <c r="D36" s="602"/>
      <c r="E36" s="602"/>
      <c r="F36" s="602"/>
      <c r="G36" s="602"/>
      <c r="H36" s="602"/>
      <c r="I36" s="602"/>
      <c r="J36" s="602"/>
      <c r="K36" s="602"/>
    </row>
    <row r="37" spans="1:11">
      <c r="A37" s="602"/>
      <c r="B37" s="602"/>
      <c r="C37" s="602"/>
      <c r="D37" s="602"/>
      <c r="E37" s="602"/>
      <c r="F37" s="602"/>
      <c r="G37" s="602"/>
      <c r="H37" s="602"/>
      <c r="I37" s="602"/>
      <c r="J37" s="602"/>
      <c r="K37" s="602"/>
    </row>
    <row r="38" spans="1:11">
      <c r="A38" s="602"/>
      <c r="B38" s="602"/>
      <c r="C38" s="602"/>
      <c r="D38" s="602"/>
      <c r="E38" s="602"/>
      <c r="F38" s="602"/>
      <c r="G38" s="602"/>
      <c r="H38" s="602"/>
      <c r="I38" s="602"/>
      <c r="J38" s="602"/>
      <c r="K38" s="602"/>
    </row>
    <row r="39" spans="1:11">
      <c r="A39" s="602"/>
      <c r="B39" s="602"/>
      <c r="C39" s="602"/>
      <c r="D39" s="602"/>
      <c r="E39" s="602"/>
      <c r="F39" s="602"/>
      <c r="G39" s="602"/>
      <c r="H39" s="602"/>
      <c r="I39" s="602"/>
      <c r="J39" s="602"/>
      <c r="K39" s="602"/>
    </row>
    <row r="40" spans="1:11">
      <c r="A40" s="602"/>
      <c r="B40" s="602"/>
      <c r="C40" s="602"/>
      <c r="D40" s="602"/>
      <c r="E40" s="602"/>
      <c r="F40" s="602"/>
      <c r="G40" s="602"/>
      <c r="H40" s="602"/>
      <c r="I40" s="602"/>
      <c r="J40" s="602"/>
      <c r="K40" s="602"/>
    </row>
    <row r="41" spans="1:11">
      <c r="A41" s="602"/>
      <c r="B41" s="602"/>
      <c r="C41" s="602"/>
      <c r="D41" s="602"/>
      <c r="E41" s="602"/>
      <c r="F41" s="602"/>
      <c r="G41" s="602"/>
      <c r="H41" s="602"/>
      <c r="I41" s="602"/>
      <c r="J41" s="602"/>
      <c r="K41" s="602"/>
    </row>
    <row r="42" spans="1:11">
      <c r="A42" s="602"/>
      <c r="B42" s="602"/>
      <c r="C42" s="602"/>
      <c r="D42" s="602"/>
      <c r="E42" s="602"/>
      <c r="F42" s="602"/>
      <c r="G42" s="602"/>
      <c r="H42" s="602"/>
      <c r="I42" s="602"/>
      <c r="J42" s="602"/>
      <c r="K42" s="602"/>
    </row>
    <row r="43" spans="1:11">
      <c r="A43" s="602"/>
      <c r="B43" s="602"/>
      <c r="C43" s="602"/>
      <c r="D43" s="602"/>
      <c r="E43" s="602"/>
      <c r="F43" s="602"/>
      <c r="G43" s="602"/>
      <c r="H43" s="602"/>
      <c r="I43" s="602"/>
      <c r="J43" s="602"/>
      <c r="K43" s="602"/>
    </row>
    <row r="44" spans="1:11">
      <c r="A44" s="602"/>
      <c r="B44" s="602"/>
      <c r="C44" s="602"/>
      <c r="D44" s="602"/>
      <c r="E44" s="602"/>
      <c r="F44" s="602"/>
      <c r="G44" s="602"/>
      <c r="H44" s="602"/>
      <c r="I44" s="602"/>
      <c r="J44" s="602"/>
      <c r="K44" s="602"/>
    </row>
    <row r="45" spans="1:11">
      <c r="A45" s="602"/>
      <c r="B45" s="602"/>
      <c r="C45" s="602"/>
      <c r="D45" s="602"/>
      <c r="E45" s="602"/>
      <c r="F45" s="602"/>
      <c r="G45" s="602"/>
      <c r="H45" s="602"/>
      <c r="I45" s="602"/>
      <c r="J45" s="602"/>
      <c r="K45" s="602"/>
    </row>
    <row r="46" spans="1:11">
      <c r="A46" s="602"/>
      <c r="B46" s="602"/>
      <c r="C46" s="602"/>
      <c r="D46" s="602"/>
      <c r="E46" s="602"/>
      <c r="F46" s="602"/>
      <c r="G46" s="602"/>
      <c r="H46" s="602"/>
      <c r="I46" s="602"/>
      <c r="J46" s="602"/>
      <c r="K46" s="602"/>
    </row>
    <row r="47" spans="1:11">
      <c r="A47" s="602"/>
      <c r="B47" s="602"/>
      <c r="C47" s="602"/>
      <c r="D47" s="602"/>
      <c r="E47" s="602"/>
      <c r="F47" s="602"/>
      <c r="G47" s="602"/>
      <c r="H47" s="602"/>
      <c r="I47" s="602"/>
      <c r="J47" s="602"/>
      <c r="K47" s="602"/>
    </row>
    <row r="48" spans="1:11">
      <c r="A48" s="602"/>
      <c r="B48" s="602"/>
      <c r="C48" s="602"/>
      <c r="D48" s="602"/>
      <c r="E48" s="602"/>
      <c r="F48" s="602"/>
      <c r="G48" s="602"/>
      <c r="H48" s="602"/>
      <c r="I48" s="602"/>
      <c r="J48" s="602"/>
      <c r="K48" s="602"/>
    </row>
    <row r="49" spans="1:11">
      <c r="A49" s="602"/>
      <c r="B49" s="602"/>
      <c r="C49" s="602"/>
      <c r="D49" s="602"/>
      <c r="E49" s="602"/>
      <c r="F49" s="602"/>
      <c r="G49" s="602"/>
      <c r="H49" s="602"/>
      <c r="I49" s="602"/>
      <c r="J49" s="602"/>
      <c r="K49" s="602"/>
    </row>
    <row r="50" spans="1:11">
      <c r="A50" s="602"/>
      <c r="B50" s="602"/>
      <c r="C50" s="602"/>
      <c r="D50" s="602"/>
      <c r="E50" s="602"/>
      <c r="F50" s="602"/>
      <c r="G50" s="602"/>
      <c r="H50" s="602"/>
      <c r="I50" s="602"/>
      <c r="J50" s="602"/>
      <c r="K50" s="602"/>
    </row>
    <row r="51" spans="1:11">
      <c r="A51" s="602"/>
      <c r="B51" s="602"/>
      <c r="C51" s="602"/>
      <c r="D51" s="602"/>
      <c r="E51" s="602"/>
      <c r="F51" s="602"/>
      <c r="G51" s="602"/>
      <c r="H51" s="602"/>
      <c r="I51" s="602"/>
      <c r="J51" s="602"/>
      <c r="K51" s="602"/>
    </row>
    <row r="52" spans="1:11">
      <c r="A52" s="602"/>
      <c r="B52" s="602"/>
      <c r="C52" s="602"/>
      <c r="D52" s="602"/>
      <c r="E52" s="602"/>
      <c r="F52" s="602"/>
      <c r="G52" s="602"/>
      <c r="H52" s="602"/>
      <c r="I52" s="602"/>
      <c r="J52" s="602"/>
      <c r="K52" s="602"/>
    </row>
    <row r="53" spans="1:11">
      <c r="A53" s="602"/>
      <c r="B53" s="602"/>
      <c r="C53" s="602"/>
      <c r="D53" s="602"/>
      <c r="E53" s="602"/>
      <c r="F53" s="602"/>
      <c r="G53" s="602"/>
      <c r="H53" s="602"/>
      <c r="I53" s="602"/>
      <c r="J53" s="602"/>
      <c r="K53" s="602"/>
    </row>
    <row r="54" spans="1:11">
      <c r="A54" s="602"/>
      <c r="B54" s="602"/>
      <c r="C54" s="602"/>
      <c r="D54" s="602"/>
      <c r="E54" s="602"/>
      <c r="F54" s="602"/>
      <c r="G54" s="602"/>
      <c r="H54" s="602"/>
      <c r="I54" s="602"/>
      <c r="J54" s="602"/>
      <c r="K54" s="602"/>
    </row>
    <row r="55" spans="1:11">
      <c r="A55" s="602"/>
      <c r="B55" s="602"/>
      <c r="C55" s="602"/>
      <c r="D55" s="602"/>
      <c r="E55" s="602"/>
      <c r="F55" s="602"/>
      <c r="G55" s="602"/>
      <c r="H55" s="602"/>
      <c r="I55" s="602"/>
      <c r="J55" s="602"/>
      <c r="K55" s="602"/>
    </row>
    <row r="56" spans="1:11">
      <c r="A56" s="612"/>
      <c r="B56" s="621"/>
      <c r="C56" s="602"/>
      <c r="D56" s="602"/>
      <c r="E56" s="602"/>
      <c r="F56" s="602"/>
      <c r="G56" s="602"/>
      <c r="H56" s="602"/>
      <c r="I56" s="602"/>
      <c r="J56" s="602"/>
      <c r="K56" s="602"/>
    </row>
    <row r="57" spans="1:11">
      <c r="A57" s="602"/>
      <c r="B57" s="567"/>
      <c r="C57" s="602"/>
      <c r="D57" s="602"/>
      <c r="E57" s="602"/>
      <c r="F57" s="602"/>
      <c r="G57" s="602"/>
      <c r="H57" s="602"/>
      <c r="I57" s="602"/>
      <c r="J57" s="602"/>
      <c r="K57" s="602"/>
    </row>
    <row r="58" spans="1:11">
      <c r="A58" s="612"/>
      <c r="B58" s="620"/>
      <c r="C58" s="602"/>
      <c r="D58" s="602"/>
      <c r="E58" s="602"/>
      <c r="F58" s="602"/>
      <c r="G58" s="602"/>
      <c r="H58" s="602"/>
      <c r="I58" s="602"/>
      <c r="J58" s="602"/>
      <c r="K58" s="602"/>
    </row>
    <row r="59" spans="1:11">
      <c r="A59" s="602"/>
      <c r="B59" s="602"/>
      <c r="C59" s="602"/>
      <c r="D59" s="602"/>
      <c r="E59" s="602"/>
      <c r="F59" s="602"/>
      <c r="G59" s="602"/>
      <c r="H59" s="602"/>
      <c r="I59" s="602"/>
      <c r="J59" s="602"/>
      <c r="K59" s="602"/>
    </row>
    <row r="60" spans="1:11">
      <c r="A60" s="613"/>
      <c r="B60" s="614"/>
      <c r="C60" s="602"/>
      <c r="D60" s="602"/>
      <c r="E60" s="602"/>
      <c r="F60" s="602"/>
      <c r="G60" s="602"/>
      <c r="H60" s="602"/>
      <c r="I60" s="602"/>
      <c r="J60" s="602"/>
      <c r="K60" s="602"/>
    </row>
    <row r="61" spans="1:11">
      <c r="A61" s="602"/>
      <c r="B61" s="602"/>
      <c r="C61" s="602"/>
      <c r="D61" s="602"/>
      <c r="E61" s="602"/>
      <c r="F61" s="602"/>
      <c r="G61" s="602"/>
      <c r="H61" s="602"/>
      <c r="I61" s="602"/>
      <c r="J61" s="602"/>
      <c r="K61" s="602"/>
    </row>
    <row r="62" spans="1:11">
      <c r="A62" s="602"/>
      <c r="B62" s="602"/>
      <c r="C62" s="602"/>
      <c r="D62" s="602"/>
      <c r="E62" s="602"/>
      <c r="F62" s="602"/>
      <c r="G62" s="602"/>
      <c r="H62" s="602"/>
      <c r="I62" s="602"/>
      <c r="J62" s="602"/>
      <c r="K62" s="602"/>
    </row>
    <row r="63" spans="1:11" ht="15.75">
      <c r="A63" s="606"/>
      <c r="B63" s="602"/>
      <c r="C63" s="602"/>
      <c r="D63" s="602"/>
      <c r="E63" s="602"/>
      <c r="F63" s="602"/>
      <c r="G63" s="602"/>
      <c r="H63" s="602"/>
      <c r="I63" s="602"/>
      <c r="J63" s="602"/>
      <c r="K63" s="602"/>
    </row>
    <row r="64" spans="1:11">
      <c r="A64" s="602"/>
      <c r="B64" s="602"/>
      <c r="C64" s="602"/>
      <c r="D64" s="602"/>
      <c r="E64" s="602"/>
      <c r="F64" s="602"/>
      <c r="G64" s="602"/>
      <c r="H64" s="602"/>
      <c r="I64" s="602"/>
      <c r="J64" s="602"/>
      <c r="K64" s="602"/>
    </row>
    <row r="65" spans="1:11">
      <c r="A65" s="615"/>
      <c r="B65" s="616"/>
      <c r="C65" s="602"/>
      <c r="D65" s="602"/>
      <c r="E65" s="602"/>
      <c r="F65" s="602"/>
      <c r="G65" s="602"/>
      <c r="H65" s="602"/>
      <c r="I65" s="602"/>
      <c r="J65" s="602"/>
      <c r="K65" s="602"/>
    </row>
    <row r="66" spans="1:11">
      <c r="A66" s="616"/>
      <c r="B66" s="602"/>
      <c r="C66" s="602"/>
      <c r="D66" s="602"/>
      <c r="E66" s="602"/>
      <c r="F66" s="602"/>
      <c r="G66" s="602"/>
      <c r="H66" s="602"/>
      <c r="I66" s="602"/>
      <c r="J66" s="602"/>
      <c r="K66" s="602"/>
    </row>
    <row r="67" spans="1:11">
      <c r="A67" s="602"/>
      <c r="B67" s="567"/>
      <c r="C67" s="602"/>
      <c r="D67" s="602"/>
      <c r="E67" s="602"/>
      <c r="F67" s="602"/>
      <c r="G67" s="602"/>
      <c r="H67" s="602"/>
      <c r="I67" s="602"/>
      <c r="J67" s="602"/>
      <c r="K67" s="602"/>
    </row>
    <row r="68" spans="1:11">
      <c r="A68" s="602"/>
      <c r="B68" s="602"/>
      <c r="C68" s="602"/>
      <c r="D68" s="602"/>
      <c r="E68" s="602"/>
      <c r="F68" s="602"/>
      <c r="G68" s="602"/>
      <c r="H68" s="602"/>
      <c r="I68" s="602"/>
      <c r="J68" s="602"/>
      <c r="K68" s="602"/>
    </row>
    <row r="69" spans="1:11">
      <c r="A69" s="602"/>
      <c r="B69" s="602"/>
      <c r="C69" s="602"/>
      <c r="D69" s="602"/>
      <c r="E69" s="602"/>
      <c r="F69" s="602"/>
      <c r="G69" s="602"/>
      <c r="H69" s="602"/>
      <c r="I69" s="602"/>
      <c r="J69" s="602"/>
      <c r="K69" s="602"/>
    </row>
    <row r="70" spans="1:11">
      <c r="A70" s="602"/>
      <c r="B70" s="602"/>
      <c r="C70" s="602"/>
      <c r="D70" s="602"/>
      <c r="E70" s="602"/>
      <c r="F70" s="602"/>
      <c r="G70" s="602"/>
      <c r="H70" s="602"/>
      <c r="I70" s="602"/>
      <c r="J70" s="602"/>
      <c r="K70" s="602"/>
    </row>
    <row r="71" spans="1:11">
      <c r="A71" s="602"/>
      <c r="B71" s="602"/>
      <c r="C71" s="602"/>
      <c r="D71" s="602"/>
      <c r="E71" s="602"/>
      <c r="F71" s="602"/>
      <c r="G71" s="602"/>
      <c r="H71" s="602"/>
      <c r="I71" s="602"/>
      <c r="J71" s="602"/>
      <c r="K71" s="602"/>
    </row>
    <row r="72" spans="1:11">
      <c r="A72" s="602"/>
      <c r="B72" s="602"/>
      <c r="C72" s="602"/>
      <c r="D72" s="602"/>
      <c r="E72" s="617"/>
      <c r="F72" s="602"/>
      <c r="G72" s="602"/>
      <c r="H72" s="602"/>
      <c r="I72" s="602"/>
      <c r="J72" s="602"/>
      <c r="K72" s="602"/>
    </row>
    <row r="73" spans="1:11">
      <c r="A73" s="602"/>
      <c r="B73" s="602"/>
      <c r="C73" s="602"/>
      <c r="D73" s="602"/>
      <c r="E73" s="602"/>
      <c r="F73" s="602"/>
      <c r="G73" s="602"/>
      <c r="H73" s="602"/>
      <c r="I73" s="602"/>
      <c r="J73" s="602"/>
      <c r="K73" s="602"/>
    </row>
    <row r="74" spans="1:11">
      <c r="A74" s="602"/>
      <c r="B74" s="602"/>
      <c r="C74" s="602"/>
      <c r="D74" s="602"/>
      <c r="E74" s="602"/>
      <c r="F74" s="602"/>
      <c r="G74" s="602"/>
      <c r="H74" s="602"/>
      <c r="I74" s="602"/>
      <c r="J74" s="602"/>
      <c r="K74" s="602"/>
    </row>
    <row r="75" spans="1:11">
      <c r="A75" s="602"/>
      <c r="B75" s="602"/>
      <c r="C75" s="602"/>
      <c r="D75" s="602"/>
      <c r="E75" s="602"/>
      <c r="F75" s="602"/>
      <c r="G75" s="602"/>
      <c r="H75" s="602"/>
      <c r="I75" s="602"/>
      <c r="J75" s="602"/>
      <c r="K75" s="602"/>
    </row>
    <row r="76" spans="1:11">
      <c r="A76" s="602"/>
      <c r="B76" s="602"/>
      <c r="C76" s="602"/>
      <c r="D76" s="602"/>
      <c r="E76" s="602"/>
      <c r="F76" s="602"/>
      <c r="G76" s="602"/>
      <c r="H76" s="602"/>
      <c r="I76" s="602"/>
      <c r="J76" s="602"/>
      <c r="K76" s="602"/>
    </row>
    <row r="77" spans="1:11">
      <c r="A77" s="602"/>
      <c r="B77" s="602"/>
      <c r="C77" s="602"/>
      <c r="D77" s="602"/>
      <c r="E77" s="602"/>
      <c r="F77" s="602"/>
      <c r="G77" s="602"/>
      <c r="H77" s="602"/>
      <c r="I77" s="602"/>
      <c r="J77" s="602"/>
      <c r="K77" s="602"/>
    </row>
    <row r="78" spans="1:11">
      <c r="A78" s="602"/>
      <c r="B78" s="602"/>
      <c r="C78" s="602"/>
      <c r="D78" s="602"/>
      <c r="E78" s="602"/>
      <c r="F78" s="602"/>
      <c r="G78" s="602"/>
      <c r="H78" s="602"/>
      <c r="I78" s="602"/>
      <c r="J78" s="602"/>
      <c r="K78" s="602"/>
    </row>
    <row r="79" spans="1:11">
      <c r="A79" s="602"/>
      <c r="B79" s="602"/>
      <c r="C79" s="602"/>
      <c r="D79" s="602"/>
      <c r="E79" s="602"/>
      <c r="F79" s="602"/>
      <c r="G79" s="602"/>
      <c r="H79" s="602"/>
      <c r="I79" s="602"/>
      <c r="J79" s="602"/>
      <c r="K79" s="602"/>
    </row>
    <row r="80" spans="1:11">
      <c r="A80" s="602"/>
      <c r="B80" s="602"/>
      <c r="C80" s="602"/>
      <c r="D80" s="602"/>
      <c r="E80" s="602"/>
      <c r="F80" s="602"/>
      <c r="G80" s="602"/>
      <c r="H80" s="602"/>
      <c r="I80" s="602"/>
      <c r="J80" s="602"/>
      <c r="K80" s="602"/>
    </row>
    <row r="81" spans="1:11">
      <c r="A81" s="602"/>
      <c r="B81" s="602"/>
      <c r="C81" s="602"/>
      <c r="D81" s="602"/>
      <c r="E81" s="602"/>
      <c r="F81" s="602"/>
      <c r="G81" s="602"/>
      <c r="H81" s="602"/>
      <c r="I81" s="602"/>
      <c r="J81" s="602"/>
      <c r="K81" s="602"/>
    </row>
    <row r="82" spans="1:11">
      <c r="A82" s="602"/>
      <c r="B82" s="602"/>
      <c r="C82" s="602"/>
      <c r="D82" s="602"/>
      <c r="E82" s="602"/>
      <c r="F82" s="602"/>
      <c r="G82" s="602"/>
      <c r="H82" s="602"/>
      <c r="I82" s="602"/>
      <c r="J82" s="602"/>
      <c r="K82" s="602"/>
    </row>
    <row r="83" spans="1:11">
      <c r="A83" s="602"/>
      <c r="B83" s="602"/>
      <c r="C83" s="602"/>
      <c r="D83" s="602"/>
      <c r="E83" s="602"/>
      <c r="F83" s="602"/>
      <c r="G83" s="602"/>
      <c r="H83" s="602"/>
      <c r="I83" s="602"/>
      <c r="J83" s="602"/>
      <c r="K83" s="602"/>
    </row>
    <row r="84" spans="1:11">
      <c r="A84" s="602"/>
      <c r="B84" s="602"/>
      <c r="C84" s="602"/>
      <c r="D84" s="602"/>
      <c r="E84" s="602"/>
      <c r="F84" s="602"/>
      <c r="G84" s="602"/>
      <c r="H84" s="602"/>
      <c r="I84" s="602"/>
      <c r="J84" s="602"/>
      <c r="K84" s="602"/>
    </row>
    <row r="85" spans="1:11">
      <c r="A85" s="602"/>
      <c r="B85" s="602"/>
      <c r="C85" s="602"/>
      <c r="D85" s="602"/>
      <c r="E85" s="602"/>
      <c r="F85" s="602"/>
      <c r="G85" s="602"/>
      <c r="H85" s="602"/>
      <c r="I85" s="602"/>
      <c r="J85" s="602"/>
      <c r="K85" s="602"/>
    </row>
    <row r="86" spans="1:11">
      <c r="A86" s="602"/>
      <c r="B86" s="602"/>
      <c r="C86" s="602"/>
      <c r="D86" s="602"/>
      <c r="E86" s="602"/>
      <c r="F86" s="602"/>
      <c r="G86" s="602"/>
      <c r="H86" s="602"/>
      <c r="I86" s="602"/>
      <c r="J86" s="602"/>
      <c r="K86" s="602"/>
    </row>
    <row r="87" spans="1:11">
      <c r="A87" s="602"/>
      <c r="B87" s="602"/>
      <c r="C87" s="602"/>
      <c r="D87" s="602"/>
      <c r="E87" s="602"/>
      <c r="F87" s="602"/>
      <c r="G87" s="602"/>
      <c r="H87" s="602"/>
      <c r="I87" s="602"/>
      <c r="J87" s="602"/>
      <c r="K87" s="602"/>
    </row>
    <row r="88" spans="1:11">
      <c r="A88" s="602"/>
      <c r="B88" s="602"/>
      <c r="C88" s="602"/>
      <c r="D88" s="602"/>
      <c r="E88" s="602"/>
      <c r="F88" s="602"/>
      <c r="G88" s="602"/>
      <c r="H88" s="602"/>
      <c r="I88" s="602"/>
      <c r="J88" s="602"/>
      <c r="K88" s="602"/>
    </row>
    <row r="89" spans="1:11">
      <c r="A89" s="602"/>
      <c r="B89" s="602"/>
      <c r="C89" s="602"/>
      <c r="D89" s="602"/>
      <c r="E89" s="602"/>
      <c r="F89" s="602"/>
      <c r="G89" s="602"/>
      <c r="H89" s="602"/>
      <c r="I89" s="602"/>
      <c r="J89" s="602"/>
      <c r="K89" s="602"/>
    </row>
    <row r="90" spans="1:11">
      <c r="A90" s="602"/>
      <c r="B90" s="602"/>
      <c r="C90" s="602"/>
      <c r="D90" s="602"/>
      <c r="E90" s="602"/>
      <c r="F90" s="602"/>
      <c r="G90" s="602"/>
      <c r="H90" s="602"/>
      <c r="I90" s="602"/>
      <c r="J90" s="602"/>
      <c r="K90" s="602"/>
    </row>
    <row r="91" spans="1:11">
      <c r="A91" s="602"/>
      <c r="B91" s="602"/>
      <c r="C91" s="602"/>
      <c r="D91" s="602"/>
      <c r="E91" s="602"/>
      <c r="F91" s="602"/>
      <c r="G91" s="602"/>
      <c r="H91" s="602"/>
      <c r="I91" s="602"/>
      <c r="J91" s="602"/>
      <c r="K91" s="602"/>
    </row>
    <row r="92" spans="1:11">
      <c r="A92" s="602"/>
      <c r="B92" s="602"/>
      <c r="C92" s="602"/>
      <c r="D92" s="602"/>
      <c r="E92" s="602"/>
      <c r="F92" s="602"/>
      <c r="G92" s="602"/>
      <c r="H92" s="602"/>
      <c r="I92" s="602"/>
      <c r="J92" s="602"/>
      <c r="K92" s="602"/>
    </row>
    <row r="93" spans="1:11">
      <c r="A93" s="602"/>
      <c r="B93" s="602"/>
      <c r="C93" s="602"/>
      <c r="D93" s="602"/>
      <c r="E93" s="602"/>
      <c r="F93" s="602"/>
      <c r="G93" s="602"/>
      <c r="H93" s="602"/>
      <c r="I93" s="602"/>
      <c r="J93" s="602"/>
      <c r="K93" s="602"/>
    </row>
    <row r="94" spans="1:11">
      <c r="A94" s="602"/>
      <c r="B94" s="602"/>
      <c r="C94" s="602"/>
      <c r="D94" s="602"/>
      <c r="E94" s="602"/>
      <c r="F94" s="602"/>
      <c r="G94" s="602"/>
      <c r="H94" s="602"/>
      <c r="I94" s="602"/>
      <c r="J94" s="602"/>
      <c r="K94" s="602"/>
    </row>
    <row r="95" spans="1:11">
      <c r="A95" s="602"/>
      <c r="B95" s="602"/>
      <c r="C95" s="602"/>
      <c r="D95" s="602"/>
      <c r="E95" s="602"/>
      <c r="F95" s="602"/>
      <c r="G95" s="602"/>
      <c r="H95" s="602"/>
      <c r="I95" s="602"/>
      <c r="J95" s="602"/>
      <c r="K95" s="602"/>
    </row>
    <row r="96" spans="1:11">
      <c r="A96" s="602"/>
      <c r="B96" s="602"/>
      <c r="C96" s="602"/>
      <c r="D96" s="602"/>
      <c r="E96" s="602"/>
      <c r="F96" s="602"/>
      <c r="G96" s="602"/>
      <c r="H96" s="602"/>
      <c r="I96" s="602"/>
      <c r="J96" s="602"/>
      <c r="K96" s="602"/>
    </row>
    <row r="97" spans="1:11">
      <c r="A97" s="602"/>
      <c r="B97" s="602"/>
      <c r="C97" s="602"/>
      <c r="D97" s="602"/>
      <c r="E97" s="602"/>
      <c r="F97" s="602"/>
      <c r="G97" s="602"/>
      <c r="H97" s="602"/>
      <c r="I97" s="602"/>
      <c r="J97" s="602"/>
      <c r="K97" s="602"/>
    </row>
    <row r="98" spans="1:11">
      <c r="A98" s="602"/>
      <c r="B98" s="602"/>
      <c r="C98" s="602"/>
      <c r="D98" s="602"/>
      <c r="E98" s="602"/>
      <c r="F98" s="602"/>
      <c r="G98" s="602"/>
      <c r="H98" s="602"/>
      <c r="I98" s="602"/>
      <c r="J98" s="602"/>
      <c r="K98" s="602"/>
    </row>
    <row r="99" spans="1:11">
      <c r="A99" s="602"/>
      <c r="B99" s="602"/>
      <c r="C99" s="602"/>
      <c r="D99" s="602"/>
      <c r="E99" s="602"/>
      <c r="F99" s="602"/>
      <c r="G99" s="602"/>
      <c r="H99" s="602"/>
      <c r="I99" s="602"/>
      <c r="J99" s="602"/>
      <c r="K99" s="602"/>
    </row>
    <row r="100" spans="1:11">
      <c r="A100" s="602"/>
      <c r="B100" s="602"/>
      <c r="C100" s="602"/>
      <c r="D100" s="602"/>
      <c r="E100" s="602"/>
      <c r="F100" s="602"/>
      <c r="G100" s="602"/>
      <c r="H100" s="602"/>
      <c r="I100" s="602"/>
      <c r="J100" s="602"/>
      <c r="K100" s="602"/>
    </row>
    <row r="101" spans="1:11">
      <c r="A101" s="602"/>
      <c r="B101" s="602"/>
      <c r="C101" s="602"/>
      <c r="D101" s="602"/>
      <c r="E101" s="602"/>
      <c r="F101" s="602"/>
      <c r="G101" s="602"/>
      <c r="H101" s="602"/>
      <c r="I101" s="602"/>
      <c r="J101" s="602"/>
      <c r="K101" s="602"/>
    </row>
    <row r="102" spans="1:11">
      <c r="A102" s="602"/>
      <c r="B102" s="602"/>
      <c r="C102" s="602"/>
      <c r="D102" s="602"/>
      <c r="E102" s="602"/>
      <c r="F102" s="602"/>
      <c r="G102" s="602"/>
      <c r="H102" s="602"/>
      <c r="I102" s="602"/>
      <c r="J102" s="602"/>
      <c r="K102" s="602"/>
    </row>
    <row r="103" spans="1:11">
      <c r="A103" s="602"/>
      <c r="B103" s="602"/>
      <c r="C103" s="602"/>
      <c r="D103" s="602"/>
      <c r="E103" s="602"/>
      <c r="F103" s="602"/>
      <c r="G103" s="602"/>
      <c r="H103" s="602"/>
      <c r="I103" s="602"/>
      <c r="J103" s="602"/>
      <c r="K103" s="602"/>
    </row>
    <row r="104" spans="1:11">
      <c r="A104" s="602"/>
      <c r="B104" s="602"/>
      <c r="C104" s="602"/>
      <c r="D104" s="602"/>
      <c r="E104" s="602"/>
      <c r="F104" s="602"/>
      <c r="G104" s="602"/>
      <c r="H104" s="602"/>
      <c r="I104" s="602"/>
      <c r="J104" s="602"/>
      <c r="K104" s="602"/>
    </row>
    <row r="105" spans="1:11">
      <c r="A105" s="602"/>
      <c r="B105" s="602"/>
      <c r="C105" s="602"/>
      <c r="D105" s="602"/>
      <c r="E105" s="602"/>
      <c r="F105" s="602"/>
      <c r="G105" s="602"/>
      <c r="H105" s="602"/>
      <c r="I105" s="602"/>
      <c r="J105" s="602"/>
      <c r="K105" s="602"/>
    </row>
    <row r="106" spans="1:11">
      <c r="A106" s="602"/>
      <c r="B106" s="602"/>
      <c r="C106" s="602"/>
      <c r="D106" s="602"/>
      <c r="E106" s="602"/>
      <c r="F106" s="602"/>
      <c r="G106" s="602"/>
      <c r="H106" s="602"/>
      <c r="I106" s="602"/>
      <c r="J106" s="602"/>
      <c r="K106" s="602"/>
    </row>
    <row r="107" spans="1:11">
      <c r="A107" s="602"/>
      <c r="B107" s="602"/>
      <c r="C107" s="602"/>
      <c r="D107" s="602"/>
      <c r="E107" s="602"/>
      <c r="F107" s="602"/>
      <c r="G107" s="602"/>
      <c r="H107" s="602"/>
      <c r="I107" s="602"/>
      <c r="J107" s="602"/>
      <c r="K107" s="602"/>
    </row>
    <row r="108" spans="1:11">
      <c r="A108" s="602"/>
      <c r="B108" s="602"/>
      <c r="C108" s="602"/>
      <c r="D108" s="602"/>
      <c r="E108" s="602"/>
      <c r="F108" s="602"/>
      <c r="G108" s="602"/>
      <c r="H108" s="602"/>
      <c r="I108" s="602"/>
      <c r="J108" s="602"/>
      <c r="K108" s="602"/>
    </row>
    <row r="109" spans="1:11">
      <c r="A109" s="602"/>
      <c r="B109" s="602"/>
      <c r="C109" s="602"/>
      <c r="D109" s="602"/>
      <c r="E109" s="602"/>
      <c r="F109" s="602"/>
      <c r="G109" s="602"/>
      <c r="H109" s="602"/>
      <c r="I109" s="602"/>
      <c r="J109" s="602"/>
      <c r="K109" s="602"/>
    </row>
    <row r="110" spans="1:11">
      <c r="A110" s="602"/>
      <c r="B110" s="602"/>
      <c r="C110" s="602"/>
      <c r="D110" s="602"/>
      <c r="E110" s="602"/>
      <c r="F110" s="602"/>
      <c r="G110" s="602"/>
      <c r="H110" s="602"/>
      <c r="I110" s="602"/>
      <c r="J110" s="602"/>
      <c r="K110" s="602"/>
    </row>
    <row r="111" spans="1:11">
      <c r="A111" s="602"/>
      <c r="B111" s="602"/>
      <c r="C111" s="602"/>
      <c r="D111" s="602"/>
      <c r="E111" s="602"/>
      <c r="F111" s="602"/>
      <c r="G111" s="602"/>
      <c r="H111" s="602"/>
      <c r="I111" s="602"/>
      <c r="J111" s="602"/>
      <c r="K111" s="602"/>
    </row>
    <row r="112" spans="1:11">
      <c r="A112" s="602"/>
      <c r="B112" s="602"/>
      <c r="C112" s="602"/>
      <c r="D112" s="602"/>
      <c r="E112" s="602"/>
      <c r="F112" s="602"/>
      <c r="G112" s="602"/>
      <c r="H112" s="602"/>
      <c r="I112" s="602"/>
      <c r="J112" s="602"/>
      <c r="K112" s="602"/>
    </row>
    <row r="113" spans="1:11">
      <c r="A113" s="602"/>
      <c r="B113" s="602"/>
      <c r="C113" s="602"/>
      <c r="D113" s="602"/>
      <c r="E113" s="602"/>
      <c r="F113" s="602"/>
      <c r="G113" s="602"/>
      <c r="H113" s="602"/>
      <c r="I113" s="602"/>
      <c r="J113" s="602"/>
      <c r="K113" s="602"/>
    </row>
    <row r="114" spans="1:11">
      <c r="A114" s="602"/>
      <c r="B114" s="602"/>
      <c r="C114" s="602"/>
      <c r="D114" s="602"/>
      <c r="E114" s="602"/>
      <c r="F114" s="602"/>
      <c r="G114" s="602"/>
      <c r="H114" s="602"/>
      <c r="I114" s="602"/>
      <c r="J114" s="602"/>
      <c r="K114" s="602"/>
    </row>
    <row r="115" spans="1:11">
      <c r="A115" s="602"/>
      <c r="B115" s="602"/>
      <c r="C115" s="602"/>
      <c r="D115" s="602"/>
      <c r="E115" s="602"/>
      <c r="F115" s="602"/>
      <c r="G115" s="602"/>
      <c r="H115" s="602"/>
      <c r="I115" s="602"/>
      <c r="J115" s="602"/>
      <c r="K115" s="602"/>
    </row>
    <row r="116" spans="1:11">
      <c r="A116" s="602"/>
      <c r="B116" s="602"/>
      <c r="C116" s="602"/>
      <c r="D116" s="602"/>
      <c r="E116" s="602"/>
      <c r="F116" s="602"/>
      <c r="G116" s="602"/>
      <c r="H116" s="602"/>
      <c r="I116" s="602"/>
      <c r="J116" s="602"/>
      <c r="K116" s="602"/>
    </row>
    <row r="117" spans="1:11">
      <c r="A117" s="602"/>
      <c r="B117" s="602"/>
      <c r="C117" s="602"/>
      <c r="D117" s="602"/>
      <c r="E117" s="602"/>
      <c r="F117" s="602"/>
      <c r="G117" s="602"/>
      <c r="H117" s="602"/>
      <c r="I117" s="602"/>
      <c r="J117" s="602"/>
      <c r="K117" s="602"/>
    </row>
    <row r="118" spans="1:11">
      <c r="A118" s="602"/>
      <c r="B118" s="602"/>
      <c r="C118" s="602"/>
      <c r="D118" s="602"/>
      <c r="E118" s="602"/>
      <c r="F118" s="602"/>
      <c r="G118" s="602"/>
      <c r="H118" s="602"/>
      <c r="I118" s="602"/>
      <c r="J118" s="602"/>
      <c r="K118" s="602"/>
    </row>
    <row r="119" spans="1:11">
      <c r="A119" s="602"/>
      <c r="B119" s="602"/>
      <c r="C119" s="602"/>
      <c r="D119" s="602"/>
      <c r="E119" s="602"/>
      <c r="F119" s="602"/>
      <c r="G119" s="602"/>
      <c r="H119" s="602"/>
      <c r="I119" s="602"/>
      <c r="J119" s="602"/>
      <c r="K119" s="602"/>
    </row>
    <row r="120" spans="1:11">
      <c r="A120" s="602"/>
      <c r="B120" s="602"/>
      <c r="C120" s="602"/>
      <c r="D120" s="602"/>
      <c r="E120" s="602"/>
      <c r="F120" s="602"/>
      <c r="G120" s="602"/>
      <c r="H120" s="602"/>
      <c r="I120" s="602"/>
      <c r="J120" s="602"/>
      <c r="K120" s="602"/>
    </row>
    <row r="121" spans="1:11">
      <c r="A121" s="602"/>
      <c r="B121" s="602"/>
      <c r="C121" s="602"/>
      <c r="D121" s="602"/>
      <c r="E121" s="602"/>
      <c r="F121" s="602"/>
      <c r="G121" s="602"/>
      <c r="H121" s="602"/>
      <c r="I121" s="602"/>
      <c r="J121" s="602"/>
      <c r="K121" s="602"/>
    </row>
    <row r="122" spans="1:11">
      <c r="A122" s="602"/>
      <c r="B122" s="602"/>
      <c r="C122" s="602"/>
      <c r="D122" s="602"/>
      <c r="E122" s="602"/>
      <c r="F122" s="602"/>
      <c r="G122" s="602"/>
      <c r="H122" s="602"/>
      <c r="I122" s="602"/>
      <c r="J122" s="602"/>
      <c r="K122" s="602"/>
    </row>
    <row r="123" spans="1:11">
      <c r="A123" s="602"/>
      <c r="B123" s="602"/>
      <c r="C123" s="602"/>
      <c r="D123" s="602"/>
      <c r="E123" s="602"/>
      <c r="F123" s="602"/>
      <c r="G123" s="602"/>
      <c r="H123" s="602"/>
      <c r="I123" s="602"/>
      <c r="J123" s="602"/>
      <c r="K123" s="602"/>
    </row>
    <row r="124" spans="1:11">
      <c r="A124" s="602"/>
      <c r="B124" s="602"/>
      <c r="C124" s="602"/>
      <c r="D124" s="602"/>
      <c r="E124" s="602"/>
      <c r="F124" s="602"/>
      <c r="G124" s="602"/>
      <c r="H124" s="602"/>
      <c r="I124" s="602"/>
      <c r="J124" s="602"/>
      <c r="K124" s="602"/>
    </row>
    <row r="125" spans="1:11">
      <c r="A125" s="602"/>
      <c r="B125" s="602"/>
      <c r="C125" s="602"/>
      <c r="D125" s="602"/>
      <c r="E125" s="602"/>
      <c r="F125" s="602"/>
      <c r="G125" s="602"/>
      <c r="H125" s="602"/>
      <c r="I125" s="602"/>
      <c r="J125" s="602"/>
      <c r="K125" s="602"/>
    </row>
    <row r="126" spans="1:11">
      <c r="A126" s="602"/>
      <c r="B126" s="602"/>
      <c r="C126" s="602"/>
      <c r="D126" s="602"/>
      <c r="E126" s="602"/>
      <c r="F126" s="602"/>
      <c r="G126" s="602"/>
      <c r="H126" s="602"/>
      <c r="I126" s="602"/>
      <c r="J126" s="602"/>
      <c r="K126" s="602"/>
    </row>
    <row r="127" spans="1:11">
      <c r="A127" s="602"/>
      <c r="B127" s="602"/>
      <c r="C127" s="602"/>
      <c r="D127" s="602"/>
      <c r="E127" s="602"/>
      <c r="F127" s="602"/>
      <c r="G127" s="602"/>
      <c r="H127" s="602"/>
      <c r="I127" s="602"/>
      <c r="J127" s="602"/>
      <c r="K127" s="602"/>
    </row>
    <row r="128" spans="1:11">
      <c r="A128" s="602"/>
      <c r="B128" s="602"/>
      <c r="C128" s="602"/>
      <c r="D128" s="602"/>
      <c r="E128" s="602"/>
      <c r="F128" s="602"/>
      <c r="G128" s="602"/>
      <c r="H128" s="602"/>
      <c r="I128" s="602"/>
      <c r="J128" s="602"/>
      <c r="K128" s="602"/>
    </row>
    <row r="129" spans="1:11">
      <c r="A129" s="602"/>
      <c r="B129" s="602"/>
      <c r="C129" s="602"/>
      <c r="D129" s="602"/>
      <c r="E129" s="602"/>
      <c r="F129" s="602"/>
      <c r="G129" s="602"/>
      <c r="H129" s="602"/>
      <c r="I129" s="602"/>
      <c r="J129" s="602"/>
      <c r="K129" s="602"/>
    </row>
    <row r="130" spans="1:11">
      <c r="A130" s="602"/>
      <c r="B130" s="602"/>
      <c r="C130" s="602"/>
      <c r="D130" s="602"/>
      <c r="E130" s="602"/>
      <c r="F130" s="602"/>
      <c r="G130" s="602"/>
      <c r="H130" s="602"/>
      <c r="I130" s="602"/>
      <c r="J130" s="602"/>
      <c r="K130" s="602"/>
    </row>
    <row r="131" spans="1:11">
      <c r="A131" s="602"/>
      <c r="B131" s="602"/>
      <c r="C131" s="602"/>
      <c r="D131" s="602"/>
      <c r="E131" s="602"/>
      <c r="F131" s="602"/>
      <c r="G131" s="602"/>
      <c r="H131" s="602"/>
      <c r="I131" s="602"/>
      <c r="J131" s="602"/>
      <c r="K131" s="602"/>
    </row>
    <row r="132" spans="1:11">
      <c r="A132" s="602"/>
      <c r="B132" s="602"/>
      <c r="C132" s="602"/>
      <c r="D132" s="602"/>
      <c r="E132" s="602"/>
      <c r="F132" s="602"/>
      <c r="G132" s="602"/>
      <c r="H132" s="602"/>
      <c r="I132" s="602"/>
      <c r="J132" s="602"/>
      <c r="K132" s="602"/>
    </row>
    <row r="133" spans="1:11">
      <c r="A133" s="602"/>
      <c r="B133" s="602"/>
      <c r="C133" s="602"/>
      <c r="D133" s="602"/>
      <c r="E133" s="602"/>
      <c r="F133" s="602"/>
      <c r="G133" s="602"/>
      <c r="H133" s="602"/>
      <c r="I133" s="602"/>
      <c r="J133" s="602"/>
      <c r="K133" s="602"/>
    </row>
    <row r="134" spans="1:11">
      <c r="A134" s="602"/>
      <c r="B134" s="602"/>
      <c r="C134" s="602"/>
      <c r="D134" s="602"/>
      <c r="E134" s="602"/>
      <c r="F134" s="602"/>
      <c r="G134" s="602"/>
      <c r="H134" s="602"/>
      <c r="I134" s="602"/>
      <c r="J134" s="602"/>
      <c r="K134" s="602"/>
    </row>
    <row r="135" spans="1:11">
      <c r="A135" s="602"/>
      <c r="B135" s="602"/>
      <c r="C135" s="602"/>
      <c r="D135" s="602"/>
      <c r="E135" s="602"/>
      <c r="F135" s="602"/>
      <c r="G135" s="602"/>
      <c r="H135" s="602"/>
      <c r="I135" s="602"/>
      <c r="J135" s="602"/>
      <c r="K135" s="602"/>
    </row>
    <row r="136" spans="1:11">
      <c r="A136" s="602"/>
      <c r="B136" s="602"/>
      <c r="C136" s="602"/>
      <c r="D136" s="602"/>
      <c r="E136" s="602"/>
      <c r="F136" s="602"/>
      <c r="G136" s="602"/>
      <c r="H136" s="602"/>
      <c r="I136" s="602"/>
      <c r="J136" s="602"/>
      <c r="K136" s="602"/>
    </row>
    <row r="137" spans="1:11">
      <c r="A137" s="602"/>
      <c r="B137" s="602"/>
      <c r="C137" s="602"/>
      <c r="D137" s="602"/>
      <c r="E137" s="602"/>
      <c r="F137" s="602"/>
      <c r="G137" s="602"/>
      <c r="H137" s="602"/>
      <c r="I137" s="602"/>
      <c r="J137" s="602"/>
      <c r="K137" s="602"/>
    </row>
    <row r="138" spans="1:11">
      <c r="A138" s="602"/>
      <c r="B138" s="602"/>
      <c r="C138" s="602"/>
      <c r="D138" s="602"/>
      <c r="E138" s="602"/>
      <c r="F138" s="602"/>
      <c r="G138" s="602"/>
      <c r="H138" s="602"/>
      <c r="I138" s="602"/>
      <c r="J138" s="602"/>
      <c r="K138" s="602"/>
    </row>
    <row r="139" spans="1:11">
      <c r="A139" s="602"/>
      <c r="B139" s="602"/>
      <c r="C139" s="602"/>
      <c r="D139" s="602"/>
      <c r="E139" s="602"/>
      <c r="F139" s="602"/>
      <c r="G139" s="602"/>
      <c r="H139" s="602"/>
      <c r="I139" s="602"/>
      <c r="J139" s="602"/>
      <c r="K139" s="602"/>
    </row>
    <row r="140" spans="1:11">
      <c r="A140" s="602"/>
      <c r="B140" s="602"/>
      <c r="C140" s="602"/>
      <c r="D140" s="602"/>
      <c r="E140" s="602"/>
      <c r="F140" s="602"/>
      <c r="G140" s="602"/>
      <c r="H140" s="602"/>
      <c r="I140" s="602"/>
      <c r="J140" s="602"/>
      <c r="K140" s="602"/>
    </row>
    <row r="141" spans="1:11">
      <c r="A141" s="602"/>
      <c r="B141" s="602"/>
      <c r="C141" s="602"/>
      <c r="D141" s="602"/>
      <c r="E141" s="602"/>
      <c r="F141" s="602"/>
      <c r="G141" s="602"/>
      <c r="H141" s="602"/>
      <c r="I141" s="602"/>
      <c r="J141" s="602"/>
      <c r="K141" s="602"/>
    </row>
    <row r="142" spans="1:11">
      <c r="A142" s="602"/>
      <c r="B142" s="602"/>
      <c r="C142" s="602"/>
      <c r="D142" s="602"/>
      <c r="E142" s="602"/>
      <c r="F142" s="602"/>
      <c r="G142" s="602"/>
      <c r="H142" s="602"/>
      <c r="I142" s="602"/>
      <c r="J142" s="602"/>
      <c r="K142" s="602"/>
    </row>
    <row r="143" spans="1:11">
      <c r="A143" s="602"/>
      <c r="B143" s="602"/>
      <c r="C143" s="602"/>
      <c r="D143" s="602"/>
      <c r="E143" s="602"/>
      <c r="F143" s="602"/>
      <c r="G143" s="602"/>
      <c r="H143" s="602"/>
      <c r="I143" s="602"/>
      <c r="J143" s="602"/>
      <c r="K143" s="602"/>
    </row>
    <row r="144" spans="1:11">
      <c r="A144" s="602"/>
      <c r="B144" s="602"/>
      <c r="C144" s="602"/>
      <c r="D144" s="602"/>
      <c r="E144" s="602"/>
      <c r="F144" s="602"/>
      <c r="G144" s="602"/>
      <c r="H144" s="602"/>
      <c r="I144" s="602"/>
      <c r="J144" s="602"/>
      <c r="K144" s="602"/>
    </row>
    <row r="145" spans="1:11">
      <c r="A145" s="602"/>
      <c r="B145" s="602"/>
      <c r="C145" s="602"/>
      <c r="D145" s="602"/>
      <c r="E145" s="602"/>
      <c r="F145" s="602"/>
      <c r="G145" s="602"/>
      <c r="H145" s="602"/>
      <c r="I145" s="602"/>
      <c r="J145" s="602"/>
      <c r="K145" s="602"/>
    </row>
    <row r="146" spans="1:11">
      <c r="A146" s="602"/>
      <c r="B146" s="602"/>
      <c r="C146" s="602"/>
      <c r="D146" s="602"/>
      <c r="E146" s="602"/>
      <c r="F146" s="602"/>
      <c r="G146" s="602"/>
      <c r="H146" s="602"/>
      <c r="I146" s="602"/>
      <c r="J146" s="602"/>
      <c r="K146" s="602"/>
    </row>
    <row r="147" spans="1:11">
      <c r="A147" s="602"/>
      <c r="B147" s="602"/>
      <c r="C147" s="602"/>
      <c r="D147" s="602"/>
      <c r="E147" s="602"/>
      <c r="F147" s="602"/>
      <c r="G147" s="602"/>
      <c r="H147" s="602"/>
      <c r="I147" s="602"/>
      <c r="J147" s="602"/>
      <c r="K147" s="602"/>
    </row>
    <row r="148" spans="1:11">
      <c r="A148" s="602"/>
      <c r="B148" s="602"/>
      <c r="C148" s="602"/>
      <c r="D148" s="602"/>
      <c r="E148" s="602"/>
      <c r="F148" s="602"/>
      <c r="G148" s="602"/>
      <c r="H148" s="602"/>
      <c r="I148" s="602"/>
      <c r="J148" s="602"/>
      <c r="K148" s="602"/>
    </row>
    <row r="149" spans="1:11">
      <c r="A149" s="602"/>
      <c r="B149" s="602"/>
      <c r="C149" s="602"/>
      <c r="D149" s="602"/>
      <c r="E149" s="602"/>
      <c r="F149" s="602"/>
      <c r="G149" s="602"/>
      <c r="H149" s="602"/>
      <c r="I149" s="602"/>
      <c r="J149" s="602"/>
      <c r="K149" s="602"/>
    </row>
    <row r="150" spans="1:11">
      <c r="A150" s="602"/>
      <c r="B150" s="602"/>
      <c r="C150" s="602"/>
      <c r="D150" s="602"/>
      <c r="E150" s="602"/>
      <c r="F150" s="602"/>
      <c r="G150" s="602"/>
      <c r="H150" s="602"/>
      <c r="I150" s="602"/>
      <c r="J150" s="602"/>
      <c r="K150" s="602"/>
    </row>
    <row r="151" spans="1:11">
      <c r="A151" s="602"/>
      <c r="B151" s="602"/>
      <c r="C151" s="602"/>
      <c r="D151" s="602"/>
      <c r="E151" s="602"/>
      <c r="F151" s="602"/>
      <c r="G151" s="602"/>
      <c r="H151" s="602"/>
      <c r="I151" s="602"/>
      <c r="J151" s="602"/>
      <c r="K151" s="602"/>
    </row>
    <row r="152" spans="1:11">
      <c r="A152" s="602"/>
      <c r="B152" s="602"/>
      <c r="C152" s="602"/>
      <c r="D152" s="602"/>
      <c r="E152" s="602"/>
      <c r="F152" s="602"/>
      <c r="G152" s="602"/>
      <c r="H152" s="602"/>
      <c r="I152" s="602"/>
      <c r="J152" s="602"/>
      <c r="K152" s="602"/>
    </row>
    <row r="153" spans="1:11">
      <c r="A153" s="602"/>
      <c r="B153" s="602"/>
      <c r="C153" s="602"/>
      <c r="D153" s="602"/>
      <c r="E153" s="602"/>
      <c r="F153" s="602"/>
      <c r="G153" s="602"/>
      <c r="H153" s="602"/>
      <c r="I153" s="602"/>
      <c r="J153" s="602"/>
      <c r="K153" s="602"/>
    </row>
    <row r="154" spans="1:11">
      <c r="A154" s="602"/>
      <c r="B154" s="602"/>
      <c r="C154" s="602"/>
      <c r="D154" s="602"/>
      <c r="E154" s="602"/>
      <c r="F154" s="602"/>
      <c r="G154" s="602"/>
      <c r="H154" s="602"/>
      <c r="I154" s="602"/>
      <c r="J154" s="602"/>
      <c r="K154" s="602"/>
    </row>
    <row r="155" spans="1:11">
      <c r="A155" s="602"/>
      <c r="B155" s="602"/>
      <c r="C155" s="602"/>
      <c r="D155" s="602"/>
      <c r="E155" s="602"/>
      <c r="F155" s="602"/>
      <c r="G155" s="602"/>
      <c r="H155" s="602"/>
      <c r="I155" s="602"/>
      <c r="J155" s="602"/>
      <c r="K155" s="602"/>
    </row>
    <row r="156" spans="1:11">
      <c r="A156" s="602"/>
      <c r="B156" s="602"/>
      <c r="C156" s="602"/>
      <c r="D156" s="602"/>
      <c r="E156" s="602"/>
      <c r="F156" s="602"/>
      <c r="G156" s="602"/>
      <c r="H156" s="602"/>
      <c r="I156" s="602"/>
      <c r="J156" s="602"/>
      <c r="K156" s="602"/>
    </row>
    <row r="157" spans="1:11">
      <c r="A157" s="602"/>
      <c r="B157" s="602"/>
      <c r="C157" s="602"/>
      <c r="D157" s="602"/>
      <c r="E157" s="602"/>
      <c r="F157" s="602"/>
      <c r="G157" s="602"/>
      <c r="H157" s="602"/>
      <c r="I157" s="602"/>
      <c r="J157" s="602"/>
      <c r="K157" s="602"/>
    </row>
    <row r="158" spans="1:11">
      <c r="A158" s="602"/>
      <c r="B158" s="602"/>
      <c r="C158" s="602"/>
      <c r="D158" s="602"/>
      <c r="E158" s="602"/>
      <c r="F158" s="602"/>
      <c r="G158" s="602"/>
      <c r="H158" s="602"/>
      <c r="I158" s="602"/>
      <c r="J158" s="602"/>
      <c r="K158" s="602"/>
    </row>
    <row r="159" spans="1:11">
      <c r="A159" s="602"/>
      <c r="B159" s="602"/>
      <c r="C159" s="602"/>
      <c r="D159" s="602"/>
      <c r="E159" s="602"/>
      <c r="F159" s="602"/>
      <c r="G159" s="602"/>
      <c r="H159" s="602"/>
      <c r="I159" s="602"/>
      <c r="J159" s="602"/>
      <c r="K159" s="602"/>
    </row>
    <row r="160" spans="1:11">
      <c r="A160" s="602"/>
      <c r="B160" s="602"/>
      <c r="C160" s="602"/>
      <c r="D160" s="602"/>
      <c r="E160" s="602"/>
      <c r="F160" s="602"/>
      <c r="G160" s="602"/>
      <c r="H160" s="602"/>
      <c r="I160" s="602"/>
      <c r="J160" s="602"/>
      <c r="K160" s="602"/>
    </row>
    <row r="161" spans="1:11">
      <c r="A161" s="602"/>
      <c r="B161" s="602"/>
      <c r="C161" s="602"/>
      <c r="D161" s="602"/>
      <c r="E161" s="602"/>
      <c r="F161" s="602"/>
      <c r="G161" s="602"/>
      <c r="H161" s="602"/>
      <c r="I161" s="602"/>
      <c r="J161" s="602"/>
      <c r="K161" s="602"/>
    </row>
    <row r="162" spans="1:11">
      <c r="A162" s="602"/>
      <c r="B162" s="602"/>
      <c r="C162" s="602"/>
      <c r="D162" s="602"/>
      <c r="E162" s="602"/>
      <c r="F162" s="602"/>
      <c r="G162" s="602"/>
      <c r="H162" s="602"/>
      <c r="I162" s="602"/>
      <c r="J162" s="602"/>
      <c r="K162" s="602"/>
    </row>
    <row r="163" spans="1:11">
      <c r="A163" s="602"/>
      <c r="B163" s="602"/>
      <c r="C163" s="602"/>
      <c r="D163" s="602"/>
      <c r="E163" s="602"/>
      <c r="F163" s="602"/>
      <c r="G163" s="602"/>
      <c r="H163" s="602"/>
      <c r="I163" s="602"/>
      <c r="J163" s="602"/>
      <c r="K163" s="602"/>
    </row>
    <row r="164" spans="1:11">
      <c r="A164" s="602"/>
      <c r="B164" s="602"/>
      <c r="C164" s="602"/>
      <c r="D164" s="602"/>
      <c r="E164" s="602"/>
      <c r="F164" s="602"/>
      <c r="G164" s="602"/>
      <c r="H164" s="602"/>
      <c r="I164" s="602"/>
      <c r="J164" s="602"/>
      <c r="K164" s="602"/>
    </row>
    <row r="165" spans="1:11">
      <c r="A165" s="602"/>
      <c r="B165" s="602"/>
      <c r="C165" s="602"/>
      <c r="D165" s="602"/>
      <c r="E165" s="602"/>
      <c r="F165" s="602"/>
      <c r="G165" s="602"/>
      <c r="H165" s="602"/>
      <c r="I165" s="602"/>
      <c r="J165" s="602"/>
      <c r="K165" s="602"/>
    </row>
    <row r="166" spans="1:11">
      <c r="A166" s="602"/>
      <c r="B166" s="602"/>
      <c r="C166" s="602"/>
      <c r="D166" s="602"/>
      <c r="E166" s="602"/>
      <c r="F166" s="602"/>
      <c r="G166" s="602"/>
      <c r="H166" s="602"/>
      <c r="I166" s="602"/>
      <c r="J166" s="602"/>
      <c r="K166" s="602"/>
    </row>
    <row r="167" spans="1:11">
      <c r="A167" s="602"/>
      <c r="B167" s="602"/>
      <c r="C167" s="602"/>
      <c r="D167" s="602"/>
      <c r="E167" s="602"/>
      <c r="F167" s="602"/>
      <c r="G167" s="602"/>
      <c r="H167" s="602"/>
      <c r="I167" s="602"/>
      <c r="J167" s="602"/>
      <c r="K167" s="602"/>
    </row>
    <row r="168" spans="1:11">
      <c r="A168" s="602"/>
      <c r="B168" s="602"/>
      <c r="C168" s="602"/>
      <c r="D168" s="602"/>
      <c r="E168" s="602"/>
      <c r="F168" s="602"/>
      <c r="G168" s="602"/>
      <c r="H168" s="602"/>
      <c r="I168" s="602"/>
      <c r="J168" s="602"/>
      <c r="K168" s="602"/>
    </row>
    <row r="169" spans="1:11">
      <c r="A169" s="602"/>
      <c r="B169" s="602"/>
      <c r="C169" s="602"/>
      <c r="D169" s="602"/>
      <c r="E169" s="602"/>
      <c r="F169" s="602"/>
      <c r="G169" s="602"/>
      <c r="H169" s="602"/>
      <c r="I169" s="602"/>
      <c r="J169" s="602"/>
      <c r="K169" s="602"/>
    </row>
    <row r="170" spans="1:11">
      <c r="A170" s="602"/>
      <c r="B170" s="602"/>
      <c r="C170" s="602"/>
      <c r="D170" s="602"/>
      <c r="E170" s="602"/>
      <c r="F170" s="602"/>
      <c r="G170" s="602"/>
      <c r="H170" s="602"/>
      <c r="I170" s="602"/>
      <c r="J170" s="602"/>
      <c r="K170" s="602"/>
    </row>
    <row r="171" spans="1:11">
      <c r="A171" s="602"/>
      <c r="B171" s="602"/>
      <c r="C171" s="602"/>
      <c r="D171" s="602"/>
      <c r="E171" s="602"/>
      <c r="F171" s="602"/>
      <c r="G171" s="602"/>
      <c r="H171" s="602"/>
      <c r="I171" s="602"/>
      <c r="J171" s="602"/>
      <c r="K171" s="602"/>
    </row>
    <row r="172" spans="1:11">
      <c r="A172" s="602"/>
      <c r="B172" s="602"/>
      <c r="C172" s="602"/>
      <c r="D172" s="602"/>
      <c r="E172" s="602"/>
      <c r="F172" s="602"/>
      <c r="G172" s="602"/>
      <c r="H172" s="602"/>
      <c r="I172" s="602"/>
      <c r="J172" s="602"/>
      <c r="K172" s="602"/>
    </row>
    <row r="173" spans="1:11">
      <c r="A173" s="602"/>
      <c r="B173" s="602"/>
      <c r="C173" s="602"/>
      <c r="D173" s="602"/>
      <c r="E173" s="602"/>
      <c r="F173" s="602"/>
      <c r="G173" s="602"/>
      <c r="H173" s="602"/>
      <c r="I173" s="602"/>
      <c r="J173" s="602"/>
      <c r="K173" s="602"/>
    </row>
    <row r="174" spans="1:11">
      <c r="A174" s="602"/>
      <c r="B174" s="602"/>
      <c r="C174" s="602"/>
      <c r="D174" s="602"/>
      <c r="E174" s="602"/>
      <c r="F174" s="602"/>
      <c r="G174" s="602"/>
      <c r="H174" s="602"/>
      <c r="I174" s="602"/>
      <c r="J174" s="602"/>
      <c r="K174" s="602"/>
    </row>
    <row r="175" spans="1:11">
      <c r="A175" s="602"/>
      <c r="B175" s="602"/>
      <c r="C175" s="602"/>
      <c r="D175" s="602"/>
      <c r="E175" s="602"/>
      <c r="F175" s="602"/>
      <c r="G175" s="602"/>
      <c r="H175" s="602"/>
      <c r="I175" s="602"/>
      <c r="J175" s="602"/>
      <c r="K175" s="602"/>
    </row>
    <row r="176" spans="1:11">
      <c r="A176" s="602"/>
      <c r="B176" s="602"/>
      <c r="C176" s="602"/>
      <c r="D176" s="602"/>
      <c r="E176" s="602"/>
      <c r="F176" s="602"/>
      <c r="G176" s="602"/>
      <c r="H176" s="602"/>
      <c r="I176" s="602"/>
      <c r="J176" s="602"/>
      <c r="K176" s="602"/>
    </row>
    <row r="177" spans="1:11">
      <c r="A177" s="602"/>
      <c r="B177" s="602"/>
      <c r="C177" s="602"/>
      <c r="D177" s="602"/>
      <c r="E177" s="602"/>
      <c r="F177" s="602"/>
      <c r="G177" s="602"/>
      <c r="H177" s="602"/>
      <c r="I177" s="602"/>
      <c r="J177" s="602"/>
      <c r="K177" s="602"/>
    </row>
    <row r="178" spans="1:11">
      <c r="A178" s="602"/>
      <c r="B178" s="602"/>
      <c r="C178" s="602"/>
      <c r="D178" s="602"/>
      <c r="E178" s="602"/>
      <c r="F178" s="602"/>
      <c r="G178" s="602"/>
      <c r="H178" s="602"/>
      <c r="I178" s="602"/>
      <c r="J178" s="602"/>
      <c r="K178" s="602"/>
    </row>
    <row r="179" spans="1:11">
      <c r="A179" s="602"/>
      <c r="B179" s="602"/>
      <c r="C179" s="602"/>
      <c r="D179" s="602"/>
      <c r="E179" s="602"/>
      <c r="F179" s="602"/>
      <c r="G179" s="602"/>
      <c r="H179" s="602"/>
      <c r="I179" s="602"/>
      <c r="J179" s="602"/>
      <c r="K179" s="602"/>
    </row>
    <row r="180" spans="1:11">
      <c r="A180" s="602"/>
      <c r="B180" s="602"/>
      <c r="C180" s="602"/>
      <c r="D180" s="602"/>
      <c r="E180" s="602"/>
      <c r="F180" s="602"/>
      <c r="G180" s="602"/>
      <c r="H180" s="602"/>
      <c r="I180" s="602"/>
      <c r="J180" s="602"/>
      <c r="K180" s="602"/>
    </row>
    <row r="181" spans="1:11">
      <c r="A181" s="602"/>
      <c r="B181" s="602"/>
      <c r="C181" s="602"/>
      <c r="D181" s="602"/>
      <c r="E181" s="602"/>
      <c r="F181" s="602"/>
      <c r="G181" s="602"/>
      <c r="H181" s="602"/>
      <c r="I181" s="602"/>
      <c r="J181" s="602"/>
      <c r="K181" s="602"/>
    </row>
    <row r="182" spans="1:11">
      <c r="A182" s="602"/>
      <c r="B182" s="602"/>
      <c r="C182" s="602"/>
      <c r="D182" s="602"/>
      <c r="E182" s="602"/>
      <c r="F182" s="602"/>
      <c r="G182" s="602"/>
      <c r="H182" s="602"/>
      <c r="I182" s="602"/>
      <c r="J182" s="602"/>
      <c r="K182" s="602"/>
    </row>
    <row r="183" spans="1:11">
      <c r="A183" s="602"/>
      <c r="B183" s="602"/>
      <c r="C183" s="602"/>
      <c r="D183" s="602"/>
      <c r="E183" s="602"/>
      <c r="F183" s="602"/>
      <c r="G183" s="602"/>
      <c r="H183" s="602"/>
      <c r="I183" s="602"/>
      <c r="J183" s="602"/>
      <c r="K183" s="602"/>
    </row>
    <row r="184" spans="1:11">
      <c r="A184" s="602"/>
      <c r="B184" s="602"/>
      <c r="C184" s="602"/>
      <c r="D184" s="602"/>
      <c r="E184" s="602"/>
      <c r="F184" s="602"/>
      <c r="G184" s="602"/>
      <c r="H184" s="602"/>
      <c r="I184" s="602"/>
      <c r="J184" s="602"/>
      <c r="K184" s="602"/>
    </row>
    <row r="185" spans="1:11">
      <c r="A185" s="602"/>
      <c r="B185" s="602"/>
      <c r="C185" s="602"/>
      <c r="D185" s="602"/>
      <c r="E185" s="602"/>
      <c r="F185" s="602"/>
      <c r="G185" s="602"/>
      <c r="H185" s="602"/>
      <c r="I185" s="602"/>
      <c r="J185" s="602"/>
      <c r="K185" s="602"/>
    </row>
    <row r="186" spans="1:11">
      <c r="A186" s="602"/>
      <c r="B186" s="602"/>
      <c r="C186" s="602"/>
      <c r="D186" s="602"/>
      <c r="E186" s="602"/>
      <c r="F186" s="602"/>
      <c r="G186" s="602"/>
      <c r="H186" s="602"/>
      <c r="I186" s="602"/>
      <c r="J186" s="602"/>
      <c r="K186" s="602"/>
    </row>
    <row r="187" spans="1:11">
      <c r="A187" s="602"/>
      <c r="B187" s="602"/>
      <c r="C187" s="602"/>
      <c r="D187" s="602"/>
      <c r="E187" s="602"/>
      <c r="F187" s="602"/>
      <c r="G187" s="602"/>
      <c r="H187" s="602"/>
      <c r="I187" s="602"/>
      <c r="J187" s="602"/>
      <c r="K187" s="602"/>
    </row>
    <row r="188" spans="1:11">
      <c r="A188" s="602"/>
      <c r="B188" s="602"/>
      <c r="C188" s="602"/>
      <c r="D188" s="602"/>
      <c r="E188" s="602"/>
      <c r="F188" s="602"/>
      <c r="G188" s="602"/>
      <c r="H188" s="602"/>
      <c r="I188" s="602"/>
      <c r="J188" s="602"/>
      <c r="K188" s="602"/>
    </row>
    <row r="189" spans="1:11">
      <c r="A189" s="602"/>
      <c r="B189" s="602"/>
      <c r="C189" s="602"/>
      <c r="D189" s="602"/>
      <c r="E189" s="602"/>
      <c r="F189" s="602"/>
      <c r="G189" s="602"/>
      <c r="H189" s="602"/>
      <c r="I189" s="602"/>
      <c r="J189" s="602"/>
      <c r="K189" s="602"/>
    </row>
    <row r="190" spans="1:11">
      <c r="A190" s="602"/>
      <c r="B190" s="602"/>
      <c r="C190" s="602"/>
      <c r="D190" s="602"/>
      <c r="E190" s="602"/>
      <c r="F190" s="602"/>
      <c r="G190" s="602"/>
      <c r="H190" s="602"/>
      <c r="I190" s="602"/>
      <c r="J190" s="602"/>
      <c r="K190" s="602"/>
    </row>
    <row r="191" spans="1:11">
      <c r="A191" s="602"/>
      <c r="B191" s="602"/>
      <c r="C191" s="602"/>
      <c r="D191" s="602"/>
      <c r="E191" s="602"/>
      <c r="F191" s="602"/>
      <c r="G191" s="602"/>
      <c r="H191" s="602"/>
      <c r="I191" s="602"/>
      <c r="J191" s="602"/>
      <c r="K191" s="602"/>
    </row>
    <row r="192" spans="1:11">
      <c r="A192" s="602"/>
      <c r="B192" s="602"/>
      <c r="C192" s="602"/>
      <c r="D192" s="602"/>
      <c r="E192" s="602"/>
      <c r="F192" s="602"/>
      <c r="G192" s="602"/>
      <c r="H192" s="602"/>
      <c r="I192" s="602"/>
      <c r="J192" s="602"/>
      <c r="K192" s="602"/>
    </row>
    <row r="193" spans="1:11">
      <c r="A193" s="602"/>
      <c r="B193" s="602"/>
      <c r="C193" s="602"/>
      <c r="D193" s="602"/>
      <c r="E193" s="602"/>
      <c r="F193" s="602"/>
      <c r="G193" s="602"/>
      <c r="H193" s="602"/>
      <c r="I193" s="602"/>
      <c r="J193" s="602"/>
      <c r="K193" s="602"/>
    </row>
    <row r="194" spans="1:11">
      <c r="A194" s="602"/>
      <c r="B194" s="602"/>
      <c r="C194" s="602"/>
      <c r="D194" s="602"/>
      <c r="E194" s="602"/>
      <c r="F194" s="602"/>
      <c r="G194" s="602"/>
      <c r="H194" s="602"/>
      <c r="I194" s="602"/>
      <c r="J194" s="602"/>
      <c r="K194" s="602"/>
    </row>
    <row r="195" spans="1:11">
      <c r="A195" s="602"/>
      <c r="B195" s="602"/>
      <c r="C195" s="602"/>
      <c r="D195" s="602"/>
      <c r="E195" s="602"/>
      <c r="F195" s="602"/>
      <c r="G195" s="602"/>
      <c r="H195" s="602"/>
      <c r="I195" s="602"/>
      <c r="J195" s="602"/>
      <c r="K195" s="602"/>
    </row>
    <row r="196" spans="1:11">
      <c r="A196" s="602"/>
      <c r="B196" s="602"/>
      <c r="C196" s="602"/>
      <c r="D196" s="602"/>
      <c r="E196" s="602"/>
      <c r="F196" s="602"/>
      <c r="G196" s="602"/>
      <c r="H196" s="602"/>
      <c r="I196" s="602"/>
      <c r="J196" s="602"/>
      <c r="K196" s="602"/>
    </row>
    <row r="197" spans="1:11">
      <c r="A197" s="602"/>
      <c r="B197" s="602"/>
      <c r="C197" s="602"/>
      <c r="D197" s="602"/>
      <c r="E197" s="602"/>
      <c r="F197" s="602"/>
      <c r="G197" s="602"/>
      <c r="H197" s="602"/>
      <c r="I197" s="602"/>
      <c r="J197" s="602"/>
      <c r="K197" s="602"/>
    </row>
    <row r="198" spans="1:11">
      <c r="A198" s="602"/>
      <c r="B198" s="602"/>
      <c r="C198" s="602"/>
      <c r="D198" s="602"/>
      <c r="E198" s="602"/>
      <c r="F198" s="602"/>
      <c r="G198" s="602"/>
      <c r="H198" s="602"/>
      <c r="I198" s="602"/>
      <c r="J198" s="602"/>
      <c r="K198" s="602"/>
    </row>
    <row r="199" spans="1:11">
      <c r="A199" s="602"/>
      <c r="B199" s="602"/>
      <c r="C199" s="602"/>
      <c r="D199" s="602"/>
      <c r="E199" s="602"/>
      <c r="F199" s="602"/>
      <c r="G199" s="602"/>
      <c r="H199" s="602"/>
      <c r="I199" s="602"/>
      <c r="J199" s="602"/>
      <c r="K199" s="602"/>
    </row>
    <row r="200" spans="1:11">
      <c r="A200" s="602"/>
      <c r="B200" s="602"/>
      <c r="C200" s="602"/>
      <c r="D200" s="602"/>
      <c r="E200" s="602"/>
      <c r="F200" s="602"/>
      <c r="G200" s="602"/>
      <c r="H200" s="602"/>
      <c r="I200" s="602"/>
      <c r="J200" s="602"/>
      <c r="K200" s="602"/>
    </row>
    <row r="201" spans="1:11">
      <c r="A201" s="602"/>
      <c r="B201" s="602"/>
      <c r="C201" s="602"/>
      <c r="D201" s="602"/>
      <c r="E201" s="602"/>
      <c r="F201" s="602"/>
      <c r="G201" s="602"/>
      <c r="H201" s="602"/>
      <c r="I201" s="602"/>
      <c r="J201" s="602"/>
      <c r="K201" s="602"/>
    </row>
    <row r="202" spans="1:11">
      <c r="A202" s="602"/>
      <c r="B202" s="602"/>
      <c r="C202" s="602"/>
      <c r="D202" s="602"/>
      <c r="E202" s="602"/>
      <c r="F202" s="602"/>
      <c r="G202" s="602"/>
      <c r="H202" s="602"/>
      <c r="I202" s="602"/>
      <c r="J202" s="602"/>
      <c r="K202" s="602"/>
    </row>
    <row r="203" spans="1:11">
      <c r="A203" s="602"/>
      <c r="B203" s="602"/>
      <c r="C203" s="602"/>
      <c r="D203" s="602"/>
      <c r="E203" s="602"/>
      <c r="F203" s="602"/>
      <c r="G203" s="602"/>
      <c r="H203" s="602"/>
      <c r="I203" s="602"/>
      <c r="J203" s="602"/>
      <c r="K203" s="602"/>
    </row>
    <row r="204" spans="1:11">
      <c r="A204" s="602"/>
      <c r="B204" s="602"/>
      <c r="C204" s="602"/>
      <c r="D204" s="602"/>
      <c r="E204" s="602"/>
      <c r="F204" s="602"/>
      <c r="G204" s="602"/>
      <c r="H204" s="602"/>
      <c r="I204" s="602"/>
      <c r="J204" s="602"/>
      <c r="K204" s="602"/>
    </row>
    <row r="205" spans="1:11">
      <c r="A205" s="602"/>
      <c r="B205" s="602"/>
      <c r="C205" s="602"/>
      <c r="D205" s="602"/>
      <c r="E205" s="602"/>
      <c r="F205" s="602"/>
      <c r="G205" s="602"/>
      <c r="H205" s="602"/>
      <c r="I205" s="602"/>
      <c r="J205" s="602"/>
      <c r="K205" s="602"/>
    </row>
    <row r="206" spans="1:11">
      <c r="A206" s="602"/>
      <c r="B206" s="602"/>
      <c r="C206" s="602"/>
      <c r="D206" s="602"/>
      <c r="E206" s="602"/>
      <c r="F206" s="602"/>
      <c r="G206" s="602"/>
      <c r="H206" s="602"/>
      <c r="I206" s="602"/>
      <c r="J206" s="602"/>
      <c r="K206" s="602"/>
    </row>
    <row r="207" spans="1:11">
      <c r="A207" s="602"/>
      <c r="B207" s="602"/>
      <c r="C207" s="602"/>
      <c r="D207" s="602"/>
      <c r="E207" s="602"/>
      <c r="F207" s="602"/>
      <c r="G207" s="602"/>
      <c r="H207" s="602"/>
      <c r="I207" s="602"/>
      <c r="J207" s="602"/>
      <c r="K207" s="602"/>
    </row>
    <row r="208" spans="1:11">
      <c r="A208" s="602"/>
      <c r="B208" s="602"/>
      <c r="C208" s="602"/>
      <c r="D208" s="602"/>
      <c r="E208" s="602"/>
      <c r="F208" s="602"/>
      <c r="G208" s="602"/>
      <c r="H208" s="602"/>
      <c r="I208" s="602"/>
      <c r="J208" s="602"/>
      <c r="K208" s="602"/>
    </row>
    <row r="209" spans="1:11">
      <c r="A209" s="602"/>
      <c r="B209" s="602"/>
      <c r="C209" s="602"/>
      <c r="D209" s="602"/>
      <c r="E209" s="602"/>
      <c r="F209" s="602"/>
      <c r="G209" s="602"/>
      <c r="H209" s="602"/>
      <c r="I209" s="602"/>
      <c r="J209" s="602"/>
      <c r="K209" s="602"/>
    </row>
    <row r="210" spans="1:11">
      <c r="A210" s="602"/>
      <c r="B210" s="602"/>
      <c r="C210" s="602"/>
      <c r="D210" s="602"/>
      <c r="E210" s="602"/>
      <c r="F210" s="602"/>
      <c r="G210" s="602"/>
      <c r="H210" s="602"/>
      <c r="I210" s="602"/>
      <c r="J210" s="602"/>
      <c r="K210" s="602"/>
    </row>
    <row r="211" spans="1:11">
      <c r="A211" s="602"/>
      <c r="B211" s="602"/>
      <c r="C211" s="602"/>
      <c r="D211" s="602"/>
      <c r="E211" s="602"/>
      <c r="F211" s="602"/>
      <c r="G211" s="602"/>
      <c r="H211" s="602"/>
      <c r="I211" s="602"/>
      <c r="J211" s="602"/>
      <c r="K211" s="602"/>
    </row>
    <row r="212" spans="1:11">
      <c r="A212" s="602"/>
      <c r="B212" s="602"/>
      <c r="C212" s="602"/>
      <c r="D212" s="602"/>
      <c r="E212" s="602"/>
      <c r="F212" s="602"/>
      <c r="G212" s="602"/>
      <c r="H212" s="602"/>
      <c r="I212" s="602"/>
      <c r="J212" s="602"/>
      <c r="K212" s="602"/>
    </row>
    <row r="213" spans="1:11">
      <c r="A213" s="602"/>
      <c r="B213" s="602"/>
      <c r="C213" s="602"/>
      <c r="D213" s="602"/>
      <c r="E213" s="602"/>
      <c r="F213" s="602"/>
      <c r="G213" s="602"/>
      <c r="H213" s="602"/>
      <c r="I213" s="602"/>
      <c r="J213" s="602"/>
      <c r="K213" s="602"/>
    </row>
    <row r="214" spans="1:11">
      <c r="A214" s="602"/>
      <c r="B214" s="602"/>
      <c r="C214" s="602"/>
      <c r="D214" s="602"/>
      <c r="E214" s="602"/>
      <c r="F214" s="602"/>
      <c r="G214" s="602"/>
      <c r="H214" s="602"/>
      <c r="I214" s="602"/>
      <c r="J214" s="602"/>
      <c r="K214" s="602"/>
    </row>
    <row r="215" spans="1:11">
      <c r="A215" s="602"/>
      <c r="B215" s="602"/>
      <c r="C215" s="602"/>
      <c r="D215" s="602"/>
      <c r="E215" s="602"/>
      <c r="F215" s="602"/>
      <c r="G215" s="602"/>
      <c r="H215" s="602"/>
      <c r="I215" s="602"/>
      <c r="J215" s="602"/>
      <c r="K215" s="602"/>
    </row>
    <row r="216" spans="1:11">
      <c r="A216" s="602"/>
      <c r="B216" s="602"/>
      <c r="C216" s="602"/>
      <c r="D216" s="602"/>
      <c r="E216" s="602"/>
      <c r="F216" s="602"/>
      <c r="G216" s="602"/>
      <c r="H216" s="602"/>
      <c r="I216" s="602"/>
      <c r="J216" s="602"/>
      <c r="K216" s="602"/>
    </row>
    <row r="217" spans="1:11">
      <c r="A217" s="602"/>
      <c r="B217" s="602"/>
      <c r="C217" s="602"/>
      <c r="D217" s="602"/>
      <c r="E217" s="602"/>
      <c r="F217" s="602"/>
      <c r="G217" s="602"/>
      <c r="H217" s="602"/>
      <c r="I217" s="602"/>
      <c r="J217" s="602"/>
      <c r="K217" s="602"/>
    </row>
    <row r="218" spans="1:11">
      <c r="A218" s="602"/>
      <c r="B218" s="602"/>
      <c r="C218" s="602"/>
      <c r="D218" s="602"/>
      <c r="E218" s="602"/>
      <c r="F218" s="602"/>
      <c r="G218" s="602"/>
      <c r="H218" s="602"/>
      <c r="I218" s="602"/>
      <c r="J218" s="602"/>
      <c r="K218" s="602"/>
    </row>
    <row r="219" spans="1:11">
      <c r="A219" s="602"/>
      <c r="B219" s="602"/>
      <c r="C219" s="602"/>
      <c r="D219" s="602"/>
      <c r="E219" s="602"/>
      <c r="F219" s="602"/>
      <c r="G219" s="602"/>
      <c r="H219" s="602"/>
      <c r="I219" s="602"/>
      <c r="J219" s="602"/>
      <c r="K219" s="602"/>
    </row>
    <row r="220" spans="1:11">
      <c r="A220" s="602"/>
      <c r="B220" s="602"/>
      <c r="C220" s="602"/>
      <c r="D220" s="602"/>
      <c r="E220" s="602"/>
      <c r="F220" s="602"/>
      <c r="G220" s="602"/>
      <c r="H220" s="602"/>
      <c r="I220" s="602"/>
      <c r="J220" s="602"/>
      <c r="K220" s="602"/>
    </row>
    <row r="221" spans="1:11">
      <c r="A221" s="602"/>
      <c r="B221" s="602"/>
      <c r="C221" s="602"/>
      <c r="D221" s="602"/>
      <c r="E221" s="602"/>
      <c r="F221" s="602"/>
      <c r="G221" s="602"/>
      <c r="H221" s="602"/>
      <c r="I221" s="602"/>
      <c r="J221" s="602"/>
      <c r="K221" s="602"/>
    </row>
    <row r="222" spans="1:11">
      <c r="A222" s="602"/>
      <c r="B222" s="602"/>
      <c r="C222" s="602"/>
      <c r="D222" s="602"/>
      <c r="E222" s="602"/>
      <c r="F222" s="602"/>
      <c r="G222" s="602"/>
      <c r="H222" s="602"/>
      <c r="I222" s="602"/>
      <c r="J222" s="602"/>
      <c r="K222" s="602"/>
    </row>
    <row r="223" spans="1:11">
      <c r="A223" s="602"/>
      <c r="B223" s="602"/>
      <c r="C223" s="602"/>
      <c r="D223" s="602"/>
      <c r="E223" s="602"/>
      <c r="F223" s="602"/>
      <c r="G223" s="602"/>
      <c r="H223" s="602"/>
      <c r="I223" s="602"/>
      <c r="J223" s="602"/>
      <c r="K223" s="602"/>
    </row>
    <row r="224" spans="1:11">
      <c r="A224" s="602"/>
      <c r="B224" s="602"/>
      <c r="C224" s="602"/>
      <c r="D224" s="602"/>
      <c r="E224" s="602"/>
      <c r="F224" s="602"/>
      <c r="G224" s="602"/>
      <c r="H224" s="602"/>
      <c r="I224" s="602"/>
      <c r="J224" s="602"/>
      <c r="K224" s="602"/>
    </row>
    <row r="225" spans="1:11">
      <c r="A225" s="602"/>
      <c r="B225" s="602"/>
      <c r="C225" s="602"/>
      <c r="D225" s="602"/>
      <c r="E225" s="602"/>
      <c r="F225" s="602"/>
      <c r="G225" s="602"/>
      <c r="H225" s="602"/>
      <c r="I225" s="602"/>
      <c r="J225" s="602"/>
      <c r="K225" s="602"/>
    </row>
    <row r="226" spans="1:11">
      <c r="A226" s="602"/>
      <c r="B226" s="602"/>
      <c r="C226" s="602"/>
      <c r="D226" s="602"/>
      <c r="E226" s="602"/>
      <c r="F226" s="602"/>
      <c r="G226" s="602"/>
      <c r="H226" s="602"/>
      <c r="I226" s="602"/>
      <c r="J226" s="602"/>
      <c r="K226" s="602"/>
    </row>
    <row r="227" spans="1:11">
      <c r="A227" s="602"/>
      <c r="B227" s="602"/>
      <c r="C227" s="602"/>
      <c r="D227" s="602"/>
      <c r="E227" s="602"/>
      <c r="F227" s="602"/>
      <c r="G227" s="602"/>
      <c r="H227" s="602"/>
      <c r="I227" s="602"/>
      <c r="J227" s="602"/>
      <c r="K227" s="602"/>
    </row>
    <row r="228" spans="1:11">
      <c r="A228" s="602"/>
      <c r="B228" s="602"/>
      <c r="C228" s="602"/>
      <c r="D228" s="602"/>
      <c r="E228" s="602"/>
      <c r="F228" s="602"/>
      <c r="G228" s="602"/>
      <c r="H228" s="602"/>
      <c r="I228" s="602"/>
      <c r="J228" s="602"/>
      <c r="K228" s="602"/>
    </row>
    <row r="229" spans="1:11">
      <c r="A229" s="602"/>
      <c r="B229" s="602"/>
      <c r="C229" s="602"/>
      <c r="D229" s="602"/>
      <c r="E229" s="602"/>
      <c r="F229" s="602"/>
      <c r="G229" s="602"/>
      <c r="H229" s="602"/>
      <c r="I229" s="602"/>
      <c r="J229" s="602"/>
      <c r="K229" s="602"/>
    </row>
    <row r="230" spans="1:11">
      <c r="A230" s="602"/>
      <c r="B230" s="602"/>
      <c r="C230" s="602"/>
      <c r="D230" s="602"/>
      <c r="E230" s="602"/>
      <c r="F230" s="602"/>
      <c r="G230" s="602"/>
      <c r="H230" s="602"/>
      <c r="I230" s="602"/>
      <c r="J230" s="602"/>
      <c r="K230" s="602"/>
    </row>
    <row r="231" spans="1:11">
      <c r="A231" s="602"/>
      <c r="B231" s="602"/>
      <c r="C231" s="602"/>
      <c r="D231" s="602"/>
      <c r="E231" s="602"/>
      <c r="F231" s="602"/>
      <c r="G231" s="602"/>
      <c r="H231" s="602"/>
      <c r="I231" s="602"/>
      <c r="J231" s="602"/>
      <c r="K231" s="602"/>
    </row>
    <row r="232" spans="1:11">
      <c r="A232" s="602"/>
      <c r="B232" s="602"/>
      <c r="C232" s="602"/>
      <c r="D232" s="602"/>
      <c r="E232" s="602"/>
      <c r="F232" s="602"/>
      <c r="G232" s="602"/>
      <c r="H232" s="602"/>
      <c r="I232" s="602"/>
      <c r="J232" s="602"/>
      <c r="K232" s="602"/>
    </row>
    <row r="233" spans="1:11">
      <c r="A233" s="602"/>
      <c r="B233" s="602"/>
      <c r="C233" s="602"/>
      <c r="D233" s="602"/>
      <c r="E233" s="602"/>
      <c r="F233" s="602"/>
      <c r="G233" s="602"/>
      <c r="H233" s="602"/>
      <c r="I233" s="602"/>
      <c r="J233" s="602"/>
      <c r="K233" s="602"/>
    </row>
    <row r="234" spans="1:11">
      <c r="A234" s="602"/>
      <c r="B234" s="602"/>
      <c r="C234" s="602"/>
      <c r="D234" s="602"/>
      <c r="E234" s="602"/>
      <c r="F234" s="602"/>
      <c r="G234" s="602"/>
      <c r="H234" s="602"/>
      <c r="I234" s="602"/>
      <c r="J234" s="602"/>
      <c r="K234" s="602"/>
    </row>
    <row r="235" spans="1:11">
      <c r="A235" s="602"/>
      <c r="B235" s="602"/>
      <c r="C235" s="602"/>
      <c r="D235" s="602"/>
      <c r="E235" s="602"/>
      <c r="F235" s="602"/>
      <c r="G235" s="602"/>
      <c r="H235" s="602"/>
      <c r="I235" s="602"/>
      <c r="J235" s="602"/>
      <c r="K235" s="602"/>
    </row>
    <row r="236" spans="1:11">
      <c r="A236" s="602"/>
      <c r="B236" s="602"/>
      <c r="C236" s="602"/>
      <c r="D236" s="602"/>
      <c r="E236" s="602"/>
      <c r="F236" s="602"/>
      <c r="G236" s="602"/>
      <c r="H236" s="602"/>
      <c r="I236" s="602"/>
      <c r="J236" s="602"/>
      <c r="K236" s="602"/>
    </row>
    <row r="237" spans="1:11">
      <c r="A237" s="602"/>
      <c r="B237" s="602"/>
      <c r="C237" s="602"/>
      <c r="D237" s="602"/>
      <c r="E237" s="602"/>
      <c r="F237" s="602"/>
      <c r="G237" s="602"/>
      <c r="H237" s="602"/>
      <c r="I237" s="602"/>
      <c r="J237" s="602"/>
      <c r="K237" s="602"/>
    </row>
    <row r="238" spans="1:11">
      <c r="A238" s="602"/>
      <c r="B238" s="602"/>
      <c r="C238" s="602"/>
      <c r="D238" s="602"/>
      <c r="E238" s="602"/>
      <c r="F238" s="602"/>
      <c r="G238" s="602"/>
      <c r="H238" s="602"/>
      <c r="I238" s="602"/>
      <c r="J238" s="602"/>
      <c r="K238" s="602"/>
    </row>
    <row r="239" spans="1:11">
      <c r="A239" s="602"/>
      <c r="B239" s="602"/>
      <c r="C239" s="602"/>
      <c r="D239" s="602"/>
      <c r="E239" s="602"/>
      <c r="F239" s="602"/>
      <c r="G239" s="602"/>
      <c r="H239" s="602"/>
      <c r="I239" s="602"/>
      <c r="J239" s="602"/>
      <c r="K239" s="602"/>
    </row>
    <row r="240" spans="1:11">
      <c r="A240" s="602"/>
      <c r="B240" s="602"/>
      <c r="C240" s="602"/>
      <c r="D240" s="602"/>
      <c r="E240" s="602"/>
      <c r="F240" s="602"/>
      <c r="G240" s="602"/>
      <c r="H240" s="602"/>
      <c r="I240" s="602"/>
      <c r="J240" s="602"/>
      <c r="K240" s="602"/>
    </row>
    <row r="241" spans="1:11">
      <c r="A241" s="602"/>
      <c r="B241" s="602"/>
      <c r="C241" s="602"/>
      <c r="D241" s="602"/>
      <c r="E241" s="602"/>
      <c r="F241" s="602"/>
      <c r="G241" s="602"/>
      <c r="H241" s="602"/>
      <c r="I241" s="602"/>
      <c r="J241" s="602"/>
      <c r="K241" s="602"/>
    </row>
    <row r="242" spans="1:11">
      <c r="A242" s="602"/>
      <c r="B242" s="602"/>
      <c r="C242" s="602"/>
      <c r="D242" s="602"/>
      <c r="E242" s="602"/>
      <c r="F242" s="602"/>
      <c r="G242" s="602"/>
      <c r="H242" s="602"/>
      <c r="I242" s="602"/>
      <c r="J242" s="602"/>
      <c r="K242" s="602"/>
    </row>
    <row r="243" spans="1:11">
      <c r="A243" s="602"/>
      <c r="B243" s="602"/>
      <c r="C243" s="602"/>
      <c r="D243" s="602"/>
      <c r="E243" s="602"/>
      <c r="F243" s="602"/>
      <c r="G243" s="602"/>
      <c r="H243" s="602"/>
      <c r="I243" s="602"/>
      <c r="J243" s="602"/>
      <c r="K243" s="602"/>
    </row>
    <row r="244" spans="1:11">
      <c r="A244" s="602"/>
      <c r="B244" s="602"/>
      <c r="C244" s="602"/>
      <c r="D244" s="602"/>
      <c r="E244" s="602"/>
      <c r="F244" s="602"/>
      <c r="G244" s="602"/>
      <c r="H244" s="602"/>
      <c r="I244" s="602"/>
      <c r="J244" s="602"/>
      <c r="K244" s="602"/>
    </row>
    <row r="245" spans="1:11">
      <c r="A245" s="602"/>
      <c r="B245" s="602"/>
      <c r="C245" s="602"/>
      <c r="D245" s="602"/>
      <c r="E245" s="602"/>
      <c r="F245" s="602"/>
      <c r="G245" s="602"/>
      <c r="H245" s="602"/>
      <c r="I245" s="602"/>
      <c r="J245" s="602"/>
      <c r="K245" s="602"/>
    </row>
    <row r="246" spans="1:11">
      <c r="A246" s="602"/>
      <c r="B246" s="602"/>
      <c r="C246" s="602"/>
      <c r="D246" s="602"/>
      <c r="E246" s="602"/>
      <c r="F246" s="602"/>
      <c r="G246" s="602"/>
      <c r="H246" s="602"/>
      <c r="I246" s="602"/>
      <c r="J246" s="602"/>
      <c r="K246" s="602"/>
    </row>
  </sheetData>
  <phoneticPr fontId="69" type="noConversion"/>
  <pageMargins left="0.75" right="0.75" top="1" bottom="1" header="0.5" footer="0.5"/>
  <pageSetup paperSize="9" orientation="portrait" horizontalDpi="96" verticalDpi="96" copies="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2553" r:id="rId4" name="Drop Down 25">
              <controlPr defaultSize="0" autoLine="0" autoPict="0">
                <anchor moveWithCells="1">
                  <from>
                    <xdr:col>4</xdr:col>
                    <xdr:colOff>38100</xdr:colOff>
                    <xdr:row>9</xdr:row>
                    <xdr:rowOff>142875</xdr:rowOff>
                  </from>
                  <to>
                    <xdr:col>4</xdr:col>
                    <xdr:colOff>714375</xdr:colOff>
                    <xdr:row>11</xdr:row>
                    <xdr:rowOff>66675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Q308"/>
  <sheetViews>
    <sheetView workbookViewId="0">
      <selection activeCell="E43" sqref="E43"/>
    </sheetView>
  </sheetViews>
  <sheetFormatPr defaultRowHeight="12"/>
  <cols>
    <col min="1" max="1" width="11.28515625" customWidth="1"/>
    <col min="2" max="2" width="10.85546875" customWidth="1"/>
    <col min="4" max="4" width="12.140625" bestFit="1" customWidth="1"/>
    <col min="5" max="5" width="15.42578125" customWidth="1"/>
  </cols>
  <sheetData>
    <row r="1" spans="2:5">
      <c r="C1" t="s">
        <v>211</v>
      </c>
      <c r="D1" s="1"/>
    </row>
    <row r="3" spans="2:5">
      <c r="B3" s="560" t="s">
        <v>210</v>
      </c>
    </row>
    <row r="8" spans="2:5">
      <c r="E8" t="s">
        <v>1867</v>
      </c>
    </row>
    <row r="11" spans="2:5">
      <c r="B11" s="560" t="s">
        <v>1870</v>
      </c>
    </row>
    <row r="14" spans="2:5">
      <c r="C14" t="s">
        <v>1868</v>
      </c>
      <c r="D14" s="560" t="s">
        <v>1869</v>
      </c>
    </row>
    <row r="16" spans="2:5">
      <c r="C16" s="1757"/>
      <c r="D16" s="1757"/>
    </row>
    <row r="20" spans="1:9">
      <c r="A20" t="s">
        <v>209</v>
      </c>
      <c r="B20" t="s">
        <v>1871</v>
      </c>
      <c r="C20" t="s">
        <v>1872</v>
      </c>
    </row>
    <row r="21" spans="1:9">
      <c r="A21" s="944">
        <v>10</v>
      </c>
      <c r="B21" s="944">
        <f>15.193</f>
        <v>15.193</v>
      </c>
      <c r="C21" s="944">
        <v>2.4500000000000002</v>
      </c>
      <c r="F21">
        <v>26</v>
      </c>
      <c r="I21">
        <v>15</v>
      </c>
    </row>
    <row r="22" spans="1:9">
      <c r="E22" t="s">
        <v>1873</v>
      </c>
      <c r="F22" s="561">
        <f>INDEX(G,$F$21)</f>
        <v>30.7</v>
      </c>
      <c r="I22">
        <f>INDEX(Gn,$I$21)</f>
        <v>76.099999999999994</v>
      </c>
    </row>
    <row r="23" spans="1:9">
      <c r="A23" t="s">
        <v>208</v>
      </c>
      <c r="E23" t="s">
        <v>1874</v>
      </c>
      <c r="F23">
        <f>INDEX(A,$F$21)</f>
        <v>39.119999999999997</v>
      </c>
      <c r="I23">
        <f>INDEX(An,$I$21)</f>
        <v>97</v>
      </c>
    </row>
    <row r="24" spans="1:9">
      <c r="A24" s="943">
        <v>3</v>
      </c>
      <c r="E24" t="s">
        <v>1875</v>
      </c>
      <c r="F24">
        <f>INDEX(iy,$F$21)</f>
        <v>9.9700000000000006</v>
      </c>
      <c r="I24">
        <f>INDEX(iyn,$I$21)</f>
        <v>14.2</v>
      </c>
    </row>
    <row r="25" spans="1:9">
      <c r="A25" t="s">
        <v>184</v>
      </c>
      <c r="E25" t="s">
        <v>1876</v>
      </c>
      <c r="F25">
        <f>INDEX(iz,$F$21)</f>
        <v>2.69</v>
      </c>
      <c r="I25">
        <f>INDEX(izn,$I$21)</f>
        <v>2.9</v>
      </c>
    </row>
    <row r="26" spans="1:9">
      <c r="A26">
        <f>A24*B21</f>
        <v>45.579000000000001</v>
      </c>
      <c r="E26" t="s">
        <v>1877</v>
      </c>
      <c r="F26">
        <f>IF(($B$21*100/F24)&gt;($C$21*100/F25),$B$21*100/F24,$C$21*100/F25)</f>
        <v>152.38716148445334</v>
      </c>
      <c r="I26">
        <f>IF(($B$21*100/I24)&gt;($C$21*100/I25),$B$21*100/I24,$C$21*100/I25)</f>
        <v>106.99295774647888</v>
      </c>
    </row>
    <row r="27" spans="1:9">
      <c r="E27" t="s">
        <v>1878</v>
      </c>
      <c r="F27" s="945">
        <v>1</v>
      </c>
      <c r="I27" s="945">
        <v>1</v>
      </c>
    </row>
    <row r="28" spans="1:9">
      <c r="E28" t="s">
        <v>1879</v>
      </c>
      <c r="F28">
        <v>2.0099999999999998</v>
      </c>
      <c r="I28">
        <v>5.2</v>
      </c>
    </row>
    <row r="29" spans="1:9">
      <c r="E29" t="s">
        <v>1780</v>
      </c>
      <c r="F29">
        <f>INDEX(Wel.y,$F$21)</f>
        <v>324.3</v>
      </c>
      <c r="I29">
        <f>INDEX(Wel.yn,$I$21)</f>
        <v>1090</v>
      </c>
    </row>
    <row r="30" spans="1:9">
      <c r="E30" t="s">
        <v>1880</v>
      </c>
      <c r="F30">
        <f>$A$24*F28/F23+0.9*A26/F29</f>
        <v>0.2806323161353666</v>
      </c>
      <c r="I30">
        <f>$A$24*I28/I23+0.9*D26/I29</f>
        <v>0.16082474226804125</v>
      </c>
    </row>
    <row r="35" spans="1:17">
      <c r="F35" s="561"/>
    </row>
    <row r="36" spans="1:17">
      <c r="A36" s="602"/>
      <c r="B36" s="602"/>
      <c r="C36" s="602"/>
      <c r="D36" s="602"/>
      <c r="E36" s="602"/>
      <c r="F36" s="602"/>
      <c r="G36" s="602"/>
      <c r="H36" s="602"/>
      <c r="I36" s="602"/>
      <c r="J36" s="602"/>
      <c r="K36" s="602"/>
    </row>
    <row r="37" spans="1:17">
      <c r="A37" s="602"/>
      <c r="B37" s="602"/>
      <c r="C37" s="602"/>
      <c r="D37" s="602"/>
      <c r="E37" s="602"/>
      <c r="F37" s="602"/>
      <c r="G37" s="602"/>
      <c r="H37" s="602"/>
      <c r="I37" s="602"/>
      <c r="J37" s="602"/>
      <c r="K37" s="602"/>
      <c r="N37" s="561"/>
    </row>
    <row r="38" spans="1:17">
      <c r="A38" s="602"/>
      <c r="B38" s="602"/>
      <c r="C38" s="602"/>
      <c r="D38" s="602"/>
      <c r="E38" s="602"/>
      <c r="F38" s="602"/>
      <c r="G38" s="602"/>
      <c r="H38" s="602"/>
      <c r="I38" s="602"/>
      <c r="J38" s="602"/>
      <c r="K38" s="602"/>
    </row>
    <row r="39" spans="1:17">
      <c r="A39" s="602"/>
      <c r="B39" s="602"/>
      <c r="C39" s="602"/>
      <c r="D39" s="602"/>
      <c r="E39" s="602"/>
      <c r="F39" s="602"/>
      <c r="G39" s="602"/>
      <c r="H39" s="602"/>
      <c r="I39" s="602"/>
      <c r="J39" s="602"/>
      <c r="K39" s="602"/>
    </row>
    <row r="40" spans="1:17">
      <c r="A40" s="602"/>
      <c r="B40" s="602"/>
      <c r="C40" s="602"/>
      <c r="D40" s="602"/>
      <c r="E40" s="602"/>
      <c r="F40" s="603"/>
      <c r="G40" s="602"/>
      <c r="H40" s="602"/>
      <c r="I40" s="603"/>
      <c r="J40" s="602"/>
      <c r="K40" s="602"/>
    </row>
    <row r="41" spans="1:17">
      <c r="A41" s="602"/>
      <c r="B41" s="602"/>
      <c r="C41" s="602"/>
      <c r="D41" s="602"/>
      <c r="E41" s="602"/>
      <c r="F41" s="602"/>
      <c r="G41" s="602"/>
      <c r="H41" s="602"/>
      <c r="I41" s="602"/>
      <c r="J41" s="602"/>
      <c r="K41" s="602"/>
    </row>
    <row r="42" spans="1:17">
      <c r="A42" s="602"/>
      <c r="B42" s="602"/>
      <c r="C42" s="602"/>
      <c r="D42" s="602"/>
      <c r="E42" s="602"/>
      <c r="F42" s="602"/>
      <c r="G42" s="602"/>
      <c r="H42" s="602"/>
      <c r="I42" s="602"/>
      <c r="J42" s="602"/>
      <c r="K42" s="602"/>
      <c r="N42" s="1"/>
      <c r="Q42" s="1"/>
    </row>
    <row r="43" spans="1:17">
      <c r="A43" s="602"/>
      <c r="B43" s="602"/>
      <c r="C43" s="602"/>
      <c r="D43" s="602"/>
      <c r="E43" s="602"/>
      <c r="F43" s="602"/>
      <c r="G43" s="602"/>
      <c r="H43" s="602"/>
      <c r="I43" s="602"/>
      <c r="J43" s="602"/>
      <c r="K43" s="602"/>
      <c r="N43" s="1"/>
      <c r="Q43" s="1"/>
    </row>
    <row r="44" spans="1:17">
      <c r="A44" s="602"/>
      <c r="B44" s="602"/>
      <c r="C44" s="602"/>
      <c r="D44" s="602"/>
      <c r="E44" s="602"/>
      <c r="F44" s="602"/>
      <c r="G44" s="602"/>
      <c r="H44" s="602"/>
      <c r="I44" s="602"/>
      <c r="J44" s="602"/>
      <c r="K44" s="602"/>
    </row>
    <row r="45" spans="1:17">
      <c r="A45" s="602"/>
      <c r="B45" s="602"/>
      <c r="C45" s="602"/>
      <c r="D45" s="602"/>
      <c r="E45" s="602"/>
      <c r="F45" s="602"/>
      <c r="G45" s="602"/>
      <c r="H45" s="602"/>
      <c r="I45" s="602"/>
      <c r="J45" s="602"/>
      <c r="K45" s="602"/>
    </row>
    <row r="46" spans="1:17">
      <c r="A46" s="602"/>
      <c r="B46" s="602"/>
      <c r="C46" s="602"/>
      <c r="D46" s="602"/>
      <c r="E46" s="602"/>
      <c r="F46" s="602"/>
      <c r="G46" s="602"/>
      <c r="H46" s="602"/>
      <c r="I46" s="602"/>
      <c r="J46" s="602"/>
      <c r="K46" s="602"/>
    </row>
    <row r="47" spans="1:17">
      <c r="A47" s="602"/>
      <c r="B47" s="602"/>
      <c r="C47" s="602"/>
      <c r="D47" s="602"/>
      <c r="E47" s="602"/>
      <c r="F47" s="602"/>
      <c r="G47" s="602"/>
      <c r="H47" s="602"/>
      <c r="I47" s="602"/>
      <c r="J47" s="602"/>
      <c r="K47" s="602"/>
    </row>
    <row r="48" spans="1:17" ht="15.75">
      <c r="A48" s="606"/>
      <c r="B48" s="602"/>
      <c r="C48" s="602"/>
      <c r="D48" s="608"/>
      <c r="E48" s="602"/>
      <c r="F48" s="602"/>
      <c r="G48" s="602"/>
      <c r="H48" s="602"/>
      <c r="I48" s="602"/>
      <c r="J48" s="602"/>
      <c r="K48" s="602"/>
    </row>
    <row r="49" spans="1:11">
      <c r="A49" s="602"/>
      <c r="B49" s="602"/>
      <c r="C49" s="602"/>
      <c r="D49" s="608"/>
      <c r="E49" s="602"/>
      <c r="F49" s="602"/>
      <c r="G49" s="602"/>
      <c r="H49" s="602"/>
      <c r="I49" s="602"/>
      <c r="J49" s="602"/>
      <c r="K49" s="602"/>
    </row>
    <row r="50" spans="1:11">
      <c r="A50" s="602"/>
      <c r="B50" s="602"/>
      <c r="C50" s="618"/>
      <c r="D50" s="619"/>
      <c r="E50" s="602"/>
      <c r="F50" s="602"/>
      <c r="G50" s="602"/>
      <c r="H50" s="602"/>
      <c r="I50" s="602"/>
      <c r="J50" s="602"/>
      <c r="K50" s="602"/>
    </row>
    <row r="51" spans="1:11">
      <c r="A51" s="602"/>
      <c r="B51" s="602"/>
      <c r="C51" s="602"/>
      <c r="D51" s="567"/>
      <c r="E51" s="602"/>
      <c r="F51" s="604"/>
      <c r="G51" s="602"/>
      <c r="H51" s="602"/>
      <c r="I51" s="602"/>
      <c r="J51" s="602"/>
      <c r="K51" s="602"/>
    </row>
    <row r="52" spans="1:11">
      <c r="A52" s="602"/>
      <c r="B52" s="602"/>
      <c r="C52" s="602"/>
      <c r="D52" s="602"/>
      <c r="E52" s="602"/>
      <c r="F52" s="603"/>
      <c r="G52" s="602"/>
      <c r="H52" s="602"/>
      <c r="I52" s="603"/>
      <c r="J52" s="602"/>
      <c r="K52" s="602"/>
    </row>
    <row r="53" spans="1:11">
      <c r="A53" s="602"/>
      <c r="B53" s="602"/>
      <c r="C53" s="602"/>
      <c r="D53" s="602"/>
      <c r="E53" s="602"/>
      <c r="F53" s="602"/>
      <c r="G53" s="602"/>
      <c r="H53" s="602"/>
      <c r="I53" s="602"/>
      <c r="J53" s="602"/>
      <c r="K53" s="602"/>
    </row>
    <row r="54" spans="1:11">
      <c r="A54" s="602"/>
      <c r="B54" s="602"/>
      <c r="C54" s="602"/>
      <c r="D54" s="602"/>
      <c r="E54" s="602"/>
      <c r="F54" s="602"/>
      <c r="G54" s="602"/>
      <c r="H54" s="602"/>
      <c r="I54" s="602"/>
      <c r="J54" s="602"/>
      <c r="K54" s="602"/>
    </row>
    <row r="55" spans="1:11">
      <c r="A55" s="602"/>
      <c r="B55" s="602"/>
      <c r="C55" s="602"/>
      <c r="D55" s="602"/>
      <c r="E55" s="602"/>
      <c r="F55" s="602"/>
      <c r="G55" s="602"/>
      <c r="H55" s="602"/>
      <c r="I55" s="602"/>
      <c r="J55" s="602"/>
      <c r="K55" s="602"/>
    </row>
    <row r="56" spans="1:11">
      <c r="A56" s="602"/>
      <c r="B56" s="602"/>
      <c r="C56" s="602"/>
      <c r="D56" s="602"/>
      <c r="E56" s="602"/>
      <c r="F56" s="602"/>
      <c r="G56" s="602"/>
      <c r="H56" s="602"/>
      <c r="I56" s="602"/>
      <c r="J56" s="602"/>
      <c r="K56" s="602"/>
    </row>
    <row r="57" spans="1:11">
      <c r="A57" s="567"/>
      <c r="B57" s="602"/>
      <c r="C57" s="602"/>
      <c r="D57" s="602"/>
      <c r="E57" s="602"/>
      <c r="F57" s="602"/>
      <c r="G57" s="602"/>
      <c r="H57" s="602"/>
      <c r="I57" s="602"/>
      <c r="J57" s="602"/>
      <c r="K57" s="602"/>
    </row>
    <row r="58" spans="1:11">
      <c r="A58" s="602"/>
      <c r="B58" s="604"/>
      <c r="C58" s="604"/>
      <c r="D58" s="604"/>
      <c r="E58" s="605"/>
      <c r="F58" s="602"/>
      <c r="G58" s="602"/>
      <c r="H58" s="602"/>
      <c r="I58" s="602"/>
      <c r="J58" s="602"/>
      <c r="K58" s="602"/>
    </row>
    <row r="59" spans="1:11">
      <c r="A59" s="602"/>
      <c r="B59" s="604"/>
      <c r="C59" s="604"/>
      <c r="D59" s="604"/>
      <c r="E59" s="602"/>
      <c r="F59" s="602"/>
      <c r="G59" s="602"/>
      <c r="H59" s="602"/>
      <c r="I59" s="602"/>
      <c r="J59" s="602"/>
      <c r="K59" s="602"/>
    </row>
    <row r="60" spans="1:11">
      <c r="A60" s="602"/>
      <c r="B60" s="602"/>
      <c r="C60" s="604"/>
      <c r="D60" s="602"/>
      <c r="E60" s="602"/>
      <c r="F60" s="567"/>
      <c r="G60" s="602"/>
      <c r="H60" s="602"/>
      <c r="I60" s="602"/>
      <c r="J60" s="602"/>
      <c r="K60" s="602"/>
    </row>
    <row r="61" spans="1:11">
      <c r="A61" s="602"/>
      <c r="B61" s="602"/>
      <c r="C61" s="602"/>
      <c r="D61" s="602"/>
      <c r="E61" s="602"/>
      <c r="F61" s="602"/>
      <c r="G61" s="602"/>
      <c r="H61" s="602"/>
      <c r="I61" s="602"/>
      <c r="J61" s="602"/>
      <c r="K61" s="602"/>
    </row>
    <row r="62" spans="1:11">
      <c r="A62" s="602"/>
      <c r="B62" s="602"/>
      <c r="C62" s="602"/>
      <c r="D62" s="602"/>
      <c r="E62" s="602"/>
      <c r="F62" s="602"/>
      <c r="G62" s="602"/>
      <c r="H62" s="602"/>
      <c r="I62" s="602"/>
      <c r="J62" s="602"/>
      <c r="K62" s="602"/>
    </row>
    <row r="63" spans="1:11">
      <c r="A63" s="602"/>
      <c r="B63" s="602"/>
      <c r="C63" s="602"/>
      <c r="D63" s="602"/>
      <c r="E63" s="602"/>
      <c r="F63" s="602"/>
      <c r="G63" s="602"/>
      <c r="H63" s="602"/>
      <c r="I63" s="602"/>
      <c r="J63" s="602"/>
      <c r="K63" s="602"/>
    </row>
    <row r="64" spans="1:11">
      <c r="A64" s="602"/>
      <c r="B64" s="602"/>
      <c r="C64" s="602"/>
      <c r="D64" s="602"/>
      <c r="E64" s="602"/>
      <c r="F64" s="602"/>
      <c r="G64" s="602"/>
      <c r="H64" s="602"/>
      <c r="I64" s="602"/>
      <c r="J64" s="602"/>
      <c r="K64" s="602"/>
    </row>
    <row r="65" spans="1:11">
      <c r="A65" s="602"/>
      <c r="B65" s="602"/>
      <c r="C65" s="602"/>
      <c r="D65" s="602"/>
      <c r="E65" s="602"/>
      <c r="F65" s="603"/>
      <c r="G65" s="602"/>
      <c r="H65" s="602"/>
      <c r="I65" s="603"/>
      <c r="J65" s="602"/>
      <c r="K65" s="602"/>
    </row>
    <row r="66" spans="1:11" ht="15.75">
      <c r="A66" s="606"/>
      <c r="B66" s="602"/>
      <c r="C66" s="602"/>
      <c r="D66" s="602"/>
      <c r="E66" s="602"/>
      <c r="F66" s="602"/>
      <c r="G66" s="602"/>
      <c r="H66" s="602"/>
      <c r="I66" s="602"/>
      <c r="J66" s="602"/>
      <c r="K66" s="602"/>
    </row>
    <row r="67" spans="1:11">
      <c r="A67" s="602"/>
      <c r="B67" s="602"/>
      <c r="C67" s="602"/>
      <c r="D67" s="602"/>
      <c r="E67" s="602"/>
      <c r="F67" s="602"/>
      <c r="G67" s="602"/>
      <c r="H67" s="602"/>
      <c r="I67" s="602"/>
      <c r="J67" s="602"/>
      <c r="K67" s="602"/>
    </row>
    <row r="68" spans="1:11">
      <c r="A68" s="607"/>
      <c r="B68" s="607"/>
      <c r="C68" s="607"/>
      <c r="D68" s="607"/>
      <c r="E68" s="607"/>
      <c r="F68" s="607"/>
      <c r="G68" s="602"/>
      <c r="H68" s="602"/>
      <c r="I68" s="602"/>
      <c r="J68" s="602"/>
      <c r="K68" s="602"/>
    </row>
    <row r="69" spans="1:11">
      <c r="A69" s="602"/>
      <c r="B69" s="603"/>
      <c r="C69" s="603"/>
      <c r="D69" s="602"/>
      <c r="E69" s="602"/>
      <c r="F69" s="602"/>
      <c r="G69" s="602"/>
      <c r="H69" s="602"/>
      <c r="I69" s="602"/>
      <c r="J69" s="602"/>
      <c r="K69" s="602"/>
    </row>
    <row r="70" spans="1:11">
      <c r="A70" s="603"/>
      <c r="B70" s="603"/>
      <c r="C70" s="603"/>
      <c r="D70" s="602"/>
      <c r="E70" s="602"/>
      <c r="F70" s="608"/>
      <c r="G70" s="602"/>
      <c r="H70" s="602"/>
      <c r="I70" s="602"/>
      <c r="J70" s="602"/>
      <c r="K70" s="602"/>
    </row>
    <row r="71" spans="1:11">
      <c r="A71" s="603"/>
      <c r="B71" s="609"/>
      <c r="C71" s="609"/>
      <c r="D71" s="602"/>
      <c r="E71" s="610"/>
      <c r="F71" s="608"/>
      <c r="G71" s="602"/>
      <c r="H71" s="602"/>
      <c r="I71" s="602"/>
      <c r="J71" s="602"/>
      <c r="K71" s="602"/>
    </row>
    <row r="72" spans="1:11">
      <c r="A72" s="603"/>
      <c r="B72" s="609"/>
      <c r="C72" s="609"/>
      <c r="D72" s="602"/>
      <c r="E72" s="610"/>
      <c r="F72" s="608"/>
      <c r="G72" s="602"/>
      <c r="H72" s="602"/>
      <c r="I72" s="602"/>
      <c r="J72" s="602"/>
      <c r="K72" s="602"/>
    </row>
    <row r="73" spans="1:11">
      <c r="A73" s="603"/>
      <c r="B73" s="609"/>
      <c r="C73" s="609"/>
      <c r="D73" s="602"/>
      <c r="E73" s="610"/>
      <c r="F73" s="608"/>
      <c r="G73" s="602"/>
      <c r="H73" s="602"/>
      <c r="I73" s="602"/>
      <c r="J73" s="602"/>
      <c r="K73" s="602"/>
    </row>
    <row r="74" spans="1:11">
      <c r="A74" s="603"/>
      <c r="B74" s="609"/>
      <c r="C74" s="609"/>
      <c r="D74" s="602"/>
      <c r="E74" s="610"/>
      <c r="F74" s="608"/>
      <c r="G74" s="602"/>
      <c r="H74" s="602"/>
      <c r="I74" s="602"/>
      <c r="J74" s="602"/>
      <c r="K74" s="602"/>
    </row>
    <row r="75" spans="1:11">
      <c r="A75" s="603"/>
      <c r="B75" s="609"/>
      <c r="C75" s="609"/>
      <c r="D75" s="602"/>
      <c r="E75" s="610"/>
      <c r="F75" s="608"/>
      <c r="G75" s="602"/>
      <c r="H75" s="602"/>
      <c r="I75" s="602"/>
      <c r="J75" s="602"/>
      <c r="K75" s="602"/>
    </row>
    <row r="76" spans="1:11">
      <c r="A76" s="603"/>
      <c r="B76" s="609"/>
      <c r="C76" s="609"/>
      <c r="D76" s="602"/>
      <c r="E76" s="610"/>
      <c r="F76" s="608"/>
      <c r="G76" s="602"/>
      <c r="H76" s="602"/>
      <c r="I76" s="602"/>
      <c r="J76" s="602"/>
      <c r="K76" s="602"/>
    </row>
    <row r="77" spans="1:11">
      <c r="A77" s="603"/>
      <c r="B77" s="609"/>
      <c r="C77" s="609"/>
      <c r="D77" s="602"/>
      <c r="E77" s="602"/>
      <c r="F77" s="608"/>
      <c r="G77" s="602"/>
      <c r="H77" s="602"/>
      <c r="I77" s="602"/>
      <c r="J77" s="602"/>
      <c r="K77" s="602"/>
    </row>
    <row r="78" spans="1:11">
      <c r="A78" s="603"/>
      <c r="B78" s="609"/>
      <c r="C78" s="609"/>
      <c r="D78" s="602"/>
      <c r="E78" s="602"/>
      <c r="F78" s="608"/>
      <c r="G78" s="602"/>
      <c r="H78" s="602"/>
      <c r="I78" s="602"/>
      <c r="J78" s="602"/>
      <c r="K78" s="602"/>
    </row>
    <row r="79" spans="1:11">
      <c r="A79" s="603"/>
      <c r="B79" s="609"/>
      <c r="C79" s="609"/>
      <c r="D79" s="602"/>
      <c r="E79" s="602"/>
      <c r="F79" s="608"/>
      <c r="G79" s="602"/>
      <c r="H79" s="602"/>
      <c r="I79" s="602"/>
      <c r="J79" s="602"/>
      <c r="K79" s="602"/>
    </row>
    <row r="80" spans="1:11">
      <c r="A80" s="603"/>
      <c r="B80" s="609"/>
      <c r="C80" s="609"/>
      <c r="D80" s="602"/>
      <c r="E80" s="610"/>
      <c r="F80" s="608"/>
      <c r="G80" s="602"/>
      <c r="H80" s="602"/>
      <c r="I80" s="602"/>
      <c r="J80" s="602"/>
      <c r="K80" s="602"/>
    </row>
    <row r="81" spans="1:11">
      <c r="A81" s="602"/>
      <c r="B81" s="602"/>
      <c r="C81" s="602"/>
      <c r="D81" s="602"/>
      <c r="E81" s="602"/>
      <c r="F81" s="602"/>
      <c r="G81" s="602"/>
      <c r="H81" s="602"/>
      <c r="I81" s="602"/>
      <c r="J81" s="602"/>
      <c r="K81" s="602"/>
    </row>
    <row r="82" spans="1:11">
      <c r="A82" s="611"/>
      <c r="B82" s="602"/>
      <c r="C82" s="612"/>
      <c r="D82" s="612"/>
      <c r="E82" s="602"/>
      <c r="F82" s="620"/>
      <c r="G82" s="602"/>
      <c r="H82" s="602"/>
      <c r="I82" s="602"/>
      <c r="J82" s="602"/>
      <c r="K82" s="602"/>
    </row>
    <row r="83" spans="1:11">
      <c r="A83" s="602"/>
      <c r="B83" s="602"/>
      <c r="C83" s="602"/>
      <c r="D83" s="602"/>
      <c r="E83" s="602"/>
      <c r="F83" s="602"/>
      <c r="G83" s="602"/>
      <c r="H83" s="602"/>
      <c r="I83" s="602"/>
      <c r="J83" s="602"/>
      <c r="K83" s="602"/>
    </row>
    <row r="84" spans="1:11">
      <c r="A84" s="602"/>
      <c r="B84" s="602"/>
      <c r="C84" s="602"/>
      <c r="D84" s="602"/>
      <c r="E84" s="602"/>
      <c r="F84" s="602"/>
      <c r="G84" s="602"/>
      <c r="H84" s="602"/>
      <c r="I84" s="602"/>
      <c r="J84" s="602"/>
      <c r="K84" s="602"/>
    </row>
    <row r="85" spans="1:11">
      <c r="A85" s="602"/>
      <c r="B85" s="602"/>
      <c r="C85" s="602"/>
      <c r="D85" s="602"/>
      <c r="E85" s="602"/>
      <c r="F85" s="602"/>
      <c r="G85" s="602"/>
      <c r="H85" s="602"/>
      <c r="I85" s="602"/>
      <c r="J85" s="602"/>
      <c r="K85" s="602"/>
    </row>
    <row r="86" spans="1:11">
      <c r="A86" s="602"/>
      <c r="B86" s="602"/>
      <c r="C86" s="602"/>
      <c r="D86" s="602"/>
      <c r="E86" s="602"/>
      <c r="F86" s="602"/>
      <c r="G86" s="602"/>
      <c r="H86" s="602"/>
      <c r="I86" s="602"/>
      <c r="J86" s="602"/>
      <c r="K86" s="602"/>
    </row>
    <row r="87" spans="1:11">
      <c r="A87" s="602"/>
      <c r="B87" s="602"/>
      <c r="C87" s="602"/>
      <c r="D87" s="602"/>
      <c r="E87" s="602"/>
      <c r="F87" s="602"/>
      <c r="G87" s="602"/>
      <c r="H87" s="602"/>
      <c r="I87" s="602"/>
      <c r="J87" s="602"/>
      <c r="K87" s="602"/>
    </row>
    <row r="88" spans="1:11">
      <c r="A88" s="602"/>
      <c r="B88" s="602"/>
      <c r="C88" s="602"/>
      <c r="D88" s="602"/>
      <c r="E88" s="602"/>
      <c r="F88" s="602"/>
      <c r="G88" s="602"/>
      <c r="H88" s="602"/>
      <c r="I88" s="602"/>
      <c r="J88" s="602"/>
      <c r="K88" s="602"/>
    </row>
    <row r="89" spans="1:11">
      <c r="A89" s="602"/>
      <c r="B89" s="602"/>
      <c r="C89" s="602"/>
      <c r="D89" s="602"/>
      <c r="E89" s="602"/>
      <c r="F89" s="602"/>
      <c r="G89" s="602"/>
      <c r="H89" s="602"/>
      <c r="I89" s="602"/>
      <c r="J89" s="602"/>
      <c r="K89" s="602"/>
    </row>
    <row r="90" spans="1:11">
      <c r="A90" s="602"/>
      <c r="B90" s="602"/>
      <c r="C90" s="602"/>
      <c r="D90" s="602"/>
      <c r="E90" s="602"/>
      <c r="F90" s="602"/>
      <c r="G90" s="602"/>
      <c r="H90" s="602"/>
      <c r="I90" s="602"/>
      <c r="J90" s="602"/>
      <c r="K90" s="602"/>
    </row>
    <row r="91" spans="1:11">
      <c r="A91" s="602"/>
      <c r="B91" s="602"/>
      <c r="C91" s="602"/>
      <c r="D91" s="602"/>
      <c r="E91" s="602"/>
      <c r="F91" s="602"/>
      <c r="G91" s="602"/>
      <c r="H91" s="602"/>
      <c r="I91" s="602"/>
      <c r="J91" s="602"/>
      <c r="K91" s="602"/>
    </row>
    <row r="92" spans="1:11">
      <c r="A92" s="602"/>
      <c r="B92" s="602"/>
      <c r="C92" s="602"/>
      <c r="D92" s="602"/>
      <c r="E92" s="602"/>
      <c r="F92" s="602"/>
      <c r="G92" s="602"/>
      <c r="H92" s="602"/>
      <c r="I92" s="602"/>
      <c r="J92" s="602"/>
      <c r="K92" s="602"/>
    </row>
    <row r="93" spans="1:11">
      <c r="A93" s="602"/>
      <c r="B93" s="602"/>
      <c r="C93" s="602"/>
      <c r="D93" s="602"/>
      <c r="E93" s="602"/>
      <c r="F93" s="602"/>
      <c r="G93" s="602"/>
      <c r="H93" s="602"/>
      <c r="I93" s="602"/>
      <c r="J93" s="602"/>
      <c r="K93" s="602"/>
    </row>
    <row r="94" spans="1:11">
      <c r="A94" s="602"/>
      <c r="B94" s="602"/>
      <c r="C94" s="602"/>
      <c r="D94" s="602"/>
      <c r="E94" s="602"/>
      <c r="F94" s="602"/>
      <c r="G94" s="602"/>
      <c r="H94" s="602"/>
      <c r="I94" s="602"/>
      <c r="J94" s="602"/>
      <c r="K94" s="602"/>
    </row>
    <row r="95" spans="1:11">
      <c r="A95" s="602"/>
      <c r="B95" s="602"/>
      <c r="C95" s="602"/>
      <c r="D95" s="602"/>
      <c r="E95" s="602"/>
      <c r="F95" s="602"/>
      <c r="G95" s="602"/>
      <c r="H95" s="602"/>
      <c r="I95" s="602"/>
      <c r="J95" s="602"/>
      <c r="K95" s="602"/>
    </row>
    <row r="96" spans="1:11">
      <c r="A96" s="602"/>
      <c r="B96" s="602"/>
      <c r="C96" s="602"/>
      <c r="D96" s="602"/>
      <c r="E96" s="602"/>
      <c r="F96" s="602"/>
      <c r="G96" s="602"/>
      <c r="H96" s="602"/>
      <c r="I96" s="602"/>
      <c r="J96" s="602"/>
      <c r="K96" s="602"/>
    </row>
    <row r="97" spans="1:11">
      <c r="A97" s="602"/>
      <c r="B97" s="602"/>
      <c r="C97" s="602"/>
      <c r="D97" s="602"/>
      <c r="E97" s="602"/>
      <c r="F97" s="602"/>
      <c r="G97" s="602"/>
      <c r="H97" s="602"/>
      <c r="I97" s="602"/>
      <c r="J97" s="602"/>
      <c r="K97" s="602"/>
    </row>
    <row r="98" spans="1:11">
      <c r="A98" s="602"/>
      <c r="B98" s="602"/>
      <c r="C98" s="602"/>
      <c r="D98" s="602"/>
      <c r="E98" s="602"/>
      <c r="F98" s="602"/>
      <c r="G98" s="602"/>
      <c r="H98" s="602"/>
      <c r="I98" s="602"/>
      <c r="J98" s="602"/>
      <c r="K98" s="602"/>
    </row>
    <row r="99" spans="1:11">
      <c r="A99" s="602"/>
      <c r="B99" s="602"/>
      <c r="C99" s="602"/>
      <c r="D99" s="602"/>
      <c r="E99" s="602"/>
      <c r="F99" s="602"/>
      <c r="G99" s="602"/>
      <c r="H99" s="602"/>
      <c r="I99" s="602"/>
      <c r="J99" s="602"/>
      <c r="K99" s="602"/>
    </row>
    <row r="100" spans="1:11">
      <c r="A100" s="602"/>
      <c r="B100" s="602"/>
      <c r="C100" s="602"/>
      <c r="D100" s="602"/>
      <c r="E100" s="602"/>
      <c r="F100" s="602"/>
      <c r="G100" s="602"/>
      <c r="H100" s="602"/>
      <c r="I100" s="602"/>
      <c r="J100" s="602"/>
      <c r="K100" s="602"/>
    </row>
    <row r="101" spans="1:11">
      <c r="A101" s="602"/>
      <c r="B101" s="602"/>
      <c r="C101" s="602"/>
      <c r="D101" s="602"/>
      <c r="E101" s="602"/>
      <c r="F101" s="602"/>
      <c r="G101" s="602"/>
      <c r="H101" s="602"/>
      <c r="I101" s="602"/>
      <c r="J101" s="602"/>
      <c r="K101" s="602"/>
    </row>
    <row r="102" spans="1:11">
      <c r="A102" s="602"/>
      <c r="B102" s="602"/>
      <c r="C102" s="602"/>
      <c r="D102" s="602"/>
      <c r="E102" s="602"/>
      <c r="F102" s="602"/>
      <c r="G102" s="602"/>
      <c r="H102" s="602"/>
      <c r="I102" s="602"/>
      <c r="J102" s="602"/>
      <c r="K102" s="602"/>
    </row>
    <row r="103" spans="1:11">
      <c r="A103" s="612"/>
      <c r="B103" s="621"/>
      <c r="C103" s="602"/>
      <c r="D103" s="602"/>
      <c r="E103" s="602"/>
      <c r="F103" s="602"/>
      <c r="G103" s="602"/>
      <c r="H103" s="602"/>
      <c r="I103" s="602"/>
      <c r="J103" s="602"/>
      <c r="K103" s="602"/>
    </row>
    <row r="104" spans="1:11">
      <c r="A104" s="602"/>
      <c r="B104" s="567"/>
      <c r="C104" s="602"/>
      <c r="D104" s="602"/>
      <c r="E104" s="602"/>
      <c r="F104" s="602"/>
      <c r="G104" s="602"/>
      <c r="H104" s="602"/>
      <c r="I104" s="602"/>
      <c r="J104" s="602"/>
      <c r="K104" s="602"/>
    </row>
    <row r="105" spans="1:11">
      <c r="A105" s="612"/>
      <c r="B105" s="620"/>
      <c r="C105" s="602"/>
      <c r="D105" s="602"/>
      <c r="E105" s="602"/>
      <c r="F105" s="602"/>
      <c r="G105" s="602"/>
      <c r="H105" s="602"/>
      <c r="I105" s="602"/>
      <c r="J105" s="602"/>
      <c r="K105" s="602"/>
    </row>
    <row r="106" spans="1:11">
      <c r="A106" s="602"/>
      <c r="B106" s="602"/>
      <c r="C106" s="602"/>
      <c r="D106" s="602"/>
      <c r="E106" s="602"/>
      <c r="F106" s="602"/>
      <c r="G106" s="602"/>
      <c r="H106" s="602"/>
      <c r="I106" s="602"/>
      <c r="J106" s="602"/>
      <c r="K106" s="602"/>
    </row>
    <row r="107" spans="1:11">
      <c r="A107" s="613"/>
      <c r="B107" s="614"/>
      <c r="C107" s="602"/>
      <c r="D107" s="602"/>
      <c r="E107" s="602"/>
      <c r="F107" s="602"/>
      <c r="G107" s="602"/>
      <c r="H107" s="602"/>
      <c r="I107" s="602"/>
      <c r="J107" s="602"/>
      <c r="K107" s="602"/>
    </row>
    <row r="108" spans="1:11">
      <c r="A108" s="602"/>
      <c r="B108" s="602"/>
      <c r="C108" s="602"/>
      <c r="D108" s="602"/>
      <c r="E108" s="602"/>
      <c r="F108" s="602"/>
      <c r="G108" s="602"/>
      <c r="H108" s="602"/>
      <c r="I108" s="602"/>
      <c r="J108" s="602"/>
      <c r="K108" s="602"/>
    </row>
    <row r="109" spans="1:11">
      <c r="A109" s="602"/>
      <c r="B109" s="602"/>
      <c r="C109" s="602"/>
      <c r="D109" s="602"/>
      <c r="E109" s="602"/>
      <c r="F109" s="602"/>
      <c r="G109" s="602"/>
      <c r="H109" s="602"/>
      <c r="I109" s="602"/>
      <c r="J109" s="602"/>
      <c r="K109" s="602"/>
    </row>
    <row r="110" spans="1:11" ht="15.75">
      <c r="A110" s="606"/>
      <c r="B110" s="602"/>
      <c r="C110" s="602"/>
      <c r="D110" s="602"/>
      <c r="E110" s="602"/>
      <c r="F110" s="602"/>
      <c r="G110" s="602"/>
      <c r="H110" s="602"/>
      <c r="I110" s="602"/>
      <c r="J110" s="602"/>
      <c r="K110" s="602"/>
    </row>
    <row r="111" spans="1:11">
      <c r="A111" s="602"/>
      <c r="B111" s="602"/>
      <c r="C111" s="602"/>
      <c r="D111" s="602"/>
      <c r="E111" s="602"/>
      <c r="F111" s="602"/>
      <c r="G111" s="602"/>
      <c r="H111" s="602"/>
      <c r="I111" s="602"/>
      <c r="J111" s="602"/>
      <c r="K111" s="602"/>
    </row>
    <row r="112" spans="1:11">
      <c r="A112" s="615"/>
      <c r="B112" s="616"/>
      <c r="C112" s="602"/>
      <c r="D112" s="602"/>
      <c r="E112" s="602"/>
      <c r="F112" s="602"/>
      <c r="G112" s="602"/>
      <c r="H112" s="602"/>
      <c r="I112" s="602"/>
      <c r="J112" s="602"/>
      <c r="K112" s="602"/>
    </row>
    <row r="113" spans="1:11">
      <c r="A113" s="616"/>
      <c r="B113" s="602"/>
      <c r="C113" s="602"/>
      <c r="D113" s="602"/>
      <c r="E113" s="602"/>
      <c r="F113" s="602"/>
      <c r="G113" s="602"/>
      <c r="H113" s="602"/>
      <c r="I113" s="602"/>
      <c r="J113" s="602"/>
      <c r="K113" s="602"/>
    </row>
    <row r="114" spans="1:11">
      <c r="A114" s="602"/>
      <c r="B114" s="567"/>
      <c r="C114" s="602"/>
      <c r="D114" s="602"/>
      <c r="E114" s="602"/>
      <c r="F114" s="602"/>
      <c r="G114" s="602"/>
      <c r="H114" s="602"/>
      <c r="I114" s="602"/>
      <c r="J114" s="602"/>
      <c r="K114" s="602"/>
    </row>
    <row r="115" spans="1:11">
      <c r="A115" s="602"/>
      <c r="B115" s="602"/>
      <c r="C115" s="602"/>
      <c r="D115" s="602"/>
      <c r="E115" s="602"/>
      <c r="F115" s="602"/>
      <c r="G115" s="602"/>
      <c r="H115" s="602"/>
      <c r="I115" s="602"/>
      <c r="J115" s="602"/>
      <c r="K115" s="602"/>
    </row>
    <row r="116" spans="1:11">
      <c r="A116" s="602"/>
      <c r="B116" s="602"/>
      <c r="C116" s="602"/>
      <c r="D116" s="602"/>
      <c r="E116" s="602"/>
      <c r="F116" s="602"/>
      <c r="G116" s="602"/>
      <c r="H116" s="602"/>
      <c r="I116" s="602"/>
      <c r="J116" s="602"/>
      <c r="K116" s="602"/>
    </row>
    <row r="117" spans="1:11">
      <c r="A117" s="602"/>
      <c r="B117" s="602"/>
      <c r="C117" s="602"/>
      <c r="D117" s="602"/>
      <c r="E117" s="602"/>
      <c r="F117" s="602"/>
      <c r="G117" s="602"/>
      <c r="H117" s="602"/>
      <c r="I117" s="602"/>
      <c r="J117" s="602"/>
      <c r="K117" s="602"/>
    </row>
    <row r="118" spans="1:11">
      <c r="A118" s="602"/>
      <c r="B118" s="602"/>
      <c r="C118" s="602"/>
      <c r="D118" s="602"/>
      <c r="E118" s="602"/>
      <c r="F118" s="602"/>
      <c r="G118" s="602"/>
      <c r="H118" s="602"/>
      <c r="I118" s="602"/>
      <c r="J118" s="602"/>
      <c r="K118" s="602"/>
    </row>
    <row r="119" spans="1:11">
      <c r="A119" s="602"/>
      <c r="B119" s="602"/>
      <c r="C119" s="602"/>
      <c r="D119" s="602"/>
      <c r="E119" s="617"/>
      <c r="F119" s="602"/>
      <c r="G119" s="602"/>
      <c r="H119" s="602"/>
      <c r="I119" s="602"/>
      <c r="J119" s="602"/>
      <c r="K119" s="602"/>
    </row>
    <row r="120" spans="1:11">
      <c r="A120" s="602"/>
      <c r="B120" s="602"/>
      <c r="C120" s="602"/>
      <c r="D120" s="602"/>
      <c r="E120" s="602"/>
      <c r="F120" s="602"/>
      <c r="G120" s="602"/>
      <c r="H120" s="602"/>
      <c r="I120" s="602"/>
      <c r="J120" s="602"/>
      <c r="K120" s="602"/>
    </row>
    <row r="121" spans="1:11">
      <c r="A121" s="602"/>
      <c r="B121" s="602"/>
      <c r="C121" s="602"/>
      <c r="D121" s="602"/>
      <c r="E121" s="602"/>
      <c r="F121" s="602"/>
      <c r="G121" s="602"/>
      <c r="H121" s="602"/>
      <c r="I121" s="602"/>
      <c r="J121" s="602"/>
      <c r="K121" s="602"/>
    </row>
    <row r="122" spans="1:11">
      <c r="A122" s="602"/>
      <c r="B122" s="602"/>
      <c r="C122" s="602"/>
      <c r="D122" s="602"/>
      <c r="E122" s="602"/>
      <c r="F122" s="602"/>
      <c r="G122" s="602"/>
      <c r="H122" s="602"/>
      <c r="I122" s="602"/>
      <c r="J122" s="602"/>
      <c r="K122" s="602"/>
    </row>
    <row r="123" spans="1:11">
      <c r="A123" s="602"/>
      <c r="B123" s="602"/>
      <c r="C123" s="602"/>
      <c r="D123" s="602"/>
      <c r="E123" s="602"/>
      <c r="F123" s="602"/>
      <c r="G123" s="602"/>
      <c r="H123" s="602"/>
      <c r="I123" s="602"/>
      <c r="J123" s="602"/>
      <c r="K123" s="602"/>
    </row>
    <row r="124" spans="1:11">
      <c r="A124" s="602"/>
      <c r="B124" s="602"/>
      <c r="C124" s="602"/>
      <c r="D124" s="602"/>
      <c r="E124" s="602"/>
      <c r="F124" s="602"/>
      <c r="G124" s="602"/>
      <c r="H124" s="602"/>
      <c r="I124" s="602"/>
      <c r="J124" s="602"/>
      <c r="K124" s="602"/>
    </row>
    <row r="125" spans="1:11">
      <c r="A125" s="602"/>
      <c r="B125" s="602"/>
      <c r="C125" s="602"/>
      <c r="D125" s="602"/>
      <c r="E125" s="602"/>
      <c r="F125" s="602"/>
      <c r="G125" s="602"/>
      <c r="H125" s="602"/>
      <c r="I125" s="602"/>
      <c r="J125" s="602"/>
      <c r="K125" s="602"/>
    </row>
    <row r="126" spans="1:11">
      <c r="A126" s="602"/>
      <c r="B126" s="602"/>
      <c r="C126" s="602"/>
      <c r="D126" s="602"/>
      <c r="E126" s="602"/>
      <c r="F126" s="602"/>
      <c r="G126" s="602"/>
      <c r="H126" s="602"/>
      <c r="I126" s="602"/>
      <c r="J126" s="602"/>
      <c r="K126" s="602"/>
    </row>
    <row r="127" spans="1:11">
      <c r="A127" s="602"/>
      <c r="B127" s="602"/>
      <c r="C127" s="602"/>
      <c r="D127" s="602"/>
      <c r="E127" s="602"/>
      <c r="F127" s="602"/>
      <c r="G127" s="602"/>
      <c r="H127" s="602"/>
      <c r="I127" s="602"/>
      <c r="J127" s="602"/>
      <c r="K127" s="602"/>
    </row>
    <row r="128" spans="1:11">
      <c r="A128" s="602"/>
      <c r="B128" s="602"/>
      <c r="C128" s="602"/>
      <c r="D128" s="602"/>
      <c r="E128" s="602"/>
      <c r="F128" s="602"/>
      <c r="G128" s="602"/>
      <c r="H128" s="602"/>
      <c r="I128" s="602"/>
      <c r="J128" s="602"/>
      <c r="K128" s="602"/>
    </row>
    <row r="129" spans="1:11">
      <c r="A129" s="602"/>
      <c r="B129" s="602"/>
      <c r="C129" s="602"/>
      <c r="D129" s="602"/>
      <c r="E129" s="602"/>
      <c r="F129" s="602"/>
      <c r="G129" s="602"/>
      <c r="H129" s="602"/>
      <c r="I129" s="602"/>
      <c r="J129" s="602"/>
      <c r="K129" s="602"/>
    </row>
    <row r="130" spans="1:11">
      <c r="A130" s="602"/>
      <c r="B130" s="602"/>
      <c r="C130" s="602"/>
      <c r="D130" s="602"/>
      <c r="E130" s="602"/>
      <c r="F130" s="602"/>
      <c r="G130" s="602"/>
      <c r="H130" s="602"/>
      <c r="I130" s="602"/>
      <c r="J130" s="602"/>
      <c r="K130" s="602"/>
    </row>
    <row r="131" spans="1:11">
      <c r="A131" s="602"/>
      <c r="B131" s="602"/>
      <c r="C131" s="602"/>
      <c r="D131" s="602"/>
      <c r="E131" s="602"/>
      <c r="F131" s="602"/>
      <c r="G131" s="602"/>
      <c r="H131" s="602"/>
      <c r="I131" s="602"/>
      <c r="J131" s="602"/>
      <c r="K131" s="602"/>
    </row>
    <row r="132" spans="1:11">
      <c r="A132" s="602"/>
      <c r="B132" s="602"/>
      <c r="C132" s="602"/>
      <c r="D132" s="602"/>
      <c r="E132" s="602"/>
      <c r="F132" s="602"/>
      <c r="G132" s="602"/>
      <c r="H132" s="602"/>
      <c r="I132" s="602"/>
      <c r="J132" s="602"/>
      <c r="K132" s="602"/>
    </row>
    <row r="133" spans="1:11">
      <c r="A133" s="602"/>
      <c r="B133" s="602"/>
      <c r="C133" s="602"/>
      <c r="D133" s="602"/>
      <c r="E133" s="602"/>
      <c r="F133" s="602"/>
      <c r="G133" s="602"/>
      <c r="H133" s="602"/>
      <c r="I133" s="602"/>
      <c r="J133" s="602"/>
      <c r="K133" s="602"/>
    </row>
    <row r="134" spans="1:11">
      <c r="A134" s="602"/>
      <c r="B134" s="602"/>
      <c r="C134" s="602"/>
      <c r="D134" s="602"/>
      <c r="E134" s="602"/>
      <c r="F134" s="602"/>
      <c r="G134" s="602"/>
      <c r="H134" s="602"/>
      <c r="I134" s="602"/>
      <c r="J134" s="602"/>
      <c r="K134" s="602"/>
    </row>
    <row r="135" spans="1:11">
      <c r="A135" s="602"/>
      <c r="B135" s="602"/>
      <c r="C135" s="602"/>
      <c r="D135" s="602"/>
      <c r="E135" s="602"/>
      <c r="F135" s="602"/>
      <c r="G135" s="602"/>
      <c r="H135" s="602"/>
      <c r="I135" s="602"/>
      <c r="J135" s="602"/>
      <c r="K135" s="602"/>
    </row>
    <row r="136" spans="1:11">
      <c r="A136" s="602"/>
      <c r="B136" s="602"/>
      <c r="C136" s="602"/>
      <c r="D136" s="602"/>
      <c r="E136" s="602"/>
      <c r="F136" s="602"/>
      <c r="G136" s="602"/>
      <c r="H136" s="602"/>
      <c r="I136" s="602"/>
      <c r="J136" s="602"/>
      <c r="K136" s="602"/>
    </row>
    <row r="137" spans="1:11">
      <c r="A137" s="602"/>
      <c r="B137" s="602"/>
      <c r="C137" s="602"/>
      <c r="D137" s="602"/>
      <c r="E137" s="602"/>
      <c r="F137" s="602"/>
      <c r="G137" s="602"/>
      <c r="H137" s="602"/>
      <c r="I137" s="602"/>
      <c r="J137" s="602"/>
      <c r="K137" s="602"/>
    </row>
    <row r="138" spans="1:11">
      <c r="A138" s="602"/>
      <c r="B138" s="602"/>
      <c r="C138" s="602"/>
      <c r="D138" s="602"/>
      <c r="E138" s="602"/>
      <c r="F138" s="602"/>
      <c r="G138" s="602"/>
      <c r="H138" s="602"/>
      <c r="I138" s="602"/>
      <c r="J138" s="602"/>
      <c r="K138" s="602"/>
    </row>
    <row r="139" spans="1:11">
      <c r="A139" s="602"/>
      <c r="B139" s="602"/>
      <c r="C139" s="602"/>
      <c r="D139" s="602"/>
      <c r="E139" s="602"/>
      <c r="F139" s="602"/>
      <c r="G139" s="602"/>
      <c r="H139" s="602"/>
      <c r="I139" s="602"/>
      <c r="J139" s="602"/>
      <c r="K139" s="602"/>
    </row>
    <row r="140" spans="1:11">
      <c r="A140" s="602"/>
      <c r="B140" s="602"/>
      <c r="C140" s="602"/>
      <c r="D140" s="602"/>
      <c r="E140" s="602"/>
      <c r="F140" s="602"/>
      <c r="G140" s="602"/>
      <c r="H140" s="602"/>
      <c r="I140" s="602"/>
      <c r="J140" s="602"/>
      <c r="K140" s="602"/>
    </row>
    <row r="141" spans="1:11">
      <c r="A141" s="602"/>
      <c r="B141" s="602"/>
      <c r="C141" s="602"/>
      <c r="D141" s="602"/>
      <c r="E141" s="602"/>
      <c r="F141" s="602"/>
      <c r="G141" s="602"/>
      <c r="H141" s="602"/>
      <c r="I141" s="602"/>
      <c r="J141" s="602"/>
      <c r="K141" s="602"/>
    </row>
    <row r="142" spans="1:11">
      <c r="A142" s="602"/>
      <c r="B142" s="602"/>
      <c r="C142" s="602"/>
      <c r="D142" s="602"/>
      <c r="E142" s="602"/>
      <c r="F142" s="602"/>
      <c r="G142" s="602"/>
      <c r="H142" s="602"/>
      <c r="I142" s="602"/>
      <c r="J142" s="602"/>
      <c r="K142" s="602"/>
    </row>
    <row r="143" spans="1:11">
      <c r="A143" s="602"/>
      <c r="B143" s="602"/>
      <c r="C143" s="602"/>
      <c r="D143" s="602"/>
      <c r="E143" s="602"/>
      <c r="F143" s="602"/>
      <c r="G143" s="602"/>
      <c r="H143" s="602"/>
      <c r="I143" s="602"/>
      <c r="J143" s="602"/>
      <c r="K143" s="602"/>
    </row>
    <row r="144" spans="1:11">
      <c r="A144" s="602"/>
      <c r="B144" s="602"/>
      <c r="C144" s="602"/>
      <c r="D144" s="602"/>
      <c r="E144" s="602"/>
      <c r="F144" s="602"/>
      <c r="G144" s="602"/>
      <c r="H144" s="602"/>
      <c r="I144" s="602"/>
      <c r="J144" s="602"/>
      <c r="K144" s="602"/>
    </row>
    <row r="145" spans="1:11">
      <c r="A145" s="602"/>
      <c r="B145" s="602"/>
      <c r="C145" s="602"/>
      <c r="D145" s="602"/>
      <c r="E145" s="602"/>
      <c r="F145" s="602"/>
      <c r="G145" s="602"/>
      <c r="H145" s="602"/>
      <c r="I145" s="602"/>
      <c r="J145" s="602"/>
      <c r="K145" s="602"/>
    </row>
    <row r="146" spans="1:11">
      <c r="A146" s="602"/>
      <c r="B146" s="602"/>
      <c r="C146" s="602"/>
      <c r="D146" s="602"/>
      <c r="E146" s="602"/>
      <c r="F146" s="602"/>
      <c r="G146" s="602"/>
      <c r="H146" s="602"/>
      <c r="I146" s="602"/>
      <c r="J146" s="602"/>
      <c r="K146" s="602"/>
    </row>
    <row r="147" spans="1:11">
      <c r="A147" s="602"/>
      <c r="B147" s="602"/>
      <c r="C147" s="602"/>
      <c r="D147" s="602"/>
      <c r="E147" s="602"/>
      <c r="F147" s="602"/>
      <c r="G147" s="602"/>
      <c r="H147" s="602"/>
      <c r="I147" s="602"/>
      <c r="J147" s="602"/>
      <c r="K147" s="602"/>
    </row>
    <row r="148" spans="1:11">
      <c r="A148" s="602"/>
      <c r="B148" s="602"/>
      <c r="C148" s="602"/>
      <c r="D148" s="602"/>
      <c r="E148" s="602"/>
      <c r="F148" s="602"/>
      <c r="G148" s="602"/>
      <c r="H148" s="602"/>
      <c r="I148" s="602"/>
      <c r="J148" s="602"/>
      <c r="K148" s="602"/>
    </row>
    <row r="149" spans="1:11">
      <c r="A149" s="602"/>
      <c r="B149" s="602"/>
      <c r="C149" s="602"/>
      <c r="D149" s="602"/>
      <c r="E149" s="602"/>
      <c r="F149" s="602"/>
      <c r="G149" s="602"/>
      <c r="H149" s="602"/>
      <c r="I149" s="602"/>
      <c r="J149" s="602"/>
      <c r="K149" s="602"/>
    </row>
    <row r="150" spans="1:11">
      <c r="A150" s="602"/>
      <c r="B150" s="602"/>
      <c r="C150" s="602"/>
      <c r="D150" s="602"/>
      <c r="E150" s="602"/>
      <c r="F150" s="602"/>
      <c r="G150" s="602"/>
      <c r="H150" s="602"/>
      <c r="I150" s="602"/>
      <c r="J150" s="602"/>
      <c r="K150" s="602"/>
    </row>
    <row r="151" spans="1:11">
      <c r="A151" s="602"/>
      <c r="B151" s="602"/>
      <c r="C151" s="602"/>
      <c r="D151" s="602"/>
      <c r="E151" s="602"/>
      <c r="F151" s="602"/>
      <c r="G151" s="602"/>
      <c r="H151" s="602"/>
      <c r="I151" s="602"/>
      <c r="J151" s="602"/>
      <c r="K151" s="602"/>
    </row>
    <row r="152" spans="1:11">
      <c r="A152" s="602"/>
      <c r="B152" s="602"/>
      <c r="C152" s="602"/>
      <c r="D152" s="602"/>
      <c r="E152" s="602"/>
      <c r="F152" s="602"/>
      <c r="G152" s="602"/>
      <c r="H152" s="602"/>
      <c r="I152" s="602"/>
      <c r="J152" s="602"/>
      <c r="K152" s="602"/>
    </row>
    <row r="153" spans="1:11">
      <c r="A153" s="602"/>
      <c r="B153" s="602"/>
      <c r="C153" s="602"/>
      <c r="D153" s="602"/>
      <c r="E153" s="602"/>
      <c r="F153" s="602"/>
      <c r="G153" s="602"/>
      <c r="H153" s="602"/>
      <c r="I153" s="602"/>
      <c r="J153" s="602"/>
      <c r="K153" s="602"/>
    </row>
    <row r="154" spans="1:11">
      <c r="A154" s="602"/>
      <c r="B154" s="602"/>
      <c r="C154" s="602"/>
      <c r="D154" s="602"/>
      <c r="E154" s="602"/>
      <c r="F154" s="602"/>
      <c r="G154" s="602"/>
      <c r="H154" s="602"/>
      <c r="I154" s="602"/>
      <c r="J154" s="602"/>
      <c r="K154" s="602"/>
    </row>
    <row r="155" spans="1:11">
      <c r="A155" s="602"/>
      <c r="B155" s="602"/>
      <c r="C155" s="602"/>
      <c r="D155" s="602"/>
      <c r="E155" s="602"/>
      <c r="F155" s="602"/>
      <c r="G155" s="602"/>
      <c r="H155" s="602"/>
      <c r="I155" s="602"/>
      <c r="J155" s="602"/>
      <c r="K155" s="602"/>
    </row>
    <row r="156" spans="1:11">
      <c r="A156" s="602"/>
      <c r="B156" s="602"/>
      <c r="C156" s="602"/>
      <c r="D156" s="602"/>
      <c r="E156" s="602"/>
      <c r="F156" s="602"/>
      <c r="G156" s="602"/>
      <c r="H156" s="602"/>
      <c r="I156" s="602"/>
      <c r="J156" s="602"/>
      <c r="K156" s="602"/>
    </row>
    <row r="157" spans="1:11">
      <c r="A157" s="602"/>
      <c r="B157" s="602"/>
      <c r="C157" s="602"/>
      <c r="D157" s="602"/>
      <c r="E157" s="602"/>
      <c r="F157" s="602"/>
      <c r="G157" s="602"/>
      <c r="H157" s="602"/>
      <c r="I157" s="602"/>
      <c r="J157" s="602"/>
      <c r="K157" s="602"/>
    </row>
    <row r="158" spans="1:11">
      <c r="A158" s="602"/>
      <c r="B158" s="602"/>
      <c r="C158" s="602"/>
      <c r="D158" s="602"/>
      <c r="E158" s="602"/>
      <c r="F158" s="602"/>
      <c r="G158" s="602"/>
      <c r="H158" s="602"/>
      <c r="I158" s="602"/>
      <c r="J158" s="602"/>
      <c r="K158" s="602"/>
    </row>
    <row r="159" spans="1:11">
      <c r="A159" s="602"/>
      <c r="B159" s="602"/>
      <c r="C159" s="602"/>
      <c r="D159" s="602"/>
      <c r="E159" s="602"/>
      <c r="F159" s="602"/>
      <c r="G159" s="602"/>
      <c r="H159" s="602"/>
      <c r="I159" s="602"/>
      <c r="J159" s="602"/>
      <c r="K159" s="602"/>
    </row>
    <row r="160" spans="1:11">
      <c r="A160" s="602"/>
      <c r="B160" s="602"/>
      <c r="C160" s="602"/>
      <c r="D160" s="602"/>
      <c r="E160" s="602"/>
      <c r="F160" s="602"/>
      <c r="G160" s="602"/>
      <c r="H160" s="602"/>
      <c r="I160" s="602"/>
      <c r="J160" s="602"/>
      <c r="K160" s="602"/>
    </row>
    <row r="161" spans="1:11">
      <c r="A161" s="602"/>
      <c r="B161" s="602"/>
      <c r="C161" s="602"/>
      <c r="D161" s="602"/>
      <c r="E161" s="602"/>
      <c r="F161" s="602"/>
      <c r="G161" s="602"/>
      <c r="H161" s="602"/>
      <c r="I161" s="602"/>
      <c r="J161" s="602"/>
      <c r="K161" s="602"/>
    </row>
    <row r="162" spans="1:11">
      <c r="A162" s="602"/>
      <c r="B162" s="602"/>
      <c r="C162" s="602"/>
      <c r="D162" s="602"/>
      <c r="E162" s="602"/>
      <c r="F162" s="602"/>
      <c r="G162" s="602"/>
      <c r="H162" s="602"/>
      <c r="I162" s="602"/>
      <c r="J162" s="602"/>
      <c r="K162" s="602"/>
    </row>
    <row r="163" spans="1:11">
      <c r="A163" s="602"/>
      <c r="B163" s="602"/>
      <c r="C163" s="602"/>
      <c r="D163" s="602"/>
      <c r="E163" s="602"/>
      <c r="F163" s="602"/>
      <c r="G163" s="602"/>
      <c r="H163" s="602"/>
      <c r="I163" s="602"/>
      <c r="J163" s="602"/>
      <c r="K163" s="602"/>
    </row>
    <row r="164" spans="1:11">
      <c r="A164" s="602"/>
      <c r="B164" s="602"/>
      <c r="C164" s="602"/>
      <c r="D164" s="602"/>
      <c r="E164" s="602"/>
      <c r="F164" s="602"/>
      <c r="G164" s="602"/>
      <c r="H164" s="602"/>
      <c r="I164" s="602"/>
      <c r="J164" s="602"/>
      <c r="K164" s="602"/>
    </row>
    <row r="165" spans="1:11">
      <c r="A165" s="602"/>
      <c r="B165" s="602"/>
      <c r="C165" s="602"/>
      <c r="D165" s="602"/>
      <c r="E165" s="602"/>
      <c r="F165" s="602"/>
      <c r="G165" s="602"/>
      <c r="H165" s="602"/>
      <c r="I165" s="602"/>
      <c r="J165" s="602"/>
      <c r="K165" s="602"/>
    </row>
    <row r="166" spans="1:11">
      <c r="A166" s="602"/>
      <c r="B166" s="602"/>
      <c r="C166" s="602"/>
      <c r="D166" s="602"/>
      <c r="E166" s="602"/>
      <c r="F166" s="602"/>
      <c r="G166" s="602"/>
      <c r="H166" s="602"/>
      <c r="I166" s="602"/>
      <c r="J166" s="602"/>
      <c r="K166" s="602"/>
    </row>
    <row r="167" spans="1:11">
      <c r="A167" s="602"/>
      <c r="B167" s="602"/>
      <c r="C167" s="602"/>
      <c r="D167" s="602"/>
      <c r="E167" s="602"/>
      <c r="F167" s="602"/>
      <c r="G167" s="602"/>
      <c r="H167" s="602"/>
      <c r="I167" s="602"/>
      <c r="J167" s="602"/>
      <c r="K167" s="602"/>
    </row>
    <row r="168" spans="1:11">
      <c r="A168" s="602"/>
      <c r="B168" s="602"/>
      <c r="C168" s="602"/>
      <c r="D168" s="602"/>
      <c r="E168" s="602"/>
      <c r="F168" s="602"/>
      <c r="G168" s="602"/>
      <c r="H168" s="602"/>
      <c r="I168" s="602"/>
      <c r="J168" s="602"/>
      <c r="K168" s="602"/>
    </row>
    <row r="169" spans="1:11">
      <c r="A169" s="602"/>
      <c r="B169" s="602"/>
      <c r="C169" s="602"/>
      <c r="D169" s="602"/>
      <c r="E169" s="602"/>
      <c r="F169" s="602"/>
      <c r="G169" s="602"/>
      <c r="H169" s="602"/>
      <c r="I169" s="602"/>
      <c r="J169" s="602"/>
      <c r="K169" s="602"/>
    </row>
    <row r="170" spans="1:11">
      <c r="A170" s="602"/>
      <c r="B170" s="602"/>
      <c r="C170" s="602"/>
      <c r="D170" s="602"/>
      <c r="E170" s="602"/>
      <c r="F170" s="602"/>
      <c r="G170" s="602"/>
      <c r="H170" s="602"/>
      <c r="I170" s="602"/>
      <c r="J170" s="602"/>
      <c r="K170" s="602"/>
    </row>
    <row r="171" spans="1:11">
      <c r="A171" s="602"/>
      <c r="B171" s="602"/>
      <c r="C171" s="602"/>
      <c r="D171" s="602"/>
      <c r="E171" s="602"/>
      <c r="F171" s="602"/>
      <c r="G171" s="602"/>
      <c r="H171" s="602"/>
      <c r="I171" s="602"/>
      <c r="J171" s="602"/>
      <c r="K171" s="602"/>
    </row>
    <row r="172" spans="1:11">
      <c r="A172" s="602"/>
      <c r="B172" s="602"/>
      <c r="C172" s="602"/>
      <c r="D172" s="602"/>
      <c r="E172" s="602"/>
      <c r="F172" s="602"/>
      <c r="G172" s="602"/>
      <c r="H172" s="602"/>
      <c r="I172" s="602"/>
      <c r="J172" s="602"/>
      <c r="K172" s="602"/>
    </row>
    <row r="173" spans="1:11">
      <c r="A173" s="602"/>
      <c r="B173" s="602"/>
      <c r="C173" s="602"/>
      <c r="D173" s="602"/>
      <c r="E173" s="602"/>
      <c r="F173" s="602"/>
      <c r="G173" s="602"/>
      <c r="H173" s="602"/>
      <c r="I173" s="602"/>
      <c r="J173" s="602"/>
      <c r="K173" s="602"/>
    </row>
    <row r="174" spans="1:11">
      <c r="A174" s="602"/>
      <c r="B174" s="602"/>
      <c r="C174" s="602"/>
      <c r="D174" s="602"/>
      <c r="E174" s="602"/>
      <c r="F174" s="602"/>
      <c r="G174" s="602"/>
      <c r="H174" s="602"/>
      <c r="I174" s="602"/>
      <c r="J174" s="602"/>
      <c r="K174" s="602"/>
    </row>
    <row r="175" spans="1:11">
      <c r="A175" s="602"/>
      <c r="B175" s="602"/>
      <c r="C175" s="602"/>
      <c r="D175" s="602"/>
      <c r="E175" s="602"/>
      <c r="F175" s="602"/>
      <c r="G175" s="602"/>
      <c r="H175" s="602"/>
      <c r="I175" s="602"/>
      <c r="J175" s="602"/>
      <c r="K175" s="602"/>
    </row>
    <row r="176" spans="1:11">
      <c r="A176" s="602"/>
      <c r="B176" s="602"/>
      <c r="C176" s="602"/>
      <c r="D176" s="602"/>
      <c r="E176" s="602"/>
      <c r="F176" s="602"/>
      <c r="G176" s="602"/>
      <c r="H176" s="602"/>
      <c r="I176" s="602"/>
      <c r="J176" s="602"/>
      <c r="K176" s="602"/>
    </row>
    <row r="177" spans="1:11">
      <c r="A177" s="602"/>
      <c r="B177" s="602"/>
      <c r="C177" s="602"/>
      <c r="D177" s="602"/>
      <c r="E177" s="602"/>
      <c r="F177" s="602"/>
      <c r="G177" s="602"/>
      <c r="H177" s="602"/>
      <c r="I177" s="602"/>
      <c r="J177" s="602"/>
      <c r="K177" s="602"/>
    </row>
    <row r="178" spans="1:11">
      <c r="A178" s="602"/>
      <c r="B178" s="602"/>
      <c r="C178" s="602"/>
      <c r="D178" s="602"/>
      <c r="E178" s="602"/>
      <c r="F178" s="602"/>
      <c r="G178" s="602"/>
      <c r="H178" s="602"/>
      <c r="I178" s="602"/>
      <c r="J178" s="602"/>
      <c r="K178" s="602"/>
    </row>
    <row r="179" spans="1:11">
      <c r="A179" s="602"/>
      <c r="B179" s="602"/>
      <c r="C179" s="602"/>
      <c r="D179" s="602"/>
      <c r="E179" s="602"/>
      <c r="F179" s="602"/>
      <c r="G179" s="602"/>
      <c r="H179" s="602"/>
      <c r="I179" s="602"/>
      <c r="J179" s="602"/>
      <c r="K179" s="602"/>
    </row>
    <row r="180" spans="1:11">
      <c r="A180" s="602"/>
      <c r="B180" s="602"/>
      <c r="C180" s="602"/>
      <c r="D180" s="602"/>
      <c r="E180" s="602"/>
      <c r="F180" s="602"/>
      <c r="G180" s="602"/>
      <c r="H180" s="602"/>
      <c r="I180" s="602"/>
      <c r="J180" s="602"/>
      <c r="K180" s="602"/>
    </row>
    <row r="181" spans="1:11">
      <c r="A181" s="602"/>
      <c r="B181" s="602"/>
      <c r="C181" s="602"/>
      <c r="D181" s="602"/>
      <c r="E181" s="602"/>
      <c r="F181" s="602"/>
      <c r="G181" s="602"/>
      <c r="H181" s="602"/>
      <c r="I181" s="602"/>
      <c r="J181" s="602"/>
      <c r="K181" s="602"/>
    </row>
    <row r="182" spans="1:11">
      <c r="A182" s="602"/>
      <c r="B182" s="602"/>
      <c r="C182" s="602"/>
      <c r="D182" s="602"/>
      <c r="E182" s="602"/>
      <c r="F182" s="602"/>
      <c r="G182" s="602"/>
      <c r="H182" s="602"/>
      <c r="I182" s="602"/>
      <c r="J182" s="602"/>
      <c r="K182" s="602"/>
    </row>
    <row r="183" spans="1:11">
      <c r="A183" s="602"/>
      <c r="B183" s="602"/>
      <c r="C183" s="602"/>
      <c r="D183" s="602"/>
      <c r="E183" s="602"/>
      <c r="F183" s="602"/>
      <c r="G183" s="602"/>
      <c r="H183" s="602"/>
      <c r="I183" s="602"/>
      <c r="J183" s="602"/>
      <c r="K183" s="602"/>
    </row>
    <row r="184" spans="1:11">
      <c r="A184" s="602"/>
      <c r="B184" s="602"/>
      <c r="C184" s="602"/>
      <c r="D184" s="602"/>
      <c r="E184" s="602"/>
      <c r="F184" s="602"/>
      <c r="G184" s="602"/>
      <c r="H184" s="602"/>
      <c r="I184" s="602"/>
      <c r="J184" s="602"/>
      <c r="K184" s="602"/>
    </row>
    <row r="185" spans="1:11">
      <c r="A185" s="602"/>
      <c r="B185" s="602"/>
      <c r="C185" s="602"/>
      <c r="D185" s="602"/>
      <c r="E185" s="602"/>
      <c r="F185" s="602"/>
      <c r="G185" s="602"/>
      <c r="H185" s="602"/>
      <c r="I185" s="602"/>
      <c r="J185" s="602"/>
      <c r="K185" s="602"/>
    </row>
    <row r="186" spans="1:11">
      <c r="A186" s="602"/>
      <c r="B186" s="602"/>
      <c r="C186" s="602"/>
      <c r="D186" s="602"/>
      <c r="E186" s="602"/>
      <c r="F186" s="602"/>
      <c r="G186" s="602"/>
      <c r="H186" s="602"/>
      <c r="I186" s="602"/>
      <c r="J186" s="602"/>
      <c r="K186" s="602"/>
    </row>
    <row r="187" spans="1:11">
      <c r="A187" s="602"/>
      <c r="B187" s="602"/>
      <c r="C187" s="602"/>
      <c r="D187" s="602"/>
      <c r="E187" s="602"/>
      <c r="F187" s="602"/>
      <c r="G187" s="602"/>
      <c r="H187" s="602"/>
      <c r="I187" s="602"/>
      <c r="J187" s="602"/>
      <c r="K187" s="602"/>
    </row>
    <row r="188" spans="1:11">
      <c r="A188" s="602"/>
      <c r="B188" s="602"/>
      <c r="C188" s="602"/>
      <c r="D188" s="602"/>
      <c r="E188" s="602"/>
      <c r="F188" s="602"/>
      <c r="G188" s="602"/>
      <c r="H188" s="602"/>
      <c r="I188" s="602"/>
      <c r="J188" s="602"/>
      <c r="K188" s="602"/>
    </row>
    <row r="189" spans="1:11">
      <c r="A189" s="602"/>
      <c r="B189" s="602"/>
      <c r="C189" s="602"/>
      <c r="D189" s="602"/>
      <c r="E189" s="602"/>
      <c r="F189" s="602"/>
      <c r="G189" s="602"/>
      <c r="H189" s="602"/>
      <c r="I189" s="602"/>
      <c r="J189" s="602"/>
      <c r="K189" s="602"/>
    </row>
    <row r="190" spans="1:11">
      <c r="A190" s="602"/>
      <c r="B190" s="602"/>
      <c r="C190" s="602"/>
      <c r="D190" s="602"/>
      <c r="E190" s="602"/>
      <c r="F190" s="602"/>
      <c r="G190" s="602"/>
      <c r="H190" s="602"/>
      <c r="I190" s="602"/>
      <c r="J190" s="602"/>
      <c r="K190" s="602"/>
    </row>
    <row r="191" spans="1:11">
      <c r="A191" s="602"/>
      <c r="B191" s="602"/>
      <c r="C191" s="602"/>
      <c r="D191" s="602"/>
      <c r="E191" s="602"/>
      <c r="F191" s="602"/>
      <c r="G191" s="602"/>
      <c r="H191" s="602"/>
      <c r="I191" s="602"/>
      <c r="J191" s="602"/>
      <c r="K191" s="602"/>
    </row>
    <row r="192" spans="1:11">
      <c r="A192" s="602"/>
      <c r="B192" s="602"/>
      <c r="C192" s="602"/>
      <c r="D192" s="602"/>
      <c r="E192" s="602"/>
      <c r="F192" s="602"/>
      <c r="G192" s="602"/>
      <c r="H192" s="602"/>
      <c r="I192" s="602"/>
      <c r="J192" s="602"/>
      <c r="K192" s="602"/>
    </row>
    <row r="193" spans="1:11">
      <c r="A193" s="602"/>
      <c r="B193" s="602"/>
      <c r="C193" s="602"/>
      <c r="D193" s="602"/>
      <c r="E193" s="602"/>
      <c r="F193" s="602"/>
      <c r="G193" s="602"/>
      <c r="H193" s="602"/>
      <c r="I193" s="602"/>
      <c r="J193" s="602"/>
      <c r="K193" s="602"/>
    </row>
    <row r="194" spans="1:11">
      <c r="A194" s="602"/>
      <c r="B194" s="602"/>
      <c r="C194" s="602"/>
      <c r="D194" s="602"/>
      <c r="E194" s="602"/>
      <c r="F194" s="602"/>
      <c r="G194" s="602"/>
      <c r="H194" s="602"/>
      <c r="I194" s="602"/>
      <c r="J194" s="602"/>
      <c r="K194" s="602"/>
    </row>
    <row r="195" spans="1:11">
      <c r="A195" s="602"/>
      <c r="B195" s="602"/>
      <c r="C195" s="602"/>
      <c r="D195" s="602"/>
      <c r="E195" s="602"/>
      <c r="F195" s="602"/>
      <c r="G195" s="602"/>
      <c r="H195" s="602"/>
      <c r="I195" s="602"/>
      <c r="J195" s="602"/>
      <c r="K195" s="602"/>
    </row>
    <row r="196" spans="1:11">
      <c r="A196" s="602"/>
      <c r="B196" s="602"/>
      <c r="C196" s="602"/>
      <c r="D196" s="602"/>
      <c r="E196" s="602"/>
      <c r="F196" s="602"/>
      <c r="G196" s="602"/>
      <c r="H196" s="602"/>
      <c r="I196" s="602"/>
      <c r="J196" s="602"/>
      <c r="K196" s="602"/>
    </row>
    <row r="197" spans="1:11">
      <c r="A197" s="602"/>
      <c r="B197" s="602"/>
      <c r="C197" s="602"/>
      <c r="D197" s="602"/>
      <c r="E197" s="602"/>
      <c r="F197" s="602"/>
      <c r="G197" s="602"/>
      <c r="H197" s="602"/>
      <c r="I197" s="602"/>
      <c r="J197" s="602"/>
      <c r="K197" s="602"/>
    </row>
    <row r="198" spans="1:11">
      <c r="A198" s="602"/>
      <c r="B198" s="602"/>
      <c r="C198" s="602"/>
      <c r="D198" s="602"/>
      <c r="E198" s="602"/>
      <c r="F198" s="602"/>
      <c r="G198" s="602"/>
      <c r="H198" s="602"/>
      <c r="I198" s="602"/>
      <c r="J198" s="602"/>
      <c r="K198" s="602"/>
    </row>
    <row r="199" spans="1:11">
      <c r="A199" s="602"/>
      <c r="B199" s="602"/>
      <c r="C199" s="602"/>
      <c r="D199" s="602"/>
      <c r="E199" s="602"/>
      <c r="F199" s="602"/>
      <c r="G199" s="602"/>
      <c r="H199" s="602"/>
      <c r="I199" s="602"/>
      <c r="J199" s="602"/>
      <c r="K199" s="602"/>
    </row>
    <row r="200" spans="1:11">
      <c r="A200" s="602"/>
      <c r="B200" s="602"/>
      <c r="C200" s="602"/>
      <c r="D200" s="602"/>
      <c r="E200" s="602"/>
      <c r="F200" s="602"/>
      <c r="G200" s="602"/>
      <c r="H200" s="602"/>
      <c r="I200" s="602"/>
      <c r="J200" s="602"/>
      <c r="K200" s="602"/>
    </row>
    <row r="201" spans="1:11">
      <c r="A201" s="602"/>
      <c r="B201" s="602"/>
      <c r="C201" s="602"/>
      <c r="D201" s="602"/>
      <c r="E201" s="602"/>
      <c r="F201" s="602"/>
      <c r="G201" s="602"/>
      <c r="H201" s="602"/>
      <c r="I201" s="602"/>
      <c r="J201" s="602"/>
      <c r="K201" s="602"/>
    </row>
    <row r="202" spans="1:11">
      <c r="A202" s="602"/>
      <c r="B202" s="602"/>
      <c r="C202" s="602"/>
      <c r="D202" s="602"/>
      <c r="E202" s="602"/>
      <c r="F202" s="602"/>
      <c r="G202" s="602"/>
      <c r="H202" s="602"/>
      <c r="I202" s="602"/>
      <c r="J202" s="602"/>
      <c r="K202" s="602"/>
    </row>
    <row r="203" spans="1:11">
      <c r="A203" s="602"/>
      <c r="B203" s="602"/>
      <c r="C203" s="602"/>
      <c r="D203" s="602"/>
      <c r="E203" s="602"/>
      <c r="F203" s="602"/>
      <c r="G203" s="602"/>
      <c r="H203" s="602"/>
      <c r="I203" s="602"/>
      <c r="J203" s="602"/>
      <c r="K203" s="602"/>
    </row>
    <row r="204" spans="1:11">
      <c r="A204" s="602"/>
      <c r="B204" s="602"/>
      <c r="C204" s="602"/>
      <c r="D204" s="602"/>
      <c r="E204" s="602"/>
      <c r="F204" s="602"/>
      <c r="G204" s="602"/>
      <c r="H204" s="602"/>
      <c r="I204" s="602"/>
      <c r="J204" s="602"/>
      <c r="K204" s="602"/>
    </row>
    <row r="205" spans="1:11">
      <c r="A205" s="602"/>
      <c r="B205" s="602"/>
      <c r="C205" s="602"/>
      <c r="D205" s="602"/>
      <c r="E205" s="602"/>
      <c r="F205" s="602"/>
      <c r="G205" s="602"/>
      <c r="H205" s="602"/>
      <c r="I205" s="602"/>
      <c r="J205" s="602"/>
      <c r="K205" s="602"/>
    </row>
    <row r="206" spans="1:11">
      <c r="A206" s="602"/>
      <c r="B206" s="602"/>
      <c r="C206" s="602"/>
      <c r="D206" s="602"/>
      <c r="E206" s="602"/>
      <c r="F206" s="602"/>
      <c r="G206" s="602"/>
      <c r="H206" s="602"/>
      <c r="I206" s="602"/>
      <c r="J206" s="602"/>
      <c r="K206" s="602"/>
    </row>
    <row r="207" spans="1:11">
      <c r="A207" s="602"/>
      <c r="B207" s="602"/>
      <c r="C207" s="602"/>
      <c r="D207" s="602"/>
      <c r="E207" s="602"/>
      <c r="F207" s="602"/>
      <c r="G207" s="602"/>
      <c r="H207" s="602"/>
      <c r="I207" s="602"/>
      <c r="J207" s="602"/>
      <c r="K207" s="602"/>
    </row>
    <row r="208" spans="1:11">
      <c r="A208" s="602"/>
      <c r="B208" s="602"/>
      <c r="C208" s="602"/>
      <c r="D208" s="602"/>
      <c r="E208" s="602"/>
      <c r="F208" s="602"/>
      <c r="G208" s="602"/>
      <c r="H208" s="602"/>
      <c r="I208" s="602"/>
      <c r="J208" s="602"/>
      <c r="K208" s="602"/>
    </row>
    <row r="209" spans="1:11">
      <c r="A209" s="602"/>
      <c r="B209" s="602"/>
      <c r="C209" s="602"/>
      <c r="D209" s="602"/>
      <c r="E209" s="602"/>
      <c r="F209" s="602"/>
      <c r="G209" s="602"/>
      <c r="H209" s="602"/>
      <c r="I209" s="602"/>
      <c r="J209" s="602"/>
      <c r="K209" s="602"/>
    </row>
    <row r="210" spans="1:11">
      <c r="A210" s="602"/>
      <c r="B210" s="602"/>
      <c r="C210" s="602"/>
      <c r="D210" s="602"/>
      <c r="E210" s="602"/>
      <c r="F210" s="602"/>
      <c r="G210" s="602"/>
      <c r="H210" s="602"/>
      <c r="I210" s="602"/>
      <c r="J210" s="602"/>
      <c r="K210" s="602"/>
    </row>
    <row r="211" spans="1:11">
      <c r="A211" s="602"/>
      <c r="B211" s="602"/>
      <c r="C211" s="602"/>
      <c r="D211" s="602"/>
      <c r="E211" s="602"/>
      <c r="F211" s="602"/>
      <c r="G211" s="602"/>
      <c r="H211" s="602"/>
      <c r="I211" s="602"/>
      <c r="J211" s="602"/>
      <c r="K211" s="602"/>
    </row>
    <row r="212" spans="1:11">
      <c r="A212" s="602"/>
      <c r="B212" s="602"/>
      <c r="C212" s="602"/>
      <c r="D212" s="602"/>
      <c r="E212" s="602"/>
      <c r="F212" s="602"/>
      <c r="G212" s="602"/>
      <c r="H212" s="602"/>
      <c r="I212" s="602"/>
      <c r="J212" s="602"/>
      <c r="K212" s="602"/>
    </row>
    <row r="213" spans="1:11">
      <c r="A213" s="602"/>
      <c r="B213" s="602"/>
      <c r="C213" s="602"/>
      <c r="D213" s="602"/>
      <c r="E213" s="602"/>
      <c r="F213" s="602"/>
      <c r="G213" s="602"/>
      <c r="H213" s="602"/>
      <c r="I213" s="602"/>
      <c r="J213" s="602"/>
      <c r="K213" s="602"/>
    </row>
    <row r="214" spans="1:11">
      <c r="A214" s="602"/>
      <c r="B214" s="602"/>
      <c r="C214" s="602"/>
      <c r="D214" s="602"/>
      <c r="E214" s="602"/>
      <c r="F214" s="602"/>
      <c r="G214" s="602"/>
      <c r="H214" s="602"/>
      <c r="I214" s="602"/>
      <c r="J214" s="602"/>
      <c r="K214" s="602"/>
    </row>
    <row r="215" spans="1:11">
      <c r="A215" s="602"/>
      <c r="B215" s="602"/>
      <c r="C215" s="602"/>
      <c r="D215" s="602"/>
      <c r="E215" s="602"/>
      <c r="F215" s="602"/>
      <c r="G215" s="602"/>
      <c r="H215" s="602"/>
      <c r="I215" s="602"/>
      <c r="J215" s="602"/>
      <c r="K215" s="602"/>
    </row>
    <row r="216" spans="1:11">
      <c r="A216" s="602"/>
      <c r="B216" s="602"/>
      <c r="C216" s="602"/>
      <c r="D216" s="602"/>
      <c r="E216" s="602"/>
      <c r="F216" s="602"/>
      <c r="G216" s="602"/>
      <c r="H216" s="602"/>
      <c r="I216" s="602"/>
      <c r="J216" s="602"/>
      <c r="K216" s="602"/>
    </row>
    <row r="217" spans="1:11">
      <c r="A217" s="602"/>
      <c r="B217" s="602"/>
      <c r="C217" s="602"/>
      <c r="D217" s="602"/>
      <c r="E217" s="602"/>
      <c r="F217" s="602"/>
      <c r="G217" s="602"/>
      <c r="H217" s="602"/>
      <c r="I217" s="602"/>
      <c r="J217" s="602"/>
      <c r="K217" s="602"/>
    </row>
    <row r="218" spans="1:11">
      <c r="A218" s="602"/>
      <c r="B218" s="602"/>
      <c r="C218" s="602"/>
      <c r="D218" s="602"/>
      <c r="E218" s="602"/>
      <c r="F218" s="602"/>
      <c r="G218" s="602"/>
      <c r="H218" s="602"/>
      <c r="I218" s="602"/>
      <c r="J218" s="602"/>
      <c r="K218" s="602"/>
    </row>
    <row r="219" spans="1:11">
      <c r="A219" s="602"/>
      <c r="B219" s="602"/>
      <c r="C219" s="602"/>
      <c r="D219" s="602"/>
      <c r="E219" s="602"/>
      <c r="F219" s="602"/>
      <c r="G219" s="602"/>
      <c r="H219" s="602"/>
      <c r="I219" s="602"/>
      <c r="J219" s="602"/>
      <c r="K219" s="602"/>
    </row>
    <row r="220" spans="1:11">
      <c r="A220" s="602"/>
      <c r="B220" s="602"/>
      <c r="C220" s="602"/>
      <c r="D220" s="602"/>
      <c r="E220" s="602"/>
      <c r="F220" s="602"/>
      <c r="G220" s="602"/>
      <c r="H220" s="602"/>
      <c r="I220" s="602"/>
      <c r="J220" s="602"/>
      <c r="K220" s="602"/>
    </row>
    <row r="221" spans="1:11">
      <c r="A221" s="602"/>
      <c r="B221" s="602"/>
      <c r="C221" s="602"/>
      <c r="D221" s="602"/>
      <c r="E221" s="602"/>
      <c r="F221" s="602"/>
      <c r="G221" s="602"/>
      <c r="H221" s="602"/>
      <c r="I221" s="602"/>
      <c r="J221" s="602"/>
      <c r="K221" s="602"/>
    </row>
    <row r="222" spans="1:11">
      <c r="A222" s="602"/>
      <c r="B222" s="602"/>
      <c r="C222" s="602"/>
      <c r="D222" s="602"/>
      <c r="E222" s="602"/>
      <c r="F222" s="602"/>
      <c r="G222" s="602"/>
      <c r="H222" s="602"/>
      <c r="I222" s="602"/>
      <c r="J222" s="602"/>
      <c r="K222" s="602"/>
    </row>
    <row r="223" spans="1:11">
      <c r="A223" s="602"/>
      <c r="B223" s="602"/>
      <c r="C223" s="602"/>
      <c r="D223" s="602"/>
      <c r="E223" s="602"/>
      <c r="F223" s="602"/>
      <c r="G223" s="602"/>
      <c r="H223" s="602"/>
      <c r="I223" s="602"/>
      <c r="J223" s="602"/>
      <c r="K223" s="602"/>
    </row>
    <row r="224" spans="1:11">
      <c r="A224" s="602"/>
      <c r="B224" s="602"/>
      <c r="C224" s="602"/>
      <c r="D224" s="602"/>
      <c r="E224" s="602"/>
      <c r="F224" s="602"/>
      <c r="G224" s="602"/>
      <c r="H224" s="602"/>
      <c r="I224" s="602"/>
      <c r="J224" s="602"/>
      <c r="K224" s="602"/>
    </row>
    <row r="225" spans="1:11">
      <c r="A225" s="602"/>
      <c r="B225" s="602"/>
      <c r="C225" s="602"/>
      <c r="D225" s="602"/>
      <c r="E225" s="602"/>
      <c r="F225" s="602"/>
      <c r="G225" s="602"/>
      <c r="H225" s="602"/>
      <c r="I225" s="602"/>
      <c r="J225" s="602"/>
      <c r="K225" s="602"/>
    </row>
    <row r="226" spans="1:11">
      <c r="A226" s="602"/>
      <c r="B226" s="602"/>
      <c r="C226" s="602"/>
      <c r="D226" s="602"/>
      <c r="E226" s="602"/>
      <c r="F226" s="602"/>
      <c r="G226" s="602"/>
      <c r="H226" s="602"/>
      <c r="I226" s="602"/>
      <c r="J226" s="602"/>
      <c r="K226" s="602"/>
    </row>
    <row r="227" spans="1:11">
      <c r="A227" s="602"/>
      <c r="B227" s="602"/>
      <c r="C227" s="602"/>
      <c r="D227" s="602"/>
      <c r="E227" s="602"/>
      <c r="F227" s="602"/>
      <c r="G227" s="602"/>
      <c r="H227" s="602"/>
      <c r="I227" s="602"/>
      <c r="J227" s="602"/>
      <c r="K227" s="602"/>
    </row>
    <row r="228" spans="1:11">
      <c r="A228" s="602"/>
      <c r="B228" s="602"/>
      <c r="C228" s="602"/>
      <c r="D228" s="602"/>
      <c r="E228" s="602"/>
      <c r="F228" s="602"/>
      <c r="G228" s="602"/>
      <c r="H228" s="602"/>
      <c r="I228" s="602"/>
      <c r="J228" s="602"/>
      <c r="K228" s="602"/>
    </row>
    <row r="229" spans="1:11">
      <c r="A229" s="602"/>
      <c r="B229" s="602"/>
      <c r="C229" s="602"/>
      <c r="D229" s="602"/>
      <c r="E229" s="602"/>
      <c r="F229" s="602"/>
      <c r="G229" s="602"/>
      <c r="H229" s="602"/>
      <c r="I229" s="602"/>
      <c r="J229" s="602"/>
      <c r="K229" s="602"/>
    </row>
    <row r="230" spans="1:11">
      <c r="A230" s="602"/>
      <c r="B230" s="602"/>
      <c r="C230" s="602"/>
      <c r="D230" s="602"/>
      <c r="E230" s="602"/>
      <c r="F230" s="602"/>
      <c r="G230" s="602"/>
      <c r="H230" s="602"/>
      <c r="I230" s="602"/>
      <c r="J230" s="602"/>
      <c r="K230" s="602"/>
    </row>
    <row r="231" spans="1:11">
      <c r="A231" s="602"/>
      <c r="B231" s="602"/>
      <c r="C231" s="602"/>
      <c r="D231" s="602"/>
      <c r="E231" s="602"/>
      <c r="F231" s="602"/>
      <c r="G231" s="602"/>
      <c r="H231" s="602"/>
      <c r="I231" s="602"/>
      <c r="J231" s="602"/>
      <c r="K231" s="602"/>
    </row>
    <row r="232" spans="1:11">
      <c r="A232" s="602"/>
      <c r="B232" s="602"/>
      <c r="C232" s="602"/>
      <c r="D232" s="602"/>
      <c r="E232" s="602"/>
      <c r="F232" s="602"/>
      <c r="G232" s="602"/>
      <c r="H232" s="602"/>
      <c r="I232" s="602"/>
      <c r="J232" s="602"/>
      <c r="K232" s="602"/>
    </row>
    <row r="233" spans="1:11">
      <c r="A233" s="602"/>
      <c r="B233" s="602"/>
      <c r="C233" s="602"/>
      <c r="D233" s="602"/>
      <c r="E233" s="602"/>
      <c r="F233" s="602"/>
      <c r="G233" s="602"/>
      <c r="H233" s="602"/>
      <c r="I233" s="602"/>
      <c r="J233" s="602"/>
      <c r="K233" s="602"/>
    </row>
    <row r="234" spans="1:11">
      <c r="A234" s="602"/>
      <c r="B234" s="602"/>
      <c r="C234" s="602"/>
      <c r="D234" s="602"/>
      <c r="E234" s="602"/>
      <c r="F234" s="602"/>
      <c r="G234" s="602"/>
      <c r="H234" s="602"/>
      <c r="I234" s="602"/>
      <c r="J234" s="602"/>
      <c r="K234" s="602"/>
    </row>
    <row r="235" spans="1:11">
      <c r="A235" s="602"/>
      <c r="B235" s="602"/>
      <c r="C235" s="602"/>
      <c r="D235" s="602"/>
      <c r="E235" s="602"/>
      <c r="F235" s="602"/>
      <c r="G235" s="602"/>
      <c r="H235" s="602"/>
      <c r="I235" s="602"/>
      <c r="J235" s="602"/>
      <c r="K235" s="602"/>
    </row>
    <row r="236" spans="1:11">
      <c r="A236" s="602"/>
      <c r="B236" s="602"/>
      <c r="C236" s="602"/>
      <c r="D236" s="602"/>
      <c r="E236" s="602"/>
      <c r="F236" s="602"/>
      <c r="G236" s="602"/>
      <c r="H236" s="602"/>
      <c r="I236" s="602"/>
      <c r="J236" s="602"/>
      <c r="K236" s="602"/>
    </row>
    <row r="237" spans="1:11">
      <c r="A237" s="602"/>
      <c r="B237" s="602"/>
      <c r="C237" s="602"/>
      <c r="D237" s="602"/>
      <c r="E237" s="602"/>
      <c r="F237" s="602"/>
      <c r="G237" s="602"/>
      <c r="H237" s="602"/>
      <c r="I237" s="602"/>
      <c r="J237" s="602"/>
      <c r="K237" s="602"/>
    </row>
    <row r="238" spans="1:11">
      <c r="A238" s="602"/>
      <c r="B238" s="602"/>
      <c r="C238" s="602"/>
      <c r="D238" s="602"/>
      <c r="E238" s="602"/>
      <c r="F238" s="602"/>
      <c r="G238" s="602"/>
      <c r="H238" s="602"/>
      <c r="I238" s="602"/>
      <c r="J238" s="602"/>
      <c r="K238" s="602"/>
    </row>
    <row r="239" spans="1:11">
      <c r="A239" s="602"/>
      <c r="B239" s="602"/>
      <c r="C239" s="602"/>
      <c r="D239" s="602"/>
      <c r="E239" s="602"/>
      <c r="F239" s="602"/>
      <c r="G239" s="602"/>
      <c r="H239" s="602"/>
      <c r="I239" s="602"/>
      <c r="J239" s="602"/>
      <c r="K239" s="602"/>
    </row>
    <row r="240" spans="1:11">
      <c r="A240" s="602"/>
      <c r="B240" s="602"/>
      <c r="C240" s="602"/>
      <c r="D240" s="602"/>
      <c r="E240" s="602"/>
      <c r="F240" s="602"/>
      <c r="G240" s="602"/>
      <c r="H240" s="602"/>
      <c r="I240" s="602"/>
      <c r="J240" s="602"/>
      <c r="K240" s="602"/>
    </row>
    <row r="241" spans="1:11">
      <c r="A241" s="602"/>
      <c r="B241" s="602"/>
      <c r="C241" s="602"/>
      <c r="D241" s="602"/>
      <c r="E241" s="602"/>
      <c r="F241" s="602"/>
      <c r="G241" s="602"/>
      <c r="H241" s="602"/>
      <c r="I241" s="602"/>
      <c r="J241" s="602"/>
      <c r="K241" s="602"/>
    </row>
    <row r="242" spans="1:11">
      <c r="A242" s="602"/>
      <c r="B242" s="602"/>
      <c r="C242" s="602"/>
      <c r="D242" s="602"/>
      <c r="E242" s="602"/>
      <c r="F242" s="602"/>
      <c r="G242" s="602"/>
      <c r="H242" s="602"/>
      <c r="I242" s="602"/>
      <c r="J242" s="602"/>
      <c r="K242" s="602"/>
    </row>
    <row r="243" spans="1:11">
      <c r="A243" s="602"/>
      <c r="B243" s="602"/>
      <c r="C243" s="602"/>
      <c r="D243" s="602"/>
      <c r="E243" s="602"/>
      <c r="F243" s="602"/>
      <c r="G243" s="602"/>
      <c r="H243" s="602"/>
      <c r="I243" s="602"/>
      <c r="J243" s="602"/>
      <c r="K243" s="602"/>
    </row>
    <row r="244" spans="1:11">
      <c r="A244" s="602"/>
      <c r="B244" s="602"/>
      <c r="C244" s="602"/>
      <c r="D244" s="602"/>
      <c r="E244" s="602"/>
      <c r="F244" s="602"/>
      <c r="G244" s="602"/>
      <c r="H244" s="602"/>
      <c r="I244" s="602"/>
      <c r="J244" s="602"/>
      <c r="K244" s="602"/>
    </row>
    <row r="245" spans="1:11">
      <c r="A245" s="602"/>
      <c r="B245" s="602"/>
      <c r="C245" s="602"/>
      <c r="D245" s="602"/>
      <c r="E245" s="602"/>
      <c r="F245" s="602"/>
      <c r="G245" s="602"/>
      <c r="H245" s="602"/>
      <c r="I245" s="602"/>
      <c r="J245" s="602"/>
      <c r="K245" s="602"/>
    </row>
    <row r="246" spans="1:11">
      <c r="A246" s="602"/>
      <c r="B246" s="602"/>
      <c r="C246" s="602"/>
      <c r="D246" s="602"/>
      <c r="E246" s="602"/>
      <c r="F246" s="602"/>
      <c r="G246" s="602"/>
      <c r="H246" s="602"/>
      <c r="I246" s="602"/>
      <c r="J246" s="602"/>
      <c r="K246" s="602"/>
    </row>
    <row r="247" spans="1:11">
      <c r="A247" s="602"/>
      <c r="B247" s="602"/>
      <c r="C247" s="602"/>
      <c r="D247" s="602"/>
      <c r="E247" s="602"/>
      <c r="F247" s="602"/>
      <c r="G247" s="602"/>
      <c r="H247" s="602"/>
      <c r="I247" s="602"/>
      <c r="J247" s="602"/>
      <c r="K247" s="602"/>
    </row>
    <row r="248" spans="1:11">
      <c r="A248" s="602"/>
      <c r="B248" s="602"/>
      <c r="C248" s="602"/>
      <c r="D248" s="602"/>
      <c r="E248" s="602"/>
      <c r="F248" s="602"/>
      <c r="G248" s="602"/>
      <c r="H248" s="602"/>
      <c r="I248" s="602"/>
      <c r="J248" s="602"/>
      <c r="K248" s="602"/>
    </row>
    <row r="249" spans="1:11">
      <c r="A249" s="602"/>
      <c r="B249" s="602"/>
      <c r="C249" s="602"/>
      <c r="D249" s="602"/>
      <c r="E249" s="602"/>
      <c r="F249" s="602"/>
      <c r="G249" s="602"/>
      <c r="H249" s="602"/>
      <c r="I249" s="602"/>
      <c r="J249" s="602"/>
      <c r="K249" s="602"/>
    </row>
    <row r="250" spans="1:11">
      <c r="A250" s="602"/>
      <c r="B250" s="602"/>
      <c r="C250" s="602"/>
      <c r="D250" s="602"/>
      <c r="E250" s="602"/>
      <c r="F250" s="602"/>
      <c r="G250" s="602"/>
      <c r="H250" s="602"/>
      <c r="I250" s="602"/>
      <c r="J250" s="602"/>
      <c r="K250" s="602"/>
    </row>
    <row r="251" spans="1:11">
      <c r="A251" s="602"/>
      <c r="B251" s="602"/>
      <c r="C251" s="602"/>
      <c r="D251" s="602"/>
      <c r="E251" s="602"/>
      <c r="F251" s="602"/>
      <c r="G251" s="602"/>
      <c r="H251" s="602"/>
      <c r="I251" s="602"/>
      <c r="J251" s="602"/>
      <c r="K251" s="602"/>
    </row>
    <row r="252" spans="1:11">
      <c r="A252" s="602"/>
      <c r="B252" s="602"/>
      <c r="C252" s="602"/>
      <c r="D252" s="602"/>
      <c r="E252" s="602"/>
      <c r="F252" s="602"/>
      <c r="G252" s="602"/>
      <c r="H252" s="602"/>
      <c r="I252" s="602"/>
      <c r="J252" s="602"/>
      <c r="K252" s="602"/>
    </row>
    <row r="253" spans="1:11">
      <c r="A253" s="602"/>
      <c r="B253" s="602"/>
      <c r="C253" s="602"/>
      <c r="D253" s="602"/>
      <c r="E253" s="602"/>
      <c r="F253" s="602"/>
      <c r="G253" s="602"/>
      <c r="H253" s="602"/>
      <c r="I253" s="602"/>
      <c r="J253" s="602"/>
      <c r="K253" s="602"/>
    </row>
    <row r="254" spans="1:11">
      <c r="A254" s="602"/>
      <c r="B254" s="602"/>
      <c r="C254" s="602"/>
      <c r="D254" s="602"/>
      <c r="E254" s="602"/>
      <c r="F254" s="602"/>
      <c r="G254" s="602"/>
      <c r="H254" s="602"/>
      <c r="I254" s="602"/>
      <c r="J254" s="602"/>
      <c r="K254" s="602"/>
    </row>
    <row r="255" spans="1:11">
      <c r="A255" s="602"/>
      <c r="B255" s="602"/>
      <c r="C255" s="602"/>
      <c r="D255" s="602"/>
      <c r="E255" s="602"/>
      <c r="F255" s="602"/>
      <c r="G255" s="602"/>
      <c r="H255" s="602"/>
      <c r="I255" s="602"/>
      <c r="J255" s="602"/>
      <c r="K255" s="602"/>
    </row>
    <row r="256" spans="1:11">
      <c r="A256" s="602"/>
      <c r="B256" s="602"/>
      <c r="C256" s="602"/>
      <c r="D256" s="602"/>
      <c r="E256" s="602"/>
      <c r="F256" s="602"/>
      <c r="G256" s="602"/>
      <c r="H256" s="602"/>
      <c r="I256" s="602"/>
      <c r="J256" s="602"/>
      <c r="K256" s="602"/>
    </row>
    <row r="257" spans="1:11">
      <c r="A257" s="602"/>
      <c r="B257" s="602"/>
      <c r="C257" s="602"/>
      <c r="D257" s="602"/>
      <c r="E257" s="602"/>
      <c r="F257" s="602"/>
      <c r="G257" s="602"/>
      <c r="H257" s="602"/>
      <c r="I257" s="602"/>
      <c r="J257" s="602"/>
      <c r="K257" s="602"/>
    </row>
    <row r="258" spans="1:11">
      <c r="A258" s="602"/>
      <c r="B258" s="602"/>
      <c r="C258" s="602"/>
      <c r="D258" s="602"/>
      <c r="E258" s="602"/>
      <c r="F258" s="602"/>
      <c r="G258" s="602"/>
      <c r="H258" s="602"/>
      <c r="I258" s="602"/>
      <c r="J258" s="602"/>
      <c r="K258" s="602"/>
    </row>
    <row r="259" spans="1:11">
      <c r="A259" s="602"/>
      <c r="B259" s="602"/>
      <c r="C259" s="602"/>
      <c r="D259" s="602"/>
      <c r="E259" s="602"/>
      <c r="F259" s="602"/>
      <c r="G259" s="602"/>
      <c r="H259" s="602"/>
      <c r="I259" s="602"/>
      <c r="J259" s="602"/>
      <c r="K259" s="602"/>
    </row>
    <row r="260" spans="1:11">
      <c r="A260" s="602"/>
      <c r="B260" s="602"/>
      <c r="C260" s="602"/>
      <c r="D260" s="602"/>
      <c r="E260" s="602"/>
      <c r="F260" s="602"/>
      <c r="G260" s="602"/>
      <c r="H260" s="602"/>
      <c r="I260" s="602"/>
      <c r="J260" s="602"/>
      <c r="K260" s="602"/>
    </row>
    <row r="261" spans="1:11">
      <c r="A261" s="602"/>
      <c r="B261" s="602"/>
      <c r="C261" s="602"/>
      <c r="D261" s="602"/>
      <c r="E261" s="602"/>
      <c r="F261" s="602"/>
      <c r="G261" s="602"/>
      <c r="H261" s="602"/>
      <c r="I261" s="602"/>
      <c r="J261" s="602"/>
      <c r="K261" s="602"/>
    </row>
    <row r="262" spans="1:11">
      <c r="A262" s="602"/>
      <c r="B262" s="602"/>
      <c r="C262" s="602"/>
      <c r="D262" s="602"/>
      <c r="E262" s="602"/>
      <c r="F262" s="602"/>
      <c r="G262" s="602"/>
      <c r="H262" s="602"/>
      <c r="I262" s="602"/>
      <c r="J262" s="602"/>
      <c r="K262" s="602"/>
    </row>
    <row r="263" spans="1:11">
      <c r="A263" s="602"/>
      <c r="B263" s="602"/>
      <c r="C263" s="602"/>
      <c r="D263" s="602"/>
      <c r="E263" s="602"/>
      <c r="F263" s="602"/>
      <c r="G263" s="602"/>
      <c r="H263" s="602"/>
      <c r="I263" s="602"/>
      <c r="J263" s="602"/>
      <c r="K263" s="602"/>
    </row>
    <row r="264" spans="1:11">
      <c r="A264" s="602"/>
      <c r="B264" s="602"/>
      <c r="C264" s="602"/>
      <c r="D264" s="602"/>
      <c r="E264" s="602"/>
      <c r="F264" s="602"/>
      <c r="G264" s="602"/>
      <c r="H264" s="602"/>
      <c r="I264" s="602"/>
      <c r="J264" s="602"/>
      <c r="K264" s="602"/>
    </row>
    <row r="265" spans="1:11">
      <c r="A265" s="602"/>
      <c r="B265" s="602"/>
      <c r="C265" s="602"/>
      <c r="D265" s="602"/>
      <c r="E265" s="602"/>
      <c r="F265" s="602"/>
      <c r="G265" s="602"/>
      <c r="H265" s="602"/>
      <c r="I265" s="602"/>
      <c r="J265" s="602"/>
      <c r="K265" s="602"/>
    </row>
    <row r="266" spans="1:11">
      <c r="A266" s="602"/>
      <c r="B266" s="602"/>
      <c r="C266" s="602"/>
      <c r="D266" s="602"/>
      <c r="E266" s="602"/>
      <c r="F266" s="602"/>
      <c r="G266" s="602"/>
      <c r="H266" s="602"/>
      <c r="I266" s="602"/>
      <c r="J266" s="602"/>
      <c r="K266" s="602"/>
    </row>
    <row r="267" spans="1:11">
      <c r="A267" s="602"/>
      <c r="B267" s="602"/>
      <c r="C267" s="602"/>
      <c r="D267" s="602"/>
      <c r="E267" s="602"/>
      <c r="F267" s="602"/>
      <c r="G267" s="602"/>
      <c r="H267" s="602"/>
      <c r="I267" s="602"/>
      <c r="J267" s="602"/>
      <c r="K267" s="602"/>
    </row>
    <row r="268" spans="1:11">
      <c r="A268" s="602"/>
      <c r="B268" s="602"/>
      <c r="C268" s="602"/>
      <c r="D268" s="602"/>
      <c r="E268" s="602"/>
      <c r="F268" s="602"/>
      <c r="G268" s="602"/>
      <c r="H268" s="602"/>
      <c r="I268" s="602"/>
      <c r="J268" s="602"/>
      <c r="K268" s="602"/>
    </row>
    <row r="269" spans="1:11">
      <c r="A269" s="602"/>
      <c r="B269" s="602"/>
      <c r="C269" s="602"/>
      <c r="D269" s="602"/>
      <c r="E269" s="602"/>
      <c r="F269" s="602"/>
      <c r="G269" s="602"/>
      <c r="H269" s="602"/>
      <c r="I269" s="602"/>
      <c r="J269" s="602"/>
      <c r="K269" s="602"/>
    </row>
    <row r="270" spans="1:11">
      <c r="A270" s="602"/>
      <c r="B270" s="602"/>
      <c r="C270" s="602"/>
      <c r="D270" s="602"/>
      <c r="E270" s="602"/>
      <c r="F270" s="602"/>
      <c r="G270" s="602"/>
      <c r="H270" s="602"/>
      <c r="I270" s="602"/>
      <c r="J270" s="602"/>
      <c r="K270" s="602"/>
    </row>
    <row r="271" spans="1:11">
      <c r="A271" s="602"/>
      <c r="B271" s="602"/>
      <c r="C271" s="602"/>
      <c r="D271" s="602"/>
      <c r="E271" s="602"/>
      <c r="F271" s="602"/>
      <c r="G271" s="602"/>
      <c r="H271" s="602"/>
      <c r="I271" s="602"/>
      <c r="J271" s="602"/>
      <c r="K271" s="602"/>
    </row>
    <row r="272" spans="1:11">
      <c r="A272" s="602"/>
      <c r="B272" s="602"/>
      <c r="C272" s="602"/>
      <c r="D272" s="602"/>
      <c r="E272" s="602"/>
      <c r="F272" s="602"/>
      <c r="G272" s="602"/>
      <c r="H272" s="602"/>
      <c r="I272" s="602"/>
      <c r="J272" s="602"/>
      <c r="K272" s="602"/>
    </row>
    <row r="273" spans="1:11">
      <c r="A273" s="602"/>
      <c r="B273" s="602"/>
      <c r="C273" s="602"/>
      <c r="D273" s="602"/>
      <c r="E273" s="602"/>
      <c r="F273" s="602"/>
      <c r="G273" s="602"/>
      <c r="H273" s="602"/>
      <c r="I273" s="602"/>
      <c r="J273" s="602"/>
      <c r="K273" s="602"/>
    </row>
    <row r="274" spans="1:11">
      <c r="A274" s="602"/>
      <c r="B274" s="602"/>
      <c r="C274" s="602"/>
      <c r="D274" s="602"/>
      <c r="E274" s="602"/>
      <c r="F274" s="602"/>
      <c r="G274" s="602"/>
      <c r="H274" s="602"/>
      <c r="I274" s="602"/>
      <c r="J274" s="602"/>
      <c r="K274" s="602"/>
    </row>
    <row r="275" spans="1:11">
      <c r="A275" s="602"/>
      <c r="B275" s="602"/>
      <c r="C275" s="602"/>
      <c r="D275" s="602"/>
      <c r="E275" s="602"/>
      <c r="F275" s="602"/>
      <c r="G275" s="602"/>
      <c r="H275" s="602"/>
      <c r="I275" s="602"/>
      <c r="J275" s="602"/>
      <c r="K275" s="602"/>
    </row>
    <row r="276" spans="1:11">
      <c r="A276" s="602"/>
      <c r="B276" s="602"/>
      <c r="C276" s="602"/>
      <c r="D276" s="602"/>
      <c r="E276" s="602"/>
      <c r="F276" s="602"/>
      <c r="G276" s="602"/>
      <c r="H276" s="602"/>
      <c r="I276" s="602"/>
      <c r="J276" s="602"/>
      <c r="K276" s="602"/>
    </row>
    <row r="277" spans="1:11">
      <c r="A277" s="602"/>
      <c r="B277" s="602"/>
      <c r="C277" s="602"/>
      <c r="D277" s="602"/>
      <c r="E277" s="602"/>
      <c r="F277" s="602"/>
      <c r="G277" s="602"/>
      <c r="H277" s="602"/>
      <c r="I277" s="602"/>
      <c r="J277" s="602"/>
      <c r="K277" s="602"/>
    </row>
    <row r="278" spans="1:11">
      <c r="A278" s="602"/>
      <c r="B278" s="602"/>
      <c r="C278" s="602"/>
      <c r="D278" s="602"/>
      <c r="E278" s="602"/>
      <c r="F278" s="602"/>
      <c r="G278" s="602"/>
      <c r="H278" s="602"/>
      <c r="I278" s="602"/>
      <c r="J278" s="602"/>
      <c r="K278" s="602"/>
    </row>
    <row r="279" spans="1:11">
      <c r="A279" s="602"/>
      <c r="B279" s="602"/>
      <c r="C279" s="602"/>
      <c r="D279" s="602"/>
      <c r="E279" s="602"/>
      <c r="F279" s="602"/>
      <c r="G279" s="602"/>
      <c r="H279" s="602"/>
      <c r="I279" s="602"/>
      <c r="J279" s="602"/>
      <c r="K279" s="602"/>
    </row>
    <row r="280" spans="1:11">
      <c r="A280" s="602"/>
      <c r="B280" s="602"/>
      <c r="C280" s="602"/>
      <c r="D280" s="602"/>
      <c r="E280" s="602"/>
      <c r="F280" s="602"/>
      <c r="G280" s="602"/>
      <c r="H280" s="602"/>
      <c r="I280" s="602"/>
      <c r="J280" s="602"/>
      <c r="K280" s="602"/>
    </row>
    <row r="281" spans="1:11">
      <c r="A281" s="602"/>
      <c r="B281" s="602"/>
      <c r="C281" s="602"/>
      <c r="D281" s="602"/>
      <c r="E281" s="602"/>
      <c r="F281" s="602"/>
      <c r="G281" s="602"/>
      <c r="H281" s="602"/>
      <c r="I281" s="602"/>
      <c r="J281" s="602"/>
      <c r="K281" s="602"/>
    </row>
    <row r="282" spans="1:11">
      <c r="A282" s="602"/>
      <c r="B282" s="602"/>
      <c r="C282" s="602"/>
      <c r="D282" s="602"/>
      <c r="E282" s="602"/>
      <c r="F282" s="602"/>
      <c r="G282" s="602"/>
      <c r="H282" s="602"/>
      <c r="I282" s="602"/>
      <c r="J282" s="602"/>
      <c r="K282" s="602"/>
    </row>
    <row r="283" spans="1:11">
      <c r="A283" s="602"/>
      <c r="B283" s="602"/>
      <c r="C283" s="602"/>
      <c r="D283" s="602"/>
      <c r="E283" s="602"/>
      <c r="F283" s="602"/>
      <c r="G283" s="602"/>
      <c r="H283" s="602"/>
      <c r="I283" s="602"/>
      <c r="J283" s="602"/>
      <c r="K283" s="602"/>
    </row>
    <row r="284" spans="1:11">
      <c r="A284" s="602"/>
      <c r="B284" s="602"/>
      <c r="C284" s="602"/>
      <c r="D284" s="602"/>
      <c r="E284" s="602"/>
      <c r="F284" s="602"/>
      <c r="G284" s="602"/>
      <c r="H284" s="602"/>
      <c r="I284" s="602"/>
      <c r="J284" s="602"/>
      <c r="K284" s="602"/>
    </row>
    <row r="285" spans="1:11">
      <c r="A285" s="602"/>
      <c r="B285" s="602"/>
      <c r="C285" s="602"/>
      <c r="D285" s="602"/>
      <c r="E285" s="602"/>
      <c r="F285" s="602"/>
      <c r="G285" s="602"/>
      <c r="H285" s="602"/>
      <c r="I285" s="602"/>
      <c r="J285" s="602"/>
      <c r="K285" s="602"/>
    </row>
    <row r="286" spans="1:11">
      <c r="A286" s="602"/>
      <c r="B286" s="602"/>
      <c r="C286" s="602"/>
      <c r="D286" s="602"/>
      <c r="E286" s="602"/>
      <c r="F286" s="602"/>
      <c r="G286" s="602"/>
      <c r="H286" s="602"/>
      <c r="I286" s="602"/>
      <c r="J286" s="602"/>
      <c r="K286" s="602"/>
    </row>
    <row r="287" spans="1:11">
      <c r="A287" s="602"/>
      <c r="B287" s="602"/>
      <c r="C287" s="602"/>
      <c r="D287" s="602"/>
      <c r="E287" s="602"/>
      <c r="F287" s="602"/>
      <c r="G287" s="602"/>
      <c r="H287" s="602"/>
      <c r="I287" s="602"/>
      <c r="J287" s="602"/>
      <c r="K287" s="602"/>
    </row>
    <row r="288" spans="1:11">
      <c r="A288" s="602"/>
      <c r="B288" s="602"/>
      <c r="C288" s="602"/>
      <c r="D288" s="602"/>
      <c r="E288" s="602"/>
      <c r="F288" s="602"/>
      <c r="G288" s="602"/>
      <c r="H288" s="602"/>
      <c r="I288" s="602"/>
      <c r="J288" s="602"/>
      <c r="K288" s="602"/>
    </row>
    <row r="289" spans="1:11">
      <c r="A289" s="602"/>
      <c r="B289" s="602"/>
      <c r="C289" s="602"/>
      <c r="D289" s="602"/>
      <c r="E289" s="602"/>
      <c r="F289" s="602"/>
      <c r="G289" s="602"/>
      <c r="H289" s="602"/>
      <c r="I289" s="602"/>
      <c r="J289" s="602"/>
      <c r="K289" s="602"/>
    </row>
    <row r="290" spans="1:11">
      <c r="A290" s="602"/>
      <c r="B290" s="602"/>
      <c r="C290" s="602"/>
      <c r="D290" s="602"/>
      <c r="E290" s="602"/>
      <c r="F290" s="602"/>
      <c r="G290" s="602"/>
      <c r="H290" s="602"/>
      <c r="I290" s="602"/>
      <c r="J290" s="602"/>
      <c r="K290" s="602"/>
    </row>
    <row r="291" spans="1:11">
      <c r="A291" s="602"/>
      <c r="B291" s="602"/>
      <c r="C291" s="602"/>
      <c r="D291" s="602"/>
      <c r="E291" s="602"/>
      <c r="F291" s="602"/>
      <c r="G291" s="602"/>
      <c r="H291" s="602"/>
      <c r="I291" s="602"/>
      <c r="J291" s="602"/>
      <c r="K291" s="602"/>
    </row>
    <row r="292" spans="1:11">
      <c r="A292" s="602"/>
      <c r="B292" s="602"/>
      <c r="C292" s="602"/>
      <c r="D292" s="602"/>
      <c r="E292" s="602"/>
      <c r="F292" s="602"/>
      <c r="G292" s="602"/>
      <c r="H292" s="602"/>
      <c r="I292" s="602"/>
      <c r="J292" s="602"/>
      <c r="K292" s="602"/>
    </row>
    <row r="293" spans="1:11">
      <c r="A293" s="602"/>
      <c r="B293" s="602"/>
      <c r="C293" s="602"/>
      <c r="D293" s="602"/>
      <c r="E293" s="602"/>
      <c r="F293" s="602"/>
      <c r="G293" s="602"/>
      <c r="H293" s="602"/>
      <c r="I293" s="602"/>
      <c r="J293" s="602"/>
      <c r="K293" s="602"/>
    </row>
    <row r="294" spans="1:11">
      <c r="A294" s="602"/>
      <c r="B294" s="602"/>
      <c r="C294" s="602"/>
      <c r="D294" s="602"/>
      <c r="E294" s="602"/>
      <c r="F294" s="602"/>
      <c r="G294" s="602"/>
      <c r="H294" s="602"/>
      <c r="I294" s="602"/>
      <c r="J294" s="602"/>
      <c r="K294" s="602"/>
    </row>
    <row r="295" spans="1:11">
      <c r="A295" s="602"/>
      <c r="B295" s="602"/>
      <c r="C295" s="602"/>
      <c r="D295" s="602"/>
      <c r="E295" s="602"/>
      <c r="F295" s="602"/>
      <c r="G295" s="602"/>
      <c r="H295" s="602"/>
      <c r="I295" s="602"/>
      <c r="J295" s="602"/>
      <c r="K295" s="602"/>
    </row>
    <row r="296" spans="1:11">
      <c r="A296" s="602"/>
      <c r="B296" s="602"/>
      <c r="C296" s="602"/>
      <c r="D296" s="602"/>
      <c r="E296" s="602"/>
      <c r="F296" s="602"/>
      <c r="G296" s="602"/>
      <c r="H296" s="602"/>
      <c r="I296" s="602"/>
      <c r="J296" s="602"/>
      <c r="K296" s="602"/>
    </row>
    <row r="297" spans="1:11">
      <c r="A297" s="602"/>
      <c r="B297" s="602"/>
      <c r="C297" s="602"/>
      <c r="D297" s="602"/>
      <c r="E297" s="602"/>
      <c r="F297" s="602"/>
      <c r="G297" s="602"/>
      <c r="H297" s="602"/>
      <c r="I297" s="602"/>
      <c r="J297" s="602"/>
      <c r="K297" s="602"/>
    </row>
    <row r="298" spans="1:11">
      <c r="A298" s="602"/>
      <c r="B298" s="602"/>
      <c r="C298" s="602"/>
      <c r="D298" s="602"/>
      <c r="E298" s="602"/>
      <c r="F298" s="602"/>
      <c r="G298" s="602"/>
      <c r="H298" s="602"/>
      <c r="I298" s="602"/>
      <c r="J298" s="602"/>
      <c r="K298" s="602"/>
    </row>
    <row r="299" spans="1:11">
      <c r="A299" s="602"/>
      <c r="B299" s="602"/>
      <c r="C299" s="602"/>
      <c r="D299" s="602"/>
      <c r="E299" s="602"/>
      <c r="F299" s="602"/>
      <c r="G299" s="602"/>
      <c r="H299" s="602"/>
      <c r="I299" s="602"/>
      <c r="J299" s="602"/>
      <c r="K299" s="602"/>
    </row>
    <row r="300" spans="1:11">
      <c r="A300" s="602"/>
      <c r="B300" s="602"/>
      <c r="C300" s="602"/>
      <c r="D300" s="602"/>
      <c r="E300" s="602"/>
      <c r="F300" s="602"/>
      <c r="G300" s="602"/>
      <c r="H300" s="602"/>
      <c r="I300" s="602"/>
      <c r="J300" s="602"/>
      <c r="K300" s="602"/>
    </row>
    <row r="301" spans="1:11">
      <c r="A301" s="602"/>
      <c r="B301" s="602"/>
      <c r="C301" s="602"/>
      <c r="D301" s="602"/>
      <c r="E301" s="602"/>
      <c r="F301" s="602"/>
      <c r="G301" s="602"/>
      <c r="H301" s="602"/>
      <c r="I301" s="602"/>
      <c r="J301" s="602"/>
      <c r="K301" s="602"/>
    </row>
    <row r="302" spans="1:11">
      <c r="A302" s="602"/>
      <c r="B302" s="602"/>
      <c r="C302" s="602"/>
      <c r="D302" s="602"/>
      <c r="E302" s="602"/>
      <c r="F302" s="602"/>
      <c r="G302" s="602"/>
      <c r="H302" s="602"/>
      <c r="I302" s="602"/>
      <c r="J302" s="602"/>
      <c r="K302" s="602"/>
    </row>
    <row r="303" spans="1:11">
      <c r="A303" s="602"/>
      <c r="B303" s="602"/>
      <c r="C303" s="602"/>
      <c r="D303" s="602"/>
      <c r="E303" s="602"/>
      <c r="F303" s="602"/>
      <c r="G303" s="602"/>
      <c r="H303" s="602"/>
      <c r="I303" s="602"/>
      <c r="J303" s="602"/>
      <c r="K303" s="602"/>
    </row>
    <row r="304" spans="1:11">
      <c r="A304" s="602"/>
      <c r="B304" s="602"/>
      <c r="C304" s="602"/>
      <c r="D304" s="602"/>
      <c r="E304" s="602"/>
      <c r="F304" s="602"/>
      <c r="G304" s="602"/>
      <c r="H304" s="602"/>
      <c r="I304" s="602"/>
      <c r="J304" s="602"/>
      <c r="K304" s="602"/>
    </row>
    <row r="305" spans="1:11">
      <c r="A305" s="602"/>
      <c r="B305" s="602"/>
      <c r="C305" s="602"/>
      <c r="D305" s="602"/>
      <c r="E305" s="602"/>
      <c r="F305" s="602"/>
      <c r="G305" s="602"/>
      <c r="H305" s="602"/>
      <c r="I305" s="602"/>
      <c r="J305" s="602"/>
      <c r="K305" s="602"/>
    </row>
    <row r="306" spans="1:11">
      <c r="A306" s="602"/>
      <c r="B306" s="602"/>
      <c r="C306" s="602"/>
      <c r="D306" s="602"/>
      <c r="E306" s="602"/>
      <c r="F306" s="602"/>
      <c r="G306" s="602"/>
      <c r="H306" s="602"/>
      <c r="I306" s="602"/>
      <c r="J306" s="602"/>
      <c r="K306" s="602"/>
    </row>
    <row r="307" spans="1:11">
      <c r="A307" s="602"/>
      <c r="B307" s="602"/>
      <c r="C307" s="602"/>
      <c r="D307" s="602"/>
      <c r="E307" s="602"/>
      <c r="F307" s="602"/>
      <c r="G307" s="602"/>
      <c r="H307" s="602"/>
      <c r="I307" s="602"/>
      <c r="J307" s="602"/>
      <c r="K307" s="602"/>
    </row>
    <row r="308" spans="1:11">
      <c r="A308" s="602"/>
      <c r="B308" s="602"/>
      <c r="C308" s="602"/>
      <c r="D308" s="602"/>
      <c r="E308" s="602"/>
      <c r="F308" s="602"/>
      <c r="G308" s="602"/>
      <c r="H308" s="602"/>
      <c r="I308" s="602"/>
      <c r="J308" s="602"/>
      <c r="K308" s="602"/>
    </row>
  </sheetData>
  <mergeCells count="1">
    <mergeCell ref="C16:D16"/>
  </mergeCells>
  <phoneticPr fontId="69" type="noConversion"/>
  <pageMargins left="0.75" right="0.75" top="1" bottom="1" header="0.5" footer="0.5"/>
  <pageSetup paperSize="9" orientation="portrait" horizontalDpi="96" verticalDpi="96" copies="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7" r:id="rId4" name="Drop Down 17">
              <controlPr defaultSize="0" autoLine="0" autoPict="0">
                <anchor moveWithCells="1">
                  <from>
                    <xdr:col>8</xdr:col>
                    <xdr:colOff>38100</xdr:colOff>
                    <xdr:row>19</xdr:row>
                    <xdr:rowOff>95250</xdr:rowOff>
                  </from>
                  <to>
                    <xdr:col>9</xdr:col>
                    <xdr:colOff>28575</xdr:colOff>
                    <xdr:row>20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8" r:id="rId5" name="Drop Down 18">
              <controlPr defaultSize="0" autoLine="0" autoPict="0">
                <anchor moveWithCells="1">
                  <from>
                    <xdr:col>5</xdr:col>
                    <xdr:colOff>38100</xdr:colOff>
                    <xdr:row>19</xdr:row>
                    <xdr:rowOff>66675</xdr:rowOff>
                  </from>
                  <to>
                    <xdr:col>6</xdr:col>
                    <xdr:colOff>104775</xdr:colOff>
                    <xdr:row>20</xdr:row>
                    <xdr:rowOff>142875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0"/>
  <sheetViews>
    <sheetView workbookViewId="0">
      <selection activeCell="H7" sqref="H7"/>
    </sheetView>
  </sheetViews>
  <sheetFormatPr defaultRowHeight="12"/>
  <cols>
    <col min="5" max="5" width="12.42578125" customWidth="1"/>
  </cols>
  <sheetData>
    <row r="1" spans="1:18" s="625" customFormat="1" ht="15.75">
      <c r="A1" s="622" t="s">
        <v>472</v>
      </c>
      <c r="B1" s="623"/>
      <c r="C1" s="623"/>
      <c r="D1" s="623"/>
      <c r="E1" s="623"/>
      <c r="F1" s="624"/>
      <c r="H1" s="626"/>
      <c r="I1" s="627"/>
      <c r="J1" s="627"/>
      <c r="K1" s="627"/>
      <c r="L1" s="628"/>
    </row>
    <row r="2" spans="1:18" s="625" customFormat="1" ht="15.75">
      <c r="A2" s="622" t="s">
        <v>76</v>
      </c>
      <c r="B2" s="631"/>
      <c r="C2" s="631"/>
      <c r="D2" s="631"/>
      <c r="E2" s="631"/>
      <c r="F2" s="631"/>
      <c r="G2" s="632"/>
      <c r="H2" s="633"/>
      <c r="I2" s="634"/>
      <c r="J2" s="1364"/>
      <c r="K2" s="634"/>
      <c r="L2" s="635"/>
    </row>
    <row r="3" spans="1:18" s="625" customFormat="1" ht="15.75">
      <c r="A3" s="629"/>
      <c r="B3" s="623"/>
      <c r="C3" s="623"/>
      <c r="D3" s="623"/>
      <c r="E3" s="623"/>
      <c r="F3" s="624"/>
      <c r="G3" s="667"/>
      <c r="H3" s="626"/>
      <c r="I3" s="627"/>
      <c r="J3" s="627"/>
      <c r="K3" s="627"/>
      <c r="L3" s="681"/>
      <c r="M3" s="681"/>
      <c r="N3" s="681"/>
      <c r="O3" s="681"/>
      <c r="P3" s="681"/>
      <c r="Q3" s="643"/>
      <c r="R3" s="643"/>
    </row>
    <row r="4" spans="1:18" s="625" customFormat="1" ht="15.75">
      <c r="A4" s="629"/>
      <c r="B4" s="623"/>
      <c r="C4" s="623"/>
      <c r="D4" s="623"/>
      <c r="E4" s="623"/>
      <c r="F4" s="624"/>
      <c r="G4" s="667"/>
      <c r="H4" s="637">
        <v>2100000</v>
      </c>
      <c r="I4" s="627"/>
      <c r="J4" s="627"/>
      <c r="L4" s="643"/>
      <c r="M4" s="643"/>
      <c r="N4" s="643"/>
      <c r="O4" s="643"/>
      <c r="P4" s="643"/>
      <c r="Q4" s="643"/>
      <c r="R4" s="643"/>
    </row>
    <row r="5" spans="1:18" s="625" customFormat="1" ht="12.75">
      <c r="A5" s="639" t="s">
        <v>49</v>
      </c>
      <c r="B5" s="640" t="s">
        <v>74</v>
      </c>
      <c r="C5" s="641" t="s">
        <v>1881</v>
      </c>
      <c r="D5" s="642" t="s">
        <v>473</v>
      </c>
      <c r="E5" s="642" t="s">
        <v>54</v>
      </c>
      <c r="F5" s="642"/>
      <c r="G5" s="642" t="s">
        <v>55</v>
      </c>
      <c r="H5" s="641" t="s">
        <v>56</v>
      </c>
      <c r="L5" s="643"/>
      <c r="M5" s="643"/>
      <c r="N5" s="643"/>
      <c r="O5" s="686"/>
      <c r="P5" s="643"/>
      <c r="Q5" s="643"/>
      <c r="R5" s="643"/>
    </row>
    <row r="6" spans="1:18" s="625" customFormat="1" ht="12.75">
      <c r="A6" s="641" t="s">
        <v>57</v>
      </c>
      <c r="B6" s="641" t="s">
        <v>75</v>
      </c>
      <c r="C6" s="641" t="s">
        <v>607</v>
      </c>
      <c r="D6" s="642" t="s">
        <v>607</v>
      </c>
      <c r="E6" s="642" t="s">
        <v>64</v>
      </c>
      <c r="F6" s="642" t="s">
        <v>607</v>
      </c>
      <c r="G6" s="642" t="s">
        <v>607</v>
      </c>
      <c r="H6" s="641" t="s">
        <v>65</v>
      </c>
      <c r="L6" s="643"/>
      <c r="M6" s="682"/>
      <c r="N6" s="682"/>
      <c r="O6" s="682"/>
      <c r="P6" s="682"/>
      <c r="Q6" s="643"/>
      <c r="R6" s="643"/>
    </row>
    <row r="7" spans="1:18" s="625" customFormat="1" ht="12.75">
      <c r="A7" s="641">
        <v>1</v>
      </c>
      <c r="B7" s="647">
        <v>230</v>
      </c>
      <c r="C7" s="1379">
        <v>400</v>
      </c>
      <c r="D7" s="1379">
        <v>20</v>
      </c>
      <c r="E7" s="649">
        <v>300</v>
      </c>
      <c r="F7" s="669">
        <f>C7/E7</f>
        <v>1.3333333333333333</v>
      </c>
      <c r="G7" s="669">
        <f>F7</f>
        <v>1.3333333333333333</v>
      </c>
      <c r="H7" s="670">
        <f>B7*D7*(3*C7*C7-4*D7*D7)/(24*H4*G7)</f>
        <v>32.747619047619047</v>
      </c>
      <c r="I7" s="670">
        <f>'simple support beam'!K7</f>
        <v>9709.9376860119046</v>
      </c>
      <c r="J7" s="670">
        <f>SUM(H7:I7)</f>
        <v>9742.6853050595237</v>
      </c>
      <c r="L7" s="643"/>
      <c r="M7" s="643"/>
      <c r="N7" s="643"/>
      <c r="O7" s="643"/>
      <c r="P7" s="643"/>
      <c r="Q7" s="643"/>
      <c r="R7" s="643"/>
    </row>
    <row r="8" spans="1:18" s="625" customFormat="1" ht="12.75"/>
    <row r="9" spans="1:18" s="625" customFormat="1" ht="15.75">
      <c r="A9" s="622" t="s">
        <v>77</v>
      </c>
      <c r="B9" s="631"/>
      <c r="C9" s="631"/>
      <c r="D9" s="631"/>
      <c r="E9" s="631"/>
      <c r="F9" s="632"/>
      <c r="G9" s="633"/>
      <c r="H9" s="633"/>
      <c r="I9" s="634"/>
      <c r="J9" s="634"/>
    </row>
    <row r="10" spans="1:18" s="625" customFormat="1" ht="12.75">
      <c r="A10" s="639" t="s">
        <v>49</v>
      </c>
      <c r="B10" s="640" t="s">
        <v>74</v>
      </c>
      <c r="C10" s="641" t="s">
        <v>1881</v>
      </c>
      <c r="D10" s="642" t="s">
        <v>473</v>
      </c>
      <c r="E10" s="640" t="s">
        <v>67</v>
      </c>
      <c r="F10" s="640" t="s">
        <v>68</v>
      </c>
      <c r="G10" s="641" t="s">
        <v>69</v>
      </c>
    </row>
    <row r="11" spans="1:18" s="625" customFormat="1" ht="12.75">
      <c r="A11" s="641" t="s">
        <v>57</v>
      </c>
      <c r="B11" s="641" t="s">
        <v>75</v>
      </c>
      <c r="C11" s="641" t="s">
        <v>607</v>
      </c>
      <c r="D11" s="642" t="s">
        <v>607</v>
      </c>
      <c r="E11" s="642" t="s">
        <v>474</v>
      </c>
      <c r="F11" s="642" t="s">
        <v>71</v>
      </c>
      <c r="G11" s="642" t="s">
        <v>72</v>
      </c>
    </row>
    <row r="12" spans="1:18" s="625" customFormat="1" ht="12.75">
      <c r="A12" s="641">
        <f>A7</f>
        <v>1</v>
      </c>
      <c r="B12" s="648">
        <f>B7</f>
        <v>230</v>
      </c>
      <c r="C12" s="1379">
        <f>C7</f>
        <v>400</v>
      </c>
      <c r="D12" s="1379">
        <f>D7</f>
        <v>20</v>
      </c>
      <c r="E12" s="657">
        <f>B12*D12/2</f>
        <v>2300</v>
      </c>
      <c r="F12" s="649">
        <v>1440</v>
      </c>
      <c r="G12" s="668">
        <f>E12/F12</f>
        <v>1.5972222222222223</v>
      </c>
      <c r="H12" s="672"/>
    </row>
    <row r="18" spans="1:13" ht="12.75">
      <c r="A18" s="829" t="s">
        <v>104</v>
      </c>
      <c r="B18" s="829"/>
      <c r="C18" s="829"/>
      <c r="D18" s="829"/>
      <c r="E18" s="829"/>
      <c r="F18" s="829"/>
      <c r="G18" s="829"/>
      <c r="H18" s="829"/>
      <c r="I18" s="829"/>
      <c r="J18" s="829"/>
      <c r="K18" s="829"/>
      <c r="L18" s="829"/>
      <c r="M18" s="829"/>
    </row>
    <row r="19" spans="1:13" ht="12.75">
      <c r="A19" s="831" t="s">
        <v>132</v>
      </c>
      <c r="B19" s="832"/>
      <c r="C19" s="832"/>
      <c r="D19" s="832"/>
      <c r="E19" s="833" t="s">
        <v>578</v>
      </c>
      <c r="F19" s="845" t="s">
        <v>136</v>
      </c>
      <c r="G19" s="833" t="s">
        <v>572</v>
      </c>
      <c r="H19" s="833" t="s">
        <v>56</v>
      </c>
      <c r="I19" s="833" t="s">
        <v>1952</v>
      </c>
      <c r="J19" s="833" t="s">
        <v>105</v>
      </c>
      <c r="K19" s="833" t="s">
        <v>106</v>
      </c>
      <c r="L19" s="833" t="s">
        <v>0</v>
      </c>
      <c r="M19" s="852" t="s">
        <v>107</v>
      </c>
    </row>
    <row r="20" spans="1:13" ht="12.75">
      <c r="A20" s="836" t="s">
        <v>570</v>
      </c>
      <c r="B20" s="837" t="s">
        <v>1746</v>
      </c>
      <c r="C20" s="837" t="s">
        <v>108</v>
      </c>
      <c r="D20" s="837" t="s">
        <v>109</v>
      </c>
      <c r="E20" s="838" t="s">
        <v>110</v>
      </c>
      <c r="F20" s="838" t="s">
        <v>137</v>
      </c>
      <c r="G20" s="838" t="s">
        <v>599</v>
      </c>
      <c r="H20" s="838" t="s">
        <v>111</v>
      </c>
      <c r="I20" s="838" t="s">
        <v>72</v>
      </c>
      <c r="J20" s="838" t="s">
        <v>607</v>
      </c>
      <c r="K20" s="838" t="s">
        <v>111</v>
      </c>
      <c r="L20" s="838" t="s">
        <v>72</v>
      </c>
      <c r="M20" s="853" t="s">
        <v>607</v>
      </c>
    </row>
    <row r="21" spans="1:13" ht="12.75">
      <c r="A21" s="854">
        <v>90</v>
      </c>
      <c r="B21" s="854">
        <v>50</v>
      </c>
      <c r="C21" s="854">
        <v>3</v>
      </c>
      <c r="D21" s="854">
        <v>3</v>
      </c>
      <c r="E21" s="855">
        <f>(B21*A21-(B21-2*C21)*(A21-2*D21))/100</f>
        <v>8.0399999999999991</v>
      </c>
      <c r="F21" s="842">
        <v>7.85</v>
      </c>
      <c r="G21" s="846">
        <f>E21*F21/10</f>
        <v>6.311399999999999</v>
      </c>
      <c r="H21" s="1359">
        <f>(B21*A21*A21*A21-(B21-2*C21)*(A21-2*D21)*(A21-2*D21)*(A21-2*D21))/12/10000</f>
        <v>86.425200000000004</v>
      </c>
      <c r="I21" s="855">
        <f>2*10*H21/A21</f>
        <v>19.2056</v>
      </c>
      <c r="J21" s="855">
        <f>SQRT(H21/E21)</f>
        <v>3.2786282169643188</v>
      </c>
      <c r="K21" s="856">
        <f>(A21*B21*B21*B21-(A21-2*D21)*(B21-2*C21)*(B21-2*C21)*(B21-2*C21))/12/10000</f>
        <v>34.121200000000002</v>
      </c>
      <c r="L21" s="855">
        <f>2*10*K21/B21</f>
        <v>13.648479999999999</v>
      </c>
      <c r="M21" s="857">
        <f>SQRT(K21/E21)</f>
        <v>2.0600801800557926</v>
      </c>
    </row>
    <row r="25" spans="1:13" ht="12.75">
      <c r="A25" s="829" t="s">
        <v>138</v>
      </c>
      <c r="B25" s="829"/>
      <c r="C25" s="829"/>
      <c r="D25" s="829"/>
      <c r="E25" s="829"/>
      <c r="F25" s="829"/>
      <c r="G25" s="829"/>
      <c r="H25" s="829"/>
      <c r="I25" s="829"/>
      <c r="J25" s="829"/>
      <c r="K25" s="829"/>
      <c r="L25" s="829"/>
      <c r="M25" s="829"/>
    </row>
    <row r="26" spans="1:13" ht="12.75">
      <c r="A26" s="831" t="s">
        <v>132</v>
      </c>
      <c r="B26" s="832"/>
      <c r="C26" s="832"/>
      <c r="D26" s="832"/>
      <c r="E26" s="833" t="s">
        <v>578</v>
      </c>
      <c r="F26" s="833" t="s">
        <v>136</v>
      </c>
      <c r="G26" s="833" t="s">
        <v>572</v>
      </c>
      <c r="H26" s="833" t="s">
        <v>56</v>
      </c>
      <c r="I26" s="833" t="s">
        <v>1952</v>
      </c>
      <c r="J26" s="833" t="s">
        <v>105</v>
      </c>
      <c r="K26" s="833" t="s">
        <v>106</v>
      </c>
      <c r="L26" s="833" t="s">
        <v>0</v>
      </c>
      <c r="M26" s="852" t="s">
        <v>107</v>
      </c>
    </row>
    <row r="27" spans="1:13" ht="12.75">
      <c r="A27" s="836" t="s">
        <v>570</v>
      </c>
      <c r="B27" s="837" t="s">
        <v>1746</v>
      </c>
      <c r="C27" s="837"/>
      <c r="D27" s="837"/>
      <c r="E27" s="838" t="s">
        <v>110</v>
      </c>
      <c r="F27" s="838" t="s">
        <v>137</v>
      </c>
      <c r="G27" s="838" t="s">
        <v>599</v>
      </c>
      <c r="H27" s="838" t="s">
        <v>111</v>
      </c>
      <c r="I27" s="838" t="s">
        <v>72</v>
      </c>
      <c r="J27" s="838" t="s">
        <v>607</v>
      </c>
      <c r="K27" s="838" t="s">
        <v>111</v>
      </c>
      <c r="L27" s="838" t="s">
        <v>72</v>
      </c>
      <c r="M27" s="853" t="s">
        <v>607</v>
      </c>
    </row>
    <row r="28" spans="1:13" ht="12.75">
      <c r="A28" s="854">
        <v>20</v>
      </c>
      <c r="B28" s="854">
        <v>200</v>
      </c>
      <c r="C28" s="854"/>
      <c r="D28" s="854"/>
      <c r="E28" s="1381">
        <f>A28*B28/100</f>
        <v>40</v>
      </c>
      <c r="F28" s="844">
        <v>7.85</v>
      </c>
      <c r="G28" s="846">
        <f>E28*F28/10</f>
        <v>31.4</v>
      </c>
      <c r="H28" s="1382">
        <f>(B28*A28*A28*A28)/12/10000</f>
        <v>13.333333333333334</v>
      </c>
      <c r="I28" s="1382">
        <f>2*10*H28/A28</f>
        <v>13.333333333333334</v>
      </c>
      <c r="J28" s="1382">
        <f>SQRT(H28/E28)</f>
        <v>0.57735026918962584</v>
      </c>
      <c r="K28" s="1382">
        <f>(A28*B28*B28*B28)/12/10000</f>
        <v>1333.3333333333335</v>
      </c>
      <c r="L28" s="1382">
        <f>2*10*K28/B28</f>
        <v>133.33333333333337</v>
      </c>
      <c r="M28" s="1383">
        <f>SQRT(K28/E28)</f>
        <v>5.7735026918962582</v>
      </c>
    </row>
    <row r="30" spans="1:13">
      <c r="G30" s="1380">
        <f>G28+G21</f>
        <v>37.711399999999998</v>
      </c>
      <c r="H30" s="1380">
        <f>H28+H21</f>
        <v>99.758533333333332</v>
      </c>
      <c r="I30" s="1380">
        <f>I28+I21</f>
        <v>32.538933333333333</v>
      </c>
      <c r="J30" s="580"/>
      <c r="K30" s="1380">
        <f>K28+K21</f>
        <v>1367.4545333333335</v>
      </c>
    </row>
  </sheetData>
  <phoneticPr fontId="69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/>
  <dimension ref="B1:I22"/>
  <sheetViews>
    <sheetView workbookViewId="0">
      <selection activeCell="G22" sqref="G22"/>
    </sheetView>
  </sheetViews>
  <sheetFormatPr defaultColWidth="9.140625" defaultRowHeight="12.75"/>
  <cols>
    <col min="1" max="1" width="9.140625" style="687"/>
    <col min="2" max="2" width="11.7109375" style="687" customWidth="1"/>
    <col min="3" max="16384" width="9.140625" style="687"/>
  </cols>
  <sheetData>
    <row r="1" spans="2:9" ht="13.5" thickBot="1"/>
    <row r="2" spans="2:9" ht="13.5" thickBot="1">
      <c r="B2" s="892" t="s">
        <v>161</v>
      </c>
      <c r="C2" s="893"/>
      <c r="D2" s="893"/>
      <c r="E2" s="893"/>
      <c r="F2" s="893"/>
      <c r="G2" s="894"/>
      <c r="H2" s="625"/>
      <c r="I2" s="625"/>
    </row>
    <row r="3" spans="2:9" ht="16.5" thickBot="1">
      <c r="B3" s="895" t="s">
        <v>179</v>
      </c>
      <c r="C3" s="896" t="s">
        <v>180</v>
      </c>
      <c r="D3" s="896" t="s">
        <v>162</v>
      </c>
      <c r="E3" s="896" t="s">
        <v>163</v>
      </c>
      <c r="F3" s="896" t="s">
        <v>164</v>
      </c>
      <c r="G3" s="897" t="s">
        <v>165</v>
      </c>
      <c r="H3" s="625"/>
      <c r="I3" s="898" t="s">
        <v>166</v>
      </c>
    </row>
    <row r="4" spans="2:9">
      <c r="B4" s="899">
        <v>0</v>
      </c>
      <c r="C4" s="900">
        <v>8</v>
      </c>
      <c r="D4" s="900">
        <v>50</v>
      </c>
      <c r="E4" s="901">
        <f>D4*3.6</f>
        <v>180</v>
      </c>
      <c r="F4" s="902">
        <f>D4*D4/1600</f>
        <v>1.5625</v>
      </c>
      <c r="G4" s="903">
        <f>F4*100</f>
        <v>156.25</v>
      </c>
      <c r="H4" s="625"/>
      <c r="I4" s="625">
        <f>E4/1.8</f>
        <v>100</v>
      </c>
    </row>
    <row r="5" spans="2:9">
      <c r="B5" s="904">
        <v>8</v>
      </c>
      <c r="C5" s="859">
        <v>20</v>
      </c>
      <c r="D5" s="859">
        <v>35.799999999999997</v>
      </c>
      <c r="E5" s="869">
        <f>D5*3.6</f>
        <v>128.88</v>
      </c>
      <c r="F5" s="843">
        <f>D5*D5/1600</f>
        <v>0.80102499999999988</v>
      </c>
      <c r="G5" s="905">
        <f>F5*100</f>
        <v>80.102499999999992</v>
      </c>
      <c r="H5" s="625"/>
      <c r="I5" s="625">
        <f>E5/1.8</f>
        <v>71.599999999999994</v>
      </c>
    </row>
    <row r="6" spans="2:9">
      <c r="B6" s="904">
        <v>20</v>
      </c>
      <c r="C6" s="859">
        <v>100</v>
      </c>
      <c r="D6" s="859">
        <v>42</v>
      </c>
      <c r="E6" s="869">
        <f>D6*3.6</f>
        <v>151.20000000000002</v>
      </c>
      <c r="F6" s="843">
        <f>D6*D6/1600</f>
        <v>1.1025</v>
      </c>
      <c r="G6" s="906">
        <f>F6*100</f>
        <v>110.25</v>
      </c>
      <c r="H6" s="625"/>
      <c r="I6" s="625">
        <f>E6/1.8</f>
        <v>84.000000000000014</v>
      </c>
    </row>
    <row r="7" spans="2:9" ht="13.5" thickBot="1">
      <c r="B7" s="904">
        <v>100</v>
      </c>
      <c r="C7" s="859" t="s">
        <v>167</v>
      </c>
      <c r="D7" s="859">
        <v>50</v>
      </c>
      <c r="E7" s="869">
        <f>D7*3.6</f>
        <v>180</v>
      </c>
      <c r="F7" s="843">
        <f>D7*D7/1600</f>
        <v>1.5625</v>
      </c>
      <c r="G7" s="906">
        <f>F7*100</f>
        <v>156.25</v>
      </c>
      <c r="H7" s="625"/>
      <c r="I7" s="625">
        <f>E7/1.8</f>
        <v>100</v>
      </c>
    </row>
    <row r="8" spans="2:9">
      <c r="B8" s="907" t="s">
        <v>168</v>
      </c>
      <c r="C8" s="893" t="s">
        <v>169</v>
      </c>
      <c r="D8" s="893"/>
      <c r="E8" s="908">
        <v>50</v>
      </c>
      <c r="F8" s="893" t="s">
        <v>58</v>
      </c>
      <c r="G8" s="893"/>
      <c r="H8" s="894"/>
      <c r="I8" s="625"/>
    </row>
    <row r="9" spans="2:9">
      <c r="B9" s="909" t="s">
        <v>170</v>
      </c>
      <c r="C9" s="830" t="s">
        <v>171</v>
      </c>
      <c r="D9" s="830"/>
      <c r="E9" s="898">
        <v>1.2</v>
      </c>
      <c r="F9" s="830"/>
      <c r="G9" s="830"/>
      <c r="H9" s="910"/>
      <c r="I9" s="625"/>
    </row>
    <row r="10" spans="2:9">
      <c r="B10" s="909" t="s">
        <v>172</v>
      </c>
      <c r="C10" s="830" t="s">
        <v>173</v>
      </c>
      <c r="D10" s="830"/>
      <c r="E10" s="859">
        <v>1</v>
      </c>
      <c r="F10" s="830"/>
      <c r="G10" s="830"/>
      <c r="H10" s="910"/>
      <c r="I10" s="625"/>
    </row>
    <row r="11" spans="2:9" ht="13.5" thickBot="1">
      <c r="B11" s="911" t="s">
        <v>174</v>
      </c>
      <c r="C11" s="912" t="s">
        <v>175</v>
      </c>
      <c r="D11" s="912"/>
      <c r="E11" s="913">
        <v>1.2</v>
      </c>
      <c r="F11" s="912" t="s">
        <v>176</v>
      </c>
      <c r="G11" s="912"/>
      <c r="H11" s="914">
        <v>1.6</v>
      </c>
      <c r="I11" s="625"/>
    </row>
    <row r="12" spans="2:9">
      <c r="B12" s="915" t="s">
        <v>177</v>
      </c>
      <c r="C12" s="916" t="s">
        <v>178</v>
      </c>
      <c r="D12" s="917">
        <f>E8*E9*E10*E11</f>
        <v>72</v>
      </c>
      <c r="E12" s="673" t="s">
        <v>58</v>
      </c>
      <c r="F12" s="673"/>
      <c r="G12" s="673"/>
      <c r="H12" s="673"/>
      <c r="I12" s="673"/>
    </row>
    <row r="13" spans="2:9">
      <c r="B13" s="625"/>
      <c r="C13" s="625"/>
      <c r="D13" s="625"/>
      <c r="E13" s="625"/>
      <c r="F13" s="625"/>
      <c r="G13" s="625"/>
      <c r="H13" s="625"/>
      <c r="I13" s="625"/>
    </row>
    <row r="15" spans="2:9">
      <c r="G15" s="820">
        <f>12*12/16</f>
        <v>9</v>
      </c>
    </row>
    <row r="16" spans="2:9" ht="15.75">
      <c r="B16" s="1758" t="s">
        <v>46</v>
      </c>
      <c r="C16" s="1758"/>
      <c r="D16" s="1758"/>
    </row>
    <row r="17" spans="2:4">
      <c r="B17" s="560" t="s">
        <v>47</v>
      </c>
      <c r="C17">
        <v>7</v>
      </c>
      <c r="D17" t="s">
        <v>120</v>
      </c>
    </row>
    <row r="18" spans="2:4">
      <c r="B18" s="1512" t="s">
        <v>2501</v>
      </c>
      <c r="C18">
        <f>IF(AND(0&lt;C17,C17&lt;8),50,IF(AND(8&lt;=C17,C17&lt;20),80,IF(AND(20&lt;=C17,C17&lt;100),110,156)))</f>
        <v>50</v>
      </c>
      <c r="D18" t="s">
        <v>58</v>
      </c>
    </row>
    <row r="19" spans="2:4">
      <c r="B19" s="1513" t="s">
        <v>2500</v>
      </c>
      <c r="C19" s="601">
        <v>90</v>
      </c>
      <c r="D19" t="s">
        <v>2499</v>
      </c>
    </row>
    <row r="20" spans="2:4">
      <c r="B20" s="560" t="s">
        <v>2502</v>
      </c>
      <c r="C20" s="580">
        <f>C18*(1.2*SIN(C19*PI()/180)-0.4)</f>
        <v>40</v>
      </c>
      <c r="D20" t="s">
        <v>58</v>
      </c>
    </row>
    <row r="21" spans="2:4">
      <c r="B21" s="560" t="s">
        <v>2503</v>
      </c>
      <c r="C21" s="580">
        <f>C18*-0.4</f>
        <v>-20</v>
      </c>
      <c r="D21" t="s">
        <v>58</v>
      </c>
    </row>
    <row r="22" spans="2:4">
      <c r="B22"/>
      <c r="C22"/>
      <c r="D22"/>
    </row>
  </sheetData>
  <mergeCells count="1">
    <mergeCell ref="B16:D16"/>
  </mergeCells>
  <phoneticPr fontId="96" type="noConversion"/>
  <pageMargins left="0.75" right="0.75" top="1" bottom="1" header="0.5" footer="0.5"/>
  <pageSetup paperSize="9" orientation="portrait" horizontalDpi="1200" verticalDpi="12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9"/>
  <sheetViews>
    <sheetView workbookViewId="0">
      <selection activeCell="A8" sqref="A8"/>
    </sheetView>
  </sheetViews>
  <sheetFormatPr defaultColWidth="9.140625" defaultRowHeight="12.75"/>
  <cols>
    <col min="1" max="4" width="9.140625" style="1016"/>
    <col min="5" max="6" width="10.28515625" style="1016" customWidth="1"/>
    <col min="7" max="7" width="10.85546875" style="1016" customWidth="1"/>
    <col min="8" max="8" width="9.140625" style="1016"/>
    <col min="9" max="9" width="7.5703125" style="1016" customWidth="1"/>
    <col min="10" max="10" width="6.7109375" style="1016" customWidth="1"/>
    <col min="11" max="11" width="6.28515625" style="1016" customWidth="1"/>
    <col min="12" max="12" width="6.140625" style="1016" customWidth="1"/>
    <col min="13" max="13" width="6.42578125" style="1016" customWidth="1"/>
    <col min="14" max="14" width="8" style="1016" customWidth="1"/>
    <col min="15" max="15" width="7.28515625" style="1016" customWidth="1"/>
    <col min="16" max="16384" width="9.140625" style="1016"/>
  </cols>
  <sheetData>
    <row r="1" spans="1:15">
      <c r="A1" s="1015" t="s">
        <v>243</v>
      </c>
      <c r="B1" s="1015"/>
    </row>
    <row r="3" spans="1:15" ht="13.5" thickBot="1">
      <c r="A3" s="1017" t="s">
        <v>1590</v>
      </c>
      <c r="B3" s="1018" t="s">
        <v>244</v>
      </c>
      <c r="C3" s="1018"/>
      <c r="D3" s="1017" t="s">
        <v>1590</v>
      </c>
      <c r="E3" s="1019"/>
      <c r="F3" s="1019"/>
    </row>
    <row r="4" spans="1:15">
      <c r="B4" s="1020"/>
      <c r="C4" s="1021"/>
    </row>
    <row r="5" spans="1:15">
      <c r="B5" s="1022"/>
      <c r="C5" s="1023"/>
    </row>
    <row r="6" spans="1:15">
      <c r="A6" s="1024" t="s">
        <v>198</v>
      </c>
      <c r="B6" s="1024" t="s">
        <v>1590</v>
      </c>
      <c r="C6" s="1024" t="s">
        <v>94</v>
      </c>
      <c r="D6" s="1024" t="s">
        <v>245</v>
      </c>
      <c r="E6" s="1024" t="s">
        <v>246</v>
      </c>
      <c r="F6" s="1024" t="s">
        <v>247</v>
      </c>
      <c r="G6" s="1024" t="s">
        <v>248</v>
      </c>
      <c r="H6" s="1024" t="s">
        <v>186</v>
      </c>
      <c r="I6" s="1024" t="s">
        <v>571</v>
      </c>
      <c r="J6" s="1024" t="s">
        <v>249</v>
      </c>
      <c r="K6" s="1024" t="s">
        <v>250</v>
      </c>
      <c r="L6" s="1024" t="s">
        <v>1510</v>
      </c>
      <c r="M6" s="1024" t="s">
        <v>54</v>
      </c>
      <c r="N6" s="1024" t="s">
        <v>189</v>
      </c>
      <c r="O6" s="1024" t="s">
        <v>190</v>
      </c>
    </row>
    <row r="7" spans="1:15">
      <c r="A7" s="1024" t="s">
        <v>599</v>
      </c>
      <c r="B7" s="1024" t="s">
        <v>120</v>
      </c>
      <c r="C7" s="1024" t="s">
        <v>120</v>
      </c>
      <c r="D7" s="1024" t="s">
        <v>1947</v>
      </c>
      <c r="E7" s="1024" t="s">
        <v>1947</v>
      </c>
      <c r="F7" s="1024" t="s">
        <v>1947</v>
      </c>
      <c r="G7" s="1024" t="s">
        <v>1948</v>
      </c>
      <c r="H7" s="1024" t="s">
        <v>72</v>
      </c>
      <c r="I7" s="1024" t="s">
        <v>111</v>
      </c>
      <c r="J7" s="1024" t="s">
        <v>607</v>
      </c>
      <c r="K7" s="1024" t="s">
        <v>607</v>
      </c>
      <c r="L7" s="1024" t="s">
        <v>607</v>
      </c>
      <c r="M7" s="1024" t="s">
        <v>251</v>
      </c>
      <c r="N7" s="1024" t="s">
        <v>111</v>
      </c>
      <c r="O7" s="1024" t="s">
        <v>607</v>
      </c>
    </row>
    <row r="8" spans="1:15">
      <c r="A8" s="1025">
        <f>1.155*220</f>
        <v>254.1</v>
      </c>
      <c r="B8" s="1016">
        <v>4</v>
      </c>
      <c r="C8" s="1016">
        <v>9</v>
      </c>
      <c r="D8" s="1025">
        <f>A8*B8*B8/2</f>
        <v>2032.8</v>
      </c>
      <c r="E8" s="1025">
        <f>A8*(C8*C8-4*B8*B8)/8</f>
        <v>539.96249999999998</v>
      </c>
      <c r="F8" s="1025">
        <f>IF(D8&gt;E8,D8,E8)</f>
        <v>2032.8</v>
      </c>
      <c r="G8" s="1026">
        <v>950</v>
      </c>
      <c r="H8" s="1025">
        <f>F8*100/G8</f>
        <v>213.97894736842105</v>
      </c>
      <c r="I8" s="1026">
        <v>2140</v>
      </c>
      <c r="J8" s="1027">
        <f>A8*B8*(C8*C8*C8-6*B8*B8*C8-3*B8*B8*B8)/(24*2.1*I8)</f>
        <v>-3.0815420560747659</v>
      </c>
      <c r="K8" s="1027">
        <f>A8*C8*C8*(5*C8*C8-24*B8*B8)/(384*2.1*I8)</f>
        <v>0.25046363901869156</v>
      </c>
      <c r="L8" s="1027">
        <f>-J8</f>
        <v>3.0815420560747659</v>
      </c>
      <c r="M8" s="1028">
        <f>B8/3</f>
        <v>1.3333333333333333</v>
      </c>
      <c r="N8" s="1025">
        <f>L8*I8/M8</f>
        <v>4945.875</v>
      </c>
      <c r="O8" s="1025">
        <f>N8*2/H8</f>
        <v>46.227678571428569</v>
      </c>
    </row>
    <row r="9" spans="1:15">
      <c r="A9" s="1016">
        <v>1870</v>
      </c>
      <c r="B9" s="1016">
        <v>4</v>
      </c>
      <c r="C9" s="1016">
        <v>9</v>
      </c>
      <c r="D9" s="1025">
        <f>A9*B9*B9/2</f>
        <v>14960</v>
      </c>
      <c r="E9" s="1025">
        <f>A9*(C9*C9-4*B9*B9)/8</f>
        <v>3973.75</v>
      </c>
      <c r="F9" s="1025">
        <f>IF(D9&gt;E9,D9,E9)</f>
        <v>14960</v>
      </c>
      <c r="G9" s="1026">
        <v>1255</v>
      </c>
      <c r="H9" s="1025">
        <f>F9*100/G9</f>
        <v>1192.0318725099601</v>
      </c>
      <c r="I9" s="1026">
        <v>28903</v>
      </c>
      <c r="J9" s="1027">
        <f>A9*B9*(C9*C9*C9-6*B9*B9*C9-3*B9*B9*B9)/(24*2.1*I9)</f>
        <v>-1.6790974079144856</v>
      </c>
      <c r="K9" s="1027">
        <f>A9*C9*C9*(5*C9*C9-24*B9*B9)/(384*2.1*I9)</f>
        <v>0.13647480365359996</v>
      </c>
      <c r="L9" s="1027">
        <f>-J9</f>
        <v>1.6790974079144856</v>
      </c>
      <c r="M9" s="1028">
        <f>B9/3</f>
        <v>1.3333333333333333</v>
      </c>
      <c r="N9" s="1025">
        <f>L9*I9/M9</f>
        <v>36398.214285714283</v>
      </c>
      <c r="O9" s="1025">
        <f>N9*2/H9</f>
        <v>61.069196428571431</v>
      </c>
    </row>
    <row r="12" spans="1:15">
      <c r="A12" s="1015" t="s">
        <v>252</v>
      </c>
      <c r="B12" s="1015"/>
    </row>
    <row r="14" spans="1:15" ht="13.5" thickBot="1">
      <c r="A14" s="1017" t="s">
        <v>1590</v>
      </c>
      <c r="B14" s="1018" t="s">
        <v>244</v>
      </c>
      <c r="C14" s="1018"/>
      <c r="D14" s="1017" t="s">
        <v>1590</v>
      </c>
      <c r="E14" s="1019"/>
      <c r="F14" s="1019"/>
    </row>
    <row r="15" spans="1:15">
      <c r="B15" s="1020"/>
      <c r="C15" s="1021"/>
    </row>
    <row r="16" spans="1:15">
      <c r="B16" s="1022"/>
      <c r="C16" s="1023"/>
    </row>
    <row r="17" spans="1:15">
      <c r="A17" s="1024" t="s">
        <v>198</v>
      </c>
      <c r="B17" s="1024" t="s">
        <v>1590</v>
      </c>
      <c r="C17" s="1024" t="s">
        <v>94</v>
      </c>
      <c r="D17" s="1024" t="s">
        <v>245</v>
      </c>
      <c r="E17" s="1024" t="s">
        <v>246</v>
      </c>
      <c r="F17" s="1024" t="s">
        <v>247</v>
      </c>
      <c r="G17" s="1024" t="s">
        <v>248</v>
      </c>
      <c r="H17" s="1024" t="s">
        <v>186</v>
      </c>
      <c r="I17" s="1024" t="s">
        <v>571</v>
      </c>
      <c r="J17" s="1024" t="s">
        <v>249</v>
      </c>
      <c r="K17" s="1024" t="s">
        <v>250</v>
      </c>
      <c r="L17" s="1024" t="s">
        <v>1510</v>
      </c>
      <c r="M17" s="1024" t="s">
        <v>54</v>
      </c>
      <c r="N17" s="1024" t="s">
        <v>189</v>
      </c>
      <c r="O17" s="1024" t="s">
        <v>190</v>
      </c>
    </row>
    <row r="18" spans="1:15">
      <c r="A18" s="1024" t="s">
        <v>599</v>
      </c>
      <c r="B18" s="1024" t="s">
        <v>120</v>
      </c>
      <c r="C18" s="1024" t="s">
        <v>120</v>
      </c>
      <c r="D18" s="1024" t="s">
        <v>1947</v>
      </c>
      <c r="E18" s="1024" t="s">
        <v>1947</v>
      </c>
      <c r="F18" s="1024" t="s">
        <v>1947</v>
      </c>
      <c r="G18" s="1024" t="s">
        <v>1948</v>
      </c>
      <c r="H18" s="1024" t="s">
        <v>72</v>
      </c>
      <c r="I18" s="1024" t="s">
        <v>111</v>
      </c>
      <c r="J18" s="1024" t="s">
        <v>607</v>
      </c>
      <c r="K18" s="1024" t="s">
        <v>607</v>
      </c>
      <c r="L18" s="1024" t="s">
        <v>607</v>
      </c>
      <c r="M18" s="1024" t="s">
        <v>251</v>
      </c>
      <c r="N18" s="1024" t="s">
        <v>111</v>
      </c>
      <c r="O18" s="1024" t="s">
        <v>607</v>
      </c>
    </row>
    <row r="19" spans="1:15">
      <c r="A19" s="1025">
        <f>1.155*220</f>
        <v>254.1</v>
      </c>
      <c r="B19" s="1016">
        <v>4</v>
      </c>
      <c r="C19" s="1016">
        <v>9</v>
      </c>
      <c r="D19" s="1025">
        <f>A19*B19*B19/2</f>
        <v>2032.8</v>
      </c>
      <c r="E19" s="1025">
        <f>A19*(C19*C19-4*B19*B19)/8</f>
        <v>539.96249999999998</v>
      </c>
      <c r="F19" s="1025">
        <f>IF(D19&gt;E19,D19,E19)</f>
        <v>2032.8</v>
      </c>
      <c r="G19" s="1026">
        <v>950</v>
      </c>
      <c r="H19" s="1025">
        <f>F19*100/G19</f>
        <v>213.97894736842105</v>
      </c>
      <c r="I19" s="1026">
        <v>2140</v>
      </c>
      <c r="J19" s="1027">
        <f>A19*B19*(C19*C19*C19-6*B19*B19*C19-3*B19*B19*B19)/(24*2.1*I19)</f>
        <v>-3.0815420560747659</v>
      </c>
      <c r="K19" s="1027">
        <f>A19*C19*C19*(5*C19*C19-24*B19*B19)/(384*2.1*I19)</f>
        <v>0.25046363901869156</v>
      </c>
      <c r="L19" s="1027">
        <f>-J19</f>
        <v>3.0815420560747659</v>
      </c>
      <c r="M19" s="1028">
        <f>B19/3</f>
        <v>1.3333333333333333</v>
      </c>
      <c r="N19" s="1025">
        <f>L19*I19/M19</f>
        <v>4945.875</v>
      </c>
      <c r="O19" s="1025">
        <f>N19*2/H19</f>
        <v>46.227678571428569</v>
      </c>
    </row>
    <row r="20" spans="1:15">
      <c r="A20" s="1016">
        <v>1870</v>
      </c>
      <c r="B20" s="1016">
        <v>4</v>
      </c>
      <c r="C20" s="1016">
        <v>9</v>
      </c>
      <c r="D20" s="1025">
        <f>A20*B20*B20/2</f>
        <v>14960</v>
      </c>
      <c r="E20" s="1025">
        <f>A20*(C20*C20-4*B20*B20)/8</f>
        <v>3973.75</v>
      </c>
      <c r="F20" s="1025">
        <f>IF(D20&gt;E20,D20,E20)</f>
        <v>14960</v>
      </c>
      <c r="G20" s="1026">
        <v>1255</v>
      </c>
      <c r="H20" s="1025">
        <f>F20*100/G20</f>
        <v>1192.0318725099601</v>
      </c>
      <c r="I20" s="1026">
        <v>28903</v>
      </c>
      <c r="J20" s="1027">
        <f>A20*B20*(C20*C20*C20-6*B20*B20*C20-3*B20*B20*B20)/(24*2.1*I20)</f>
        <v>-1.6790974079144856</v>
      </c>
      <c r="K20" s="1027">
        <f>A20*C20*C20*(5*C20*C20-24*B20*B20)/(384*2.1*I20)</f>
        <v>0.13647480365359996</v>
      </c>
      <c r="L20" s="1027">
        <f>-J20</f>
        <v>1.6790974079144856</v>
      </c>
      <c r="M20" s="1028">
        <f>B20/3</f>
        <v>1.3333333333333333</v>
      </c>
      <c r="N20" s="1025">
        <f>L20*I20/M20</f>
        <v>36398.214285714283</v>
      </c>
      <c r="O20" s="1025">
        <f>N20*2/H20</f>
        <v>61.069196428571431</v>
      </c>
    </row>
    <row r="22" spans="1:15">
      <c r="A22" s="1029" t="s">
        <v>1705</v>
      </c>
      <c r="B22" s="1029" t="s">
        <v>184</v>
      </c>
      <c r="C22" s="1029" t="s">
        <v>1510</v>
      </c>
    </row>
    <row r="23" spans="1:15">
      <c r="A23" s="1030">
        <v>0</v>
      </c>
      <c r="B23" s="1030">
        <f t="shared" ref="B23:B31" si="0">1.87*A23*A23/2</f>
        <v>0</v>
      </c>
    </row>
    <row r="24" spans="1:15">
      <c r="A24" s="1030">
        <f t="shared" ref="A24:A30" si="1">A23+0.5</f>
        <v>0.5</v>
      </c>
      <c r="B24" s="1030">
        <f t="shared" si="0"/>
        <v>0.23375000000000001</v>
      </c>
    </row>
    <row r="25" spans="1:15">
      <c r="A25" s="1030">
        <f t="shared" si="1"/>
        <v>1</v>
      </c>
      <c r="B25" s="1030">
        <f t="shared" si="0"/>
        <v>0.93500000000000005</v>
      </c>
    </row>
    <row r="26" spans="1:15">
      <c r="A26" s="1030">
        <f t="shared" si="1"/>
        <v>1.5</v>
      </c>
      <c r="B26" s="1030">
        <f t="shared" si="0"/>
        <v>2.1037500000000002</v>
      </c>
    </row>
    <row r="27" spans="1:15">
      <c r="A27" s="1030">
        <f t="shared" si="1"/>
        <v>2</v>
      </c>
      <c r="B27" s="1030">
        <f t="shared" si="0"/>
        <v>3.74</v>
      </c>
    </row>
    <row r="28" spans="1:15">
      <c r="A28" s="1030">
        <f t="shared" si="1"/>
        <v>2.5</v>
      </c>
      <c r="B28" s="1030">
        <f t="shared" si="0"/>
        <v>5.8437500000000009</v>
      </c>
    </row>
    <row r="29" spans="1:15">
      <c r="A29" s="1030">
        <f t="shared" si="1"/>
        <v>3</v>
      </c>
      <c r="B29" s="1030">
        <f t="shared" si="0"/>
        <v>8.4150000000000009</v>
      </c>
    </row>
    <row r="30" spans="1:15">
      <c r="A30" s="1030">
        <f t="shared" si="1"/>
        <v>3.5</v>
      </c>
      <c r="B30" s="1030">
        <f t="shared" si="0"/>
        <v>11.453749999999999</v>
      </c>
    </row>
    <row r="31" spans="1:15">
      <c r="A31" s="1031">
        <f>A30+0.499</f>
        <v>3.9990000000000001</v>
      </c>
      <c r="B31" s="1030">
        <f t="shared" si="0"/>
        <v>14.952520935000003</v>
      </c>
    </row>
    <row r="32" spans="1:15">
      <c r="A32" s="1031">
        <f>A30+0.501</f>
        <v>4.0010000000000003</v>
      </c>
      <c r="B32" s="1030">
        <f t="shared" ref="B32:B50" si="2">1.87*A32*A32/2-19.868-7.0574*(A32-4)</f>
        <v>-4.9075764649999982</v>
      </c>
    </row>
    <row r="33" spans="1:2">
      <c r="A33" s="1030">
        <f>A30+1</f>
        <v>4.5</v>
      </c>
      <c r="B33" s="1030">
        <f t="shared" si="2"/>
        <v>-4.4629499999999958</v>
      </c>
    </row>
    <row r="34" spans="1:2">
      <c r="A34" s="1030">
        <f t="shared" ref="A34:A49" si="3">A33+0.5</f>
        <v>5</v>
      </c>
      <c r="B34" s="1030">
        <f t="shared" si="2"/>
        <v>-3.5503999999999953</v>
      </c>
    </row>
    <row r="35" spans="1:2">
      <c r="A35" s="1030">
        <f t="shared" si="3"/>
        <v>5.5</v>
      </c>
      <c r="B35" s="1030">
        <f t="shared" si="2"/>
        <v>-2.1703499999999973</v>
      </c>
    </row>
    <row r="36" spans="1:2">
      <c r="A36" s="1030">
        <f t="shared" si="3"/>
        <v>6</v>
      </c>
      <c r="B36" s="1030">
        <f t="shared" si="2"/>
        <v>-0.32279999999999553</v>
      </c>
    </row>
    <row r="37" spans="1:2">
      <c r="A37" s="1030">
        <f t="shared" si="3"/>
        <v>6.5</v>
      </c>
      <c r="B37" s="1030">
        <f t="shared" si="2"/>
        <v>1.9922500000000056</v>
      </c>
    </row>
    <row r="38" spans="1:2">
      <c r="A38" s="1030">
        <f t="shared" si="3"/>
        <v>7</v>
      </c>
      <c r="B38" s="1030">
        <f t="shared" si="2"/>
        <v>4.774799999999999</v>
      </c>
    </row>
    <row r="39" spans="1:2">
      <c r="A39" s="1030">
        <f t="shared" si="3"/>
        <v>7.5</v>
      </c>
      <c r="B39" s="1030">
        <f t="shared" si="2"/>
        <v>8.0248500000000043</v>
      </c>
    </row>
    <row r="40" spans="1:2">
      <c r="A40" s="1030">
        <f t="shared" si="3"/>
        <v>8</v>
      </c>
      <c r="B40" s="1030">
        <f t="shared" si="2"/>
        <v>11.742400000000007</v>
      </c>
    </row>
    <row r="41" spans="1:2">
      <c r="A41" s="1030">
        <f t="shared" si="3"/>
        <v>8.5</v>
      </c>
      <c r="B41" s="1030">
        <f t="shared" si="2"/>
        <v>15.927450000000011</v>
      </c>
    </row>
    <row r="42" spans="1:2">
      <c r="A42" s="1030">
        <f t="shared" si="3"/>
        <v>9</v>
      </c>
      <c r="B42" s="1030">
        <f t="shared" si="2"/>
        <v>20.58000000000002</v>
      </c>
    </row>
    <row r="43" spans="1:2">
      <c r="A43" s="1030">
        <f t="shared" si="3"/>
        <v>9.5</v>
      </c>
      <c r="B43" s="1030">
        <f t="shared" si="2"/>
        <v>25.700050000000012</v>
      </c>
    </row>
    <row r="44" spans="1:2">
      <c r="A44" s="1030">
        <f t="shared" si="3"/>
        <v>10</v>
      </c>
      <c r="B44" s="1030">
        <f t="shared" si="2"/>
        <v>31.287600000000019</v>
      </c>
    </row>
    <row r="45" spans="1:2">
      <c r="A45" s="1030">
        <f t="shared" si="3"/>
        <v>10.5</v>
      </c>
      <c r="B45" s="1030">
        <f t="shared" si="2"/>
        <v>37.342650000000013</v>
      </c>
    </row>
    <row r="46" spans="1:2">
      <c r="A46" s="1030">
        <f t="shared" si="3"/>
        <v>11</v>
      </c>
      <c r="B46" s="1030">
        <f t="shared" si="2"/>
        <v>43.865200000000009</v>
      </c>
    </row>
    <row r="47" spans="1:2">
      <c r="A47" s="1030">
        <f t="shared" si="3"/>
        <v>11.5</v>
      </c>
      <c r="B47" s="1030">
        <f t="shared" si="2"/>
        <v>50.855250000000019</v>
      </c>
    </row>
    <row r="48" spans="1:2">
      <c r="A48" s="1030">
        <f t="shared" si="3"/>
        <v>12</v>
      </c>
      <c r="B48" s="1030">
        <f t="shared" si="2"/>
        <v>58.312800000000017</v>
      </c>
    </row>
    <row r="49" spans="1:2">
      <c r="A49" s="1030">
        <f t="shared" si="3"/>
        <v>12.5</v>
      </c>
      <c r="B49" s="1030">
        <f t="shared" si="2"/>
        <v>66.237850000000009</v>
      </c>
    </row>
    <row r="50" spans="1:2">
      <c r="A50" s="1031">
        <f>A49+0.499</f>
        <v>12.999000000000001</v>
      </c>
      <c r="B50" s="1030">
        <f t="shared" si="2"/>
        <v>74.613148335000034</v>
      </c>
    </row>
    <row r="51" spans="1:2">
      <c r="A51" s="1031">
        <f>A49+0.501</f>
        <v>13.000999999999999</v>
      </c>
      <c r="B51" s="1030">
        <f t="shared" ref="B51:B59" si="4">1.87*A51*A51/2-19.868*2-7.0574*(A51-4)-24.726*(A51-13)</f>
        <v>54.754927535</v>
      </c>
    </row>
    <row r="52" spans="1:2">
      <c r="A52" s="1030">
        <f>A49+1</f>
        <v>13.5</v>
      </c>
      <c r="B52" s="1030">
        <f t="shared" si="4"/>
        <v>51.259450000000015</v>
      </c>
    </row>
    <row r="53" spans="1:2">
      <c r="A53" s="1030">
        <f t="shared" ref="A53:A59" si="5">A52+0.5</f>
        <v>14</v>
      </c>
      <c r="B53" s="1030">
        <f t="shared" si="4"/>
        <v>48.224000000000004</v>
      </c>
    </row>
    <row r="54" spans="1:2">
      <c r="A54" s="1030">
        <f t="shared" si="5"/>
        <v>14.5</v>
      </c>
      <c r="B54" s="1030">
        <f t="shared" si="4"/>
        <v>45.656050000000022</v>
      </c>
    </row>
    <row r="55" spans="1:2">
      <c r="A55" s="1030">
        <f t="shared" si="5"/>
        <v>15</v>
      </c>
      <c r="B55" s="1030">
        <f t="shared" si="4"/>
        <v>43.555600000000013</v>
      </c>
    </row>
    <row r="56" spans="1:2">
      <c r="A56" s="1030">
        <f t="shared" si="5"/>
        <v>15.5</v>
      </c>
      <c r="B56" s="1030">
        <f t="shared" si="4"/>
        <v>41.922650000000033</v>
      </c>
    </row>
    <row r="57" spans="1:2">
      <c r="A57" s="1030">
        <f t="shared" si="5"/>
        <v>16</v>
      </c>
      <c r="B57" s="1030">
        <f t="shared" si="4"/>
        <v>40.757200000000026</v>
      </c>
    </row>
    <row r="58" spans="1:2">
      <c r="A58" s="1030">
        <f t="shared" si="5"/>
        <v>16.5</v>
      </c>
      <c r="B58" s="1030">
        <f t="shared" si="4"/>
        <v>40.05925000000002</v>
      </c>
    </row>
    <row r="59" spans="1:2">
      <c r="A59" s="1030">
        <f t="shared" si="5"/>
        <v>17</v>
      </c>
      <c r="B59" s="1030">
        <f t="shared" si="4"/>
        <v>39.828800000000058</v>
      </c>
    </row>
  </sheetData>
  <phoneticPr fontId="68" type="noConversion"/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74"/>
  <sheetViews>
    <sheetView workbookViewId="0">
      <selection activeCell="C12" sqref="C12"/>
    </sheetView>
  </sheetViews>
  <sheetFormatPr defaultColWidth="9.140625" defaultRowHeight="12.75"/>
  <cols>
    <col min="1" max="1" width="12.85546875" style="1035" customWidth="1"/>
    <col min="2" max="2" width="7.140625" style="1035" customWidth="1"/>
    <col min="3" max="3" width="8.7109375" style="1035" customWidth="1"/>
    <col min="4" max="4" width="7.5703125" style="1035" customWidth="1"/>
    <col min="5" max="5" width="7.42578125" style="1035" customWidth="1"/>
    <col min="6" max="6" width="7.7109375" style="1035" customWidth="1"/>
    <col min="7" max="7" width="10.140625" style="1035" customWidth="1"/>
    <col min="8" max="8" width="9.140625" style="1035" bestFit="1"/>
    <col min="9" max="9" width="7.85546875" style="1035" customWidth="1"/>
    <col min="10" max="10" width="9.140625" style="1035" bestFit="1"/>
    <col min="11" max="11" width="9.28515625" style="1035" customWidth="1"/>
    <col min="12" max="12" width="8.7109375" style="1035" customWidth="1"/>
    <col min="13" max="13" width="9.28515625" style="1035" customWidth="1"/>
    <col min="14" max="14" width="10.28515625" style="1035" customWidth="1"/>
    <col min="15" max="16" width="7.140625" style="1035" customWidth="1"/>
    <col min="17" max="18" width="9.140625" style="1035"/>
    <col min="19" max="19" width="7.140625" style="1035" customWidth="1"/>
    <col min="20" max="20" width="7.42578125" style="1035" customWidth="1"/>
    <col min="21" max="21" width="7.7109375" style="1035" customWidth="1"/>
    <col min="22" max="22" width="7.5703125" style="1035" customWidth="1"/>
    <col min="23" max="23" width="6.85546875" style="1035" customWidth="1"/>
    <col min="24" max="24" width="8" style="1035" customWidth="1"/>
    <col min="25" max="27" width="9.140625" style="1035"/>
    <col min="28" max="28" width="7.28515625" style="1035" customWidth="1"/>
    <col min="29" max="29" width="7" style="1035" customWidth="1"/>
    <col min="30" max="30" width="7.28515625" style="1035" customWidth="1"/>
    <col min="31" max="31" width="8.5703125" style="1035" customWidth="1"/>
    <col min="32" max="32" width="7.28515625" style="1035" customWidth="1"/>
    <col min="33" max="33" width="6.28515625" style="1035" customWidth="1"/>
    <col min="34" max="34" width="8.85546875" style="1035" customWidth="1"/>
    <col min="35" max="35" width="7.5703125" style="1035" customWidth="1"/>
    <col min="36" max="36" width="6.7109375" style="1035" customWidth="1"/>
    <col min="37" max="37" width="10" style="1035" customWidth="1"/>
    <col min="38" max="38" width="9.140625" style="1035"/>
    <col min="39" max="39" width="6.42578125" style="1035" customWidth="1"/>
    <col min="40" max="40" width="9.140625" style="1035"/>
    <col min="41" max="41" width="14" style="1035" customWidth="1"/>
    <col min="42" max="42" width="10" style="1035" customWidth="1"/>
    <col min="43" max="43" width="8" style="1035" customWidth="1"/>
    <col min="44" max="44" width="6.85546875" style="1035" customWidth="1"/>
    <col min="45" max="45" width="7.85546875" style="1035" customWidth="1"/>
    <col min="46" max="16384" width="9.140625" style="1035"/>
  </cols>
  <sheetData>
    <row r="1" spans="1:41" ht="15.75">
      <c r="A1" s="1032" t="s">
        <v>253</v>
      </c>
      <c r="B1" s="1032"/>
      <c r="C1" s="1032"/>
      <c r="D1" s="1032"/>
      <c r="E1" s="1032"/>
      <c r="F1" s="1032"/>
      <c r="G1" s="1032"/>
      <c r="H1" s="1032"/>
      <c r="I1" s="1033"/>
      <c r="J1" s="1033"/>
      <c r="K1" s="1033"/>
      <c r="L1" s="1033"/>
      <c r="M1" s="1033"/>
      <c r="N1" s="1033"/>
      <c r="O1" s="1033"/>
      <c r="P1" s="1033"/>
      <c r="Q1" s="1033"/>
      <c r="R1" s="1033"/>
      <c r="S1" s="1033"/>
      <c r="T1" s="1033"/>
      <c r="U1" s="1033"/>
      <c r="V1" s="1034"/>
      <c r="W1" s="1034"/>
      <c r="X1" s="1034"/>
      <c r="Y1" s="1034"/>
      <c r="Z1" s="1034"/>
      <c r="AA1" s="1034"/>
      <c r="AB1" s="1034"/>
      <c r="AC1" s="1034"/>
      <c r="AD1" s="1034"/>
      <c r="AE1" s="1034"/>
      <c r="AF1" s="1034"/>
      <c r="AG1" s="1033"/>
      <c r="AH1" s="1033"/>
      <c r="AI1" s="1033"/>
      <c r="AJ1" s="1033"/>
      <c r="AK1" s="1033"/>
      <c r="AL1" s="1033"/>
      <c r="AM1" s="1033"/>
      <c r="AN1" s="1033"/>
      <c r="AO1" s="1033"/>
    </row>
    <row r="2" spans="1:41" s="1039" customFormat="1" ht="6.75" customHeight="1">
      <c r="A2" s="1036"/>
      <c r="B2" s="1036"/>
      <c r="C2" s="1036"/>
      <c r="D2" s="1036"/>
      <c r="E2" s="1036"/>
      <c r="F2" s="1036"/>
      <c r="G2" s="1036"/>
      <c r="H2" s="1036"/>
      <c r="I2" s="1037"/>
      <c r="J2" s="1037"/>
      <c r="K2" s="1037"/>
      <c r="L2" s="1037"/>
      <c r="M2" s="1037"/>
      <c r="N2" s="1037"/>
      <c r="O2" s="1037"/>
      <c r="P2" s="1037"/>
      <c r="Q2" s="1037"/>
      <c r="R2" s="1037"/>
      <c r="S2" s="1037"/>
      <c r="T2" s="1037"/>
      <c r="U2" s="1037"/>
      <c r="V2" s="1038"/>
      <c r="W2" s="1038"/>
      <c r="X2" s="1038"/>
      <c r="Y2" s="1038"/>
      <c r="Z2" s="1038"/>
      <c r="AA2" s="1038"/>
      <c r="AB2" s="1038"/>
      <c r="AC2" s="1038"/>
      <c r="AD2" s="1038"/>
      <c r="AE2" s="1038"/>
      <c r="AF2" s="1038"/>
      <c r="AG2" s="1037"/>
      <c r="AH2" s="1037"/>
      <c r="AI2" s="1037"/>
      <c r="AJ2" s="1037"/>
      <c r="AK2" s="1037"/>
      <c r="AL2" s="1037"/>
      <c r="AM2" s="1037"/>
      <c r="AN2" s="1037"/>
      <c r="AO2" s="1037"/>
    </row>
    <row r="3" spans="1:41" ht="15.75">
      <c r="A3" s="1040" t="s">
        <v>254</v>
      </c>
      <c r="B3" s="1041" t="s">
        <v>255</v>
      </c>
      <c r="C3" s="1042"/>
      <c r="D3" s="1042"/>
      <c r="E3" s="1042"/>
      <c r="F3" s="1042"/>
      <c r="G3" s="1042"/>
      <c r="H3" s="1042"/>
      <c r="I3" s="1043"/>
      <c r="J3" s="1044" t="s">
        <v>256</v>
      </c>
      <c r="K3" s="1045"/>
      <c r="L3" s="1046"/>
      <c r="M3" s="1046"/>
      <c r="N3" s="1043"/>
      <c r="O3" s="1044" t="s">
        <v>257</v>
      </c>
      <c r="P3" s="1046"/>
      <c r="Q3" s="1046"/>
      <c r="R3" s="1046"/>
      <c r="S3" s="1043"/>
    </row>
    <row r="4" spans="1:41" ht="15.75">
      <c r="A4" s="1047" t="s">
        <v>258</v>
      </c>
      <c r="B4" s="1048" t="s">
        <v>259</v>
      </c>
      <c r="C4" s="1049" t="s">
        <v>260</v>
      </c>
      <c r="D4" s="1049" t="s">
        <v>230</v>
      </c>
      <c r="E4" s="1049" t="s">
        <v>261</v>
      </c>
      <c r="F4" s="1049" t="s">
        <v>262</v>
      </c>
      <c r="G4" s="1399" t="s">
        <v>478</v>
      </c>
      <c r="H4" s="1049" t="s">
        <v>263</v>
      </c>
      <c r="I4" s="1051" t="s">
        <v>264</v>
      </c>
      <c r="J4" s="1048" t="s">
        <v>260</v>
      </c>
      <c r="K4" s="1049" t="s">
        <v>265</v>
      </c>
      <c r="L4" s="1049" t="s">
        <v>261</v>
      </c>
      <c r="M4" s="1399" t="s">
        <v>306</v>
      </c>
      <c r="N4" s="1052" t="s">
        <v>307</v>
      </c>
      <c r="O4" s="1048" t="s">
        <v>265</v>
      </c>
      <c r="P4" s="1049" t="s">
        <v>260</v>
      </c>
      <c r="Q4" s="1049" t="s">
        <v>261</v>
      </c>
      <c r="R4" s="1399" t="s">
        <v>306</v>
      </c>
      <c r="S4" s="1399" t="s">
        <v>307</v>
      </c>
      <c r="V4" s="1035">
        <f>O5/2</f>
        <v>150</v>
      </c>
    </row>
    <row r="5" spans="1:41">
      <c r="A5" s="1053" t="s">
        <v>266</v>
      </c>
      <c r="B5" s="1054">
        <v>355</v>
      </c>
      <c r="C5" s="1055">
        <v>8</v>
      </c>
      <c r="D5" s="1055">
        <f>B5-C5*2</f>
        <v>339</v>
      </c>
      <c r="E5" s="1056">
        <f>3.14159*(B5*B5-D5*D5)/400</f>
        <v>87.210538400000004</v>
      </c>
      <c r="F5" s="1056">
        <f>100*E5*7.85/1000</f>
        <v>68.460272644</v>
      </c>
      <c r="G5" s="1057">
        <f>3.14159*(B5*B5*B5*B5/10000-D5*D5*D5*D5/10000)/64</f>
        <v>13133.143990829005</v>
      </c>
      <c r="H5" s="1057">
        <f>G5/B5*20</f>
        <v>739.89543610304258</v>
      </c>
      <c r="I5" s="1058">
        <f>SQRT(G5/E5)</f>
        <v>12.271562655179659</v>
      </c>
      <c r="J5" s="1054">
        <v>8</v>
      </c>
      <c r="K5" s="1055">
        <v>200</v>
      </c>
      <c r="L5" s="1059">
        <f>K5*J5/100</f>
        <v>16</v>
      </c>
      <c r="M5" s="1060">
        <f>J5*K5*K5*K5/120000</f>
        <v>533.33333333333337</v>
      </c>
      <c r="N5" s="1061">
        <f>K5*J5*J5*J5/120000</f>
        <v>0.85333333333333339</v>
      </c>
      <c r="O5" s="1054">
        <v>300</v>
      </c>
      <c r="P5" s="1059">
        <v>10</v>
      </c>
      <c r="Q5" s="1055">
        <f>P5*O5/100</f>
        <v>30</v>
      </c>
      <c r="R5" s="1062">
        <f>O5*P5*P5*P5/120000</f>
        <v>2.5</v>
      </c>
      <c r="S5" s="1063">
        <f>P5*O5*O5*O5/120000</f>
        <v>2250</v>
      </c>
      <c r="U5" s="1016"/>
      <c r="V5" s="1035">
        <f>V4*792/6413</f>
        <v>18.524871355060036</v>
      </c>
    </row>
    <row r="6" spans="1:41">
      <c r="A6" s="1053" t="s">
        <v>267</v>
      </c>
      <c r="B6" s="1059">
        <f>B5</f>
        <v>355</v>
      </c>
      <c r="C6" s="1059">
        <v>5.6</v>
      </c>
      <c r="D6" s="1059">
        <f>B6-C6*2</f>
        <v>343.8</v>
      </c>
      <c r="E6" s="1056">
        <f>3.14159*(B6*B6-D6*D6)/400</f>
        <v>61.469606575999975</v>
      </c>
      <c r="F6" s="1056">
        <f>100*E6*7.85/1000</f>
        <v>48.253641162159987</v>
      </c>
      <c r="G6" s="1057">
        <f>3.14159*(B6*B6*B6*B6/10000-D6*D6*D6*D6/10000)/64</f>
        <v>9382.6992333983198</v>
      </c>
      <c r="H6" s="1057">
        <f>G6/B6*20</f>
        <v>528.60277371258144</v>
      </c>
      <c r="I6" s="1058">
        <f>SQRT(G6/E6)</f>
        <v>12.354742004590777</v>
      </c>
      <c r="J6" s="1054">
        <f>J5</f>
        <v>8</v>
      </c>
      <c r="K6" s="1055">
        <f>D13*10-P6-B6</f>
        <v>173.7146448774356</v>
      </c>
      <c r="L6" s="1059">
        <f>K6*J6/100</f>
        <v>13.897171590194848</v>
      </c>
      <c r="M6" s="1060">
        <f>J6*K6*K6*K6/120000</f>
        <v>349.47654979139679</v>
      </c>
      <c r="N6" s="1064">
        <f>K6*J6*J6*J6/120000</f>
        <v>0.74118248481039195</v>
      </c>
      <c r="O6" s="1054">
        <f>O5</f>
        <v>300</v>
      </c>
      <c r="P6" s="1059">
        <f>P5</f>
        <v>10</v>
      </c>
      <c r="Q6" s="1055">
        <f>P6*O6/100</f>
        <v>30</v>
      </c>
      <c r="R6" s="1062">
        <f>O6*P6*P6*P6/120000</f>
        <v>2.5</v>
      </c>
      <c r="S6" s="1063">
        <f>P6*O6*O6*O6/120000</f>
        <v>2250</v>
      </c>
    </row>
    <row r="7" spans="1:41">
      <c r="A7" s="1053" t="s">
        <v>268</v>
      </c>
      <c r="B7" s="1059">
        <f>B6</f>
        <v>355</v>
      </c>
      <c r="C7" s="1059">
        <f>C6</f>
        <v>5.6</v>
      </c>
      <c r="D7" s="1059">
        <f>B7-C7*2</f>
        <v>343.8</v>
      </c>
      <c r="E7" s="1056">
        <f>3.14159*(B7*B7-D7*D7)/400</f>
        <v>61.469606575999975</v>
      </c>
      <c r="F7" s="1056">
        <f>100*E7*7.85/1000</f>
        <v>48.253641162159987</v>
      </c>
      <c r="G7" s="1057">
        <f>3.14159*(B7*B7*B7*B7/10000-D7*D7*D7*D7/10000)/64</f>
        <v>9382.6992333983198</v>
      </c>
      <c r="H7" s="1057">
        <f>G7/B7*20</f>
        <v>528.60277371258144</v>
      </c>
      <c r="I7" s="1058">
        <f>SQRT(G7/E7)</f>
        <v>12.354742004590777</v>
      </c>
      <c r="J7" s="1054">
        <v>4</v>
      </c>
      <c r="K7" s="1059">
        <f>D14*10-P7-B7</f>
        <v>160</v>
      </c>
      <c r="L7" s="1059">
        <f>K7*J7/100</f>
        <v>6.4</v>
      </c>
      <c r="M7" s="1060">
        <f>J7*K7*K7*K7/120000</f>
        <v>136.53333333333333</v>
      </c>
      <c r="N7" s="1064">
        <f>K7*J7*J7*J7/120000</f>
        <v>8.533333333333333E-2</v>
      </c>
      <c r="O7" s="1054">
        <f>O6</f>
        <v>300</v>
      </c>
      <c r="P7" s="1059">
        <v>5</v>
      </c>
      <c r="Q7" s="1055">
        <f>P7*O7/100</f>
        <v>15</v>
      </c>
      <c r="R7" s="1062">
        <f>O7*P7*P7*P7/120000</f>
        <v>0.3125</v>
      </c>
      <c r="S7" s="1063">
        <f>P7*O7*O7*O7/120000</f>
        <v>1125</v>
      </c>
    </row>
    <row r="8" spans="1:41">
      <c r="A8" s="1065" t="s">
        <v>269</v>
      </c>
      <c r="B8" s="1066">
        <f>B7</f>
        <v>355</v>
      </c>
      <c r="C8" s="1066">
        <f>C7</f>
        <v>5.6</v>
      </c>
      <c r="D8" s="1066">
        <f>B8-C8*2</f>
        <v>343.8</v>
      </c>
      <c r="E8" s="1067">
        <f>3.14159*(B8*B8-D8*D8)/400</f>
        <v>61.469606575999975</v>
      </c>
      <c r="F8" s="1067">
        <f>100*E8*7.85/1000</f>
        <v>48.253641162159987</v>
      </c>
      <c r="G8" s="1068">
        <f>3.14159*(B8*B8*B8*B8/10000-D8*D8*D8*D8/10000)/64</f>
        <v>9382.6992333983198</v>
      </c>
      <c r="H8" s="1068">
        <f>G8/B8*20</f>
        <v>528.60277371258144</v>
      </c>
      <c r="I8" s="1069">
        <f>SQRT(G8/E8)</f>
        <v>12.354742004590777</v>
      </c>
      <c r="J8" s="1070">
        <v>8</v>
      </c>
      <c r="K8" s="1066">
        <v>100</v>
      </c>
      <c r="L8" s="1066">
        <f>K8*J8/100</f>
        <v>8</v>
      </c>
      <c r="M8" s="1071">
        <f>J8*K8*K8*K8/120000</f>
        <v>66.666666666666671</v>
      </c>
      <c r="N8" s="1072">
        <f>K8*J8*J8*J8/120000</f>
        <v>0.42666666666666669</v>
      </c>
      <c r="O8" s="1070">
        <v>100</v>
      </c>
      <c r="P8" s="1066">
        <v>5</v>
      </c>
      <c r="Q8" s="1055">
        <f>P8*O8/100</f>
        <v>5</v>
      </c>
      <c r="R8" s="1062">
        <f>O8*P8*P8*P8/120000</f>
        <v>0.10416666666666667</v>
      </c>
      <c r="S8" s="1063">
        <f>P8*O8*O8*O8/120000</f>
        <v>41.666666666666664</v>
      </c>
    </row>
    <row r="10" spans="1:41" ht="15.75">
      <c r="A10" s="1040" t="s">
        <v>254</v>
      </c>
      <c r="B10" s="1044" t="s">
        <v>270</v>
      </c>
      <c r="C10" s="1045"/>
      <c r="D10" s="1045"/>
      <c r="E10" s="1046"/>
      <c r="F10" s="1046"/>
      <c r="G10" s="1046"/>
      <c r="H10" s="1046"/>
      <c r="I10" s="1046"/>
      <c r="J10" s="1046"/>
      <c r="K10" s="1046"/>
      <c r="L10" s="1046"/>
      <c r="M10" s="1046"/>
      <c r="N10" s="1043"/>
    </row>
    <row r="11" spans="1:41" ht="15.75">
      <c r="A11" s="1047" t="s">
        <v>258</v>
      </c>
      <c r="B11" s="1048" t="s">
        <v>261</v>
      </c>
      <c r="C11" s="1049" t="s">
        <v>262</v>
      </c>
      <c r="D11" s="1049" t="s">
        <v>271</v>
      </c>
      <c r="E11" s="1049" t="s">
        <v>272</v>
      </c>
      <c r="F11" s="1049" t="s">
        <v>273</v>
      </c>
      <c r="G11" s="1399" t="s">
        <v>306</v>
      </c>
      <c r="H11" s="1049" t="s">
        <v>274</v>
      </c>
      <c r="I11" s="1049" t="s">
        <v>1875</v>
      </c>
      <c r="J11" s="1399" t="s">
        <v>307</v>
      </c>
      <c r="K11" s="1049" t="s">
        <v>275</v>
      </c>
      <c r="L11" s="1049" t="s">
        <v>1876</v>
      </c>
      <c r="M11" s="1073" t="s">
        <v>276</v>
      </c>
      <c r="N11" s="1074"/>
      <c r="P11" s="978" t="s">
        <v>143</v>
      </c>
    </row>
    <row r="12" spans="1:41">
      <c r="A12" s="1053" t="s">
        <v>266</v>
      </c>
      <c r="B12" s="1075">
        <f>Q5+L5+E5</f>
        <v>133.21053840000002</v>
      </c>
      <c r="C12" s="1055">
        <f>B12*0.785</f>
        <v>104.57027264400001</v>
      </c>
      <c r="D12" s="1056">
        <f>(B5+K5+P5)/10</f>
        <v>56.5</v>
      </c>
      <c r="E12" s="1056">
        <f>(P5*O5*(P5/2+K5+B5)/100+L5*(K5/2+B5)+E5*B5/2)/(B12*10)</f>
        <v>29.697252965986056</v>
      </c>
      <c r="F12" s="1056">
        <f>D12-E12</f>
        <v>26.802747034013944</v>
      </c>
      <c r="G12" s="1057">
        <f>R5+M5+G5+Q5*(F12-P5/20)*(F12-P5/20)+L5*(F12-P5/10-K5/20)*(F12-P5/10-K5/20)+E5*(E12-B5/20)*(E12-B5/20)</f>
        <v>50867.799228795528</v>
      </c>
      <c r="H12" s="1076">
        <f>G12/E12</f>
        <v>1712.8789415996589</v>
      </c>
      <c r="I12" s="1077">
        <f>SQRT(G12/B12)</f>
        <v>19.541242870517305</v>
      </c>
      <c r="J12" s="1057">
        <f>S5+N5+G5</f>
        <v>15383.997324162337</v>
      </c>
      <c r="K12" s="1076">
        <f>J12/(B5/20)</f>
        <v>866.70407460069509</v>
      </c>
      <c r="L12" s="1077">
        <f>SQRT(J12/B12)</f>
        <v>10.746457018964843</v>
      </c>
      <c r="M12" s="1078">
        <f>((3.14159*B5-J5)/1000+2*K5/1000+2*O5/1000-P5/1000)*1000/C12</f>
        <v>20.05602928032852</v>
      </c>
      <c r="N12" s="1079"/>
      <c r="P12" s="1011">
        <f>1700/L12</f>
        <v>158.19167163651423</v>
      </c>
    </row>
    <row r="13" spans="1:41">
      <c r="A13" s="1053" t="s">
        <v>267</v>
      </c>
      <c r="B13" s="1075">
        <f>Q6+L6+E6</f>
        <v>105.36677816619482</v>
      </c>
      <c r="C13" s="1055">
        <f>B13*0.785</f>
        <v>82.71292086046293</v>
      </c>
      <c r="D13" s="1056">
        <f>D14+794*O5/20/6364</f>
        <v>53.871464487743559</v>
      </c>
      <c r="E13" s="1056">
        <f>(P6*O6*(P6/2+K6+B6)/100+L6*(K6/2+B6)+E6*B6/2)/(B13*10)</f>
        <v>31.378829378011346</v>
      </c>
      <c r="F13" s="1056">
        <f>D13-E13</f>
        <v>22.492635109732213</v>
      </c>
      <c r="G13" s="1057">
        <f>R6+M6+G6+Q6*(F13-P6/20)*(F13-P6/20)+L6*(F13-P6/10-K6/20)*(F13-P6/10-K6/20)+E6*(E13-B6/20)*(E13-B6/20)</f>
        <v>37941.996298761696</v>
      </c>
      <c r="H13" s="1076">
        <f>G13/E13</f>
        <v>1209.1590747916644</v>
      </c>
      <c r="I13" s="1077">
        <f>SQRT(G13/B13)</f>
        <v>18.97615584079422</v>
      </c>
      <c r="J13" s="1057">
        <f>S6+N6+G6</f>
        <v>11633.440415883131</v>
      </c>
      <c r="K13" s="1076">
        <f>J13/(B6/20)</f>
        <v>655.40509385257076</v>
      </c>
      <c r="L13" s="1077">
        <f>SQRT(J13/B13)</f>
        <v>10.507568612789074</v>
      </c>
      <c r="M13" s="1078">
        <f>((3.14159*B6-J6)/1000+2*K6/1000+2*O6/1000-P6/1000)*1000/C13</f>
        <v>24.720366763546881</v>
      </c>
      <c r="N13" s="1079"/>
    </row>
    <row r="14" spans="1:41">
      <c r="A14" s="1053" t="s">
        <v>268</v>
      </c>
      <c r="B14" s="1075">
        <f>Q7+L7+E7</f>
        <v>82.869606575999967</v>
      </c>
      <c r="C14" s="1055">
        <f>B14*0.785</f>
        <v>65.052641162159972</v>
      </c>
      <c r="D14" s="1056">
        <f>59.5-7.5</f>
        <v>52</v>
      </c>
      <c r="E14" s="1056">
        <f>(P7*O7*(P7/2+K7+B7)/100+L7*(K7/2+B7)+E7*B7/2)/(B14*10)</f>
        <v>25.892913039910948</v>
      </c>
      <c r="F14" s="1056">
        <f>D14-E14</f>
        <v>26.107086960089052</v>
      </c>
      <c r="G14" s="1057">
        <f>R7+M7+G7+Q7*(F14-P7/20)*(F14-P7/20)+L7*(F14-P7/10-K7/20)*(F14-P7/10-K7/20)+E7*(E14-B7/20)*(E14-B7/20)</f>
        <v>25608.307347399747</v>
      </c>
      <c r="H14" s="1076">
        <f>G14/F14</f>
        <v>980.89485765103518</v>
      </c>
      <c r="I14" s="1077">
        <f>SQRT(G14/B14)</f>
        <v>17.578944631367388</v>
      </c>
      <c r="J14" s="1057">
        <f>S7+N7+G7</f>
        <v>10507.784566731654</v>
      </c>
      <c r="K14" s="1076">
        <f>J14/(B7/20)</f>
        <v>591.98786291445936</v>
      </c>
      <c r="L14" s="1077">
        <f>SQRT(J14/B14)</f>
        <v>11.260506913937029</v>
      </c>
      <c r="M14" s="1078">
        <f>((3.14159*B7-J7)/1000+2*K7/1000+2*O7/1000-P7/1000)*1000/C14</f>
        <v>31.148073526315855</v>
      </c>
      <c r="N14" s="1079"/>
    </row>
    <row r="15" spans="1:41">
      <c r="A15" s="1065" t="s">
        <v>269</v>
      </c>
      <c r="B15" s="1080">
        <f>Q8+L8+E8</f>
        <v>74.469606575999975</v>
      </c>
      <c r="C15" s="1081">
        <f>B15*0.785</f>
        <v>58.458641162159985</v>
      </c>
      <c r="D15" s="1067">
        <f>B8/10</f>
        <v>35.5</v>
      </c>
      <c r="E15" s="1067">
        <f>(P8*O8*(P8/2+K8+B8)/100+L8*(K8/2+B8)+E8*B8/2)/(B15*10)</f>
        <v>22.073911657454275</v>
      </c>
      <c r="F15" s="1067">
        <f>E15</f>
        <v>22.073911657454275</v>
      </c>
      <c r="G15" s="1068">
        <f>R8+M8+G8+Q8*(F15-P8/20)*(F15-P8/20)+L8*(F15-P8/10-K8/20)*(F15-P8/10-K8/20)+E8*(E15-B8/20)*(E15-B8/20)</f>
        <v>15177.690845347464</v>
      </c>
      <c r="H15" s="1082">
        <f>G15/F15</f>
        <v>687.58501351626171</v>
      </c>
      <c r="I15" s="1083">
        <f>SQRT(G15/B15)</f>
        <v>14.276222944148788</v>
      </c>
      <c r="J15" s="1068">
        <f>S8+N8+G8</f>
        <v>9424.792566731654</v>
      </c>
      <c r="K15" s="1082">
        <f>J15/(B8/20)</f>
        <v>530.97422911164244</v>
      </c>
      <c r="L15" s="1083">
        <f>SQRT(J15/B15)</f>
        <v>11.249840640469577</v>
      </c>
      <c r="M15" s="1078">
        <f>((3.14159*B8-J8)/1000+2*K8/1000+2*O8/1000-P8/1000)*1000/C15</f>
        <v>25.69790231409636</v>
      </c>
      <c r="N15" s="1084"/>
    </row>
    <row r="16" spans="1:41" s="1039" customFormat="1">
      <c r="B16" s="1085"/>
      <c r="C16" s="1085"/>
      <c r="D16" s="1085"/>
      <c r="E16" s="1086"/>
      <c r="F16" s="1086"/>
      <c r="G16" s="1087"/>
      <c r="H16" s="1088"/>
      <c r="I16" s="1089"/>
      <c r="J16" s="1087"/>
      <c r="K16" s="1088"/>
      <c r="L16" s="1089"/>
      <c r="M16" s="1090"/>
      <c r="N16" s="1090"/>
    </row>
    <row r="17" spans="1:24">
      <c r="L17" s="1091" t="s">
        <v>277</v>
      </c>
      <c r="M17" s="1092"/>
      <c r="N17" s="1093"/>
    </row>
    <row r="18" spans="1:24" ht="15.75">
      <c r="A18" s="1040" t="s">
        <v>254</v>
      </c>
      <c r="B18" s="1044" t="s">
        <v>278</v>
      </c>
      <c r="C18" s="1094"/>
      <c r="D18" s="1094" t="s">
        <v>1884</v>
      </c>
      <c r="E18" s="1095"/>
      <c r="F18" s="1096"/>
      <c r="G18" s="1045" t="s">
        <v>279</v>
      </c>
      <c r="H18" s="1045"/>
      <c r="I18" s="1045" t="s">
        <v>280</v>
      </c>
      <c r="J18" s="1045"/>
      <c r="K18" s="1097"/>
      <c r="L18" s="1098" t="s">
        <v>281</v>
      </c>
      <c r="M18" s="1099" t="s">
        <v>282</v>
      </c>
      <c r="N18" s="1100" t="s">
        <v>283</v>
      </c>
    </row>
    <row r="19" spans="1:24" ht="15.75">
      <c r="A19" s="1047" t="s">
        <v>258</v>
      </c>
      <c r="B19" s="1048" t="s">
        <v>284</v>
      </c>
      <c r="C19" s="1101" t="s">
        <v>285</v>
      </c>
      <c r="D19" s="1101" t="s">
        <v>286</v>
      </c>
      <c r="E19" s="1049" t="s">
        <v>1705</v>
      </c>
      <c r="F19" s="1049" t="s">
        <v>155</v>
      </c>
      <c r="G19" s="1049" t="s">
        <v>287</v>
      </c>
      <c r="H19" s="1049" t="s">
        <v>288</v>
      </c>
      <c r="I19" s="1049" t="s">
        <v>289</v>
      </c>
      <c r="J19" s="1049" t="s">
        <v>290</v>
      </c>
      <c r="K19" s="1051" t="s">
        <v>291</v>
      </c>
      <c r="L19" s="1102" t="s">
        <v>292</v>
      </c>
      <c r="M19" s="1103" t="s">
        <v>293</v>
      </c>
      <c r="N19" s="1104" t="s">
        <v>294</v>
      </c>
    </row>
    <row r="20" spans="1:24">
      <c r="A20" s="1053" t="s">
        <v>266</v>
      </c>
      <c r="B20" s="1105">
        <v>1680</v>
      </c>
      <c r="C20" s="1106">
        <f>B20/2</f>
        <v>840</v>
      </c>
      <c r="D20" s="1106">
        <f>B20/L12</f>
        <v>156.33059314667287</v>
      </c>
      <c r="E20" s="1076">
        <f>C20/I12</f>
        <v>42.986006855651098</v>
      </c>
      <c r="F20" s="1077">
        <v>1.37</v>
      </c>
      <c r="G20" s="1400">
        <v>785</v>
      </c>
      <c r="H20" s="1400">
        <v>1035</v>
      </c>
      <c r="I20" s="1057">
        <f>0.9*G20*100000/H12</f>
        <v>41246.347470428889</v>
      </c>
      <c r="J20" s="1057">
        <f>F20*H20*1000/B12</f>
        <v>10644.428113804544</v>
      </c>
      <c r="K20" s="1108">
        <f>SUM(I20:J20)</f>
        <v>51890.77558423343</v>
      </c>
      <c r="L20" s="1109">
        <f>K20*100/(175*1400)</f>
        <v>21.179908401727932</v>
      </c>
      <c r="M20" s="1110">
        <f>10000*(M12*C12/1000)/B12</f>
        <v>157.43982985057883</v>
      </c>
      <c r="N20" s="1111">
        <v>500</v>
      </c>
    </row>
    <row r="21" spans="1:24">
      <c r="A21" s="1053" t="s">
        <v>267</v>
      </c>
      <c r="B21" s="1105">
        <f>B20</f>
        <v>1680</v>
      </c>
      <c r="C21" s="1106">
        <v>753.7</v>
      </c>
      <c r="D21" s="1106">
        <f>B21/L13</f>
        <v>159.88475183071583</v>
      </c>
      <c r="E21" s="1076">
        <f>C21/I13</f>
        <v>39.718265718482577</v>
      </c>
      <c r="F21" s="1077">
        <v>1.1499999999999999</v>
      </c>
      <c r="G21" s="1107">
        <v>12.41</v>
      </c>
      <c r="H21" s="1107">
        <v>39.6</v>
      </c>
      <c r="I21" s="1057">
        <f>0.9*G21*100000/H13</f>
        <v>923.69980367755966</v>
      </c>
      <c r="J21" s="1057">
        <f>F21*H21*1000/B13</f>
        <v>432.20454105723763</v>
      </c>
      <c r="K21" s="1108">
        <f>SUM(I21:J21)</f>
        <v>1355.9043447347972</v>
      </c>
      <c r="L21" s="1112">
        <f>K21*100/(175*1400)</f>
        <v>0.55343034478971309</v>
      </c>
      <c r="M21" s="1113">
        <f>10000*(M13*C13/1000)/B13</f>
        <v>194.054879093843</v>
      </c>
      <c r="N21" s="1114">
        <v>500</v>
      </c>
    </row>
    <row r="22" spans="1:24">
      <c r="A22" s="1053" t="s">
        <v>268</v>
      </c>
      <c r="B22" s="1105">
        <f>B21</f>
        <v>1680</v>
      </c>
      <c r="C22" s="1106">
        <f>C20</f>
        <v>840</v>
      </c>
      <c r="D22" s="1106">
        <f>B22/L14</f>
        <v>149.19399391520102</v>
      </c>
      <c r="E22" s="1076">
        <f>C22/I14</f>
        <v>47.784438577793061</v>
      </c>
      <c r="F22" s="1077">
        <v>1.1200000000000001</v>
      </c>
      <c r="G22" s="1107">
        <v>9.1999999999999993</v>
      </c>
      <c r="H22" s="1107">
        <v>0.36</v>
      </c>
      <c r="I22" s="1057">
        <f>0.9*G22*100000/H14</f>
        <v>844.12716973848239</v>
      </c>
      <c r="J22" s="1057">
        <f>F22*H22*1000/B14</f>
        <v>4.865475011399071</v>
      </c>
      <c r="K22" s="1108">
        <f>SUM(I22:J22)</f>
        <v>848.99264474988149</v>
      </c>
      <c r="L22" s="1115">
        <f>K22*100/(175*1400)</f>
        <v>0.3465276101019924</v>
      </c>
      <c r="M22" s="1116">
        <f>10000*(M14*C14/1000)/B14</f>
        <v>244.51237718157947</v>
      </c>
      <c r="N22" s="1117">
        <v>500</v>
      </c>
    </row>
    <row r="23" spans="1:24">
      <c r="A23" s="1065" t="s">
        <v>269</v>
      </c>
      <c r="B23" s="1118">
        <v>75</v>
      </c>
      <c r="C23" s="1119">
        <v>75</v>
      </c>
      <c r="D23" s="1119">
        <f>B23/L15</f>
        <v>6.6667611032816767</v>
      </c>
      <c r="E23" s="1082">
        <f>C23/I15</f>
        <v>5.2534903870171963</v>
      </c>
      <c r="F23" s="1083">
        <v>1</v>
      </c>
      <c r="G23" s="1120">
        <v>4.5199999999999996</v>
      </c>
      <c r="H23" s="1120">
        <v>1.3</v>
      </c>
      <c r="I23" s="1068">
        <f>0.9*G23*100000/H15</f>
        <v>591.63593156234333</v>
      </c>
      <c r="J23" s="1068">
        <f>F23*H23*1000/B15</f>
        <v>17.45678619469118</v>
      </c>
      <c r="K23" s="1121">
        <f>SUM(I23:J23)</f>
        <v>609.09271775703451</v>
      </c>
      <c r="L23" s="1122">
        <f>K23*100/(175*1400)</f>
        <v>0.24860927255389162</v>
      </c>
      <c r="M23" s="1123">
        <v>5.6</v>
      </c>
      <c r="N23" s="1124">
        <v>655</v>
      </c>
    </row>
    <row r="27" spans="1:24" ht="15.75">
      <c r="A27" s="1032" t="s">
        <v>295</v>
      </c>
      <c r="B27" s="1032"/>
      <c r="C27" s="1032"/>
      <c r="D27" s="1032"/>
      <c r="E27" s="1032"/>
      <c r="F27" s="1032"/>
      <c r="G27" s="1032"/>
      <c r="H27" s="1032"/>
      <c r="I27" s="1033"/>
      <c r="J27" s="1033"/>
      <c r="K27" s="1033"/>
      <c r="L27" s="1033"/>
      <c r="M27" s="1033"/>
      <c r="N27" s="1033"/>
      <c r="O27" s="1033"/>
      <c r="P27" s="1033"/>
      <c r="Q27" s="1033"/>
      <c r="R27" s="1033"/>
      <c r="S27" s="1033"/>
      <c r="T27" s="1033"/>
      <c r="U27" s="1033"/>
      <c r="V27" s="1033"/>
      <c r="W27" s="1034"/>
      <c r="X27" s="1034"/>
    </row>
    <row r="28" spans="1:24" ht="15.75">
      <c r="A28" s="1036"/>
      <c r="B28" s="1036"/>
      <c r="C28" s="1036"/>
      <c r="D28" s="1036"/>
      <c r="E28" s="1036"/>
      <c r="F28" s="1036"/>
      <c r="G28" s="1036"/>
      <c r="H28" s="1036"/>
      <c r="I28" s="1037"/>
      <c r="J28" s="1037"/>
      <c r="K28" s="1037"/>
      <c r="L28" s="1037"/>
      <c r="M28" s="1037"/>
      <c r="N28" s="1037"/>
      <c r="O28" s="1037"/>
      <c r="P28" s="1037"/>
      <c r="Q28" s="1037"/>
      <c r="R28" s="1037"/>
      <c r="S28" s="1037"/>
      <c r="T28" s="1037"/>
      <c r="U28" s="1037"/>
      <c r="V28" s="1037"/>
      <c r="W28" s="1038"/>
      <c r="X28" s="1038"/>
    </row>
    <row r="29" spans="1:24" ht="15.75">
      <c r="A29" s="1040" t="s">
        <v>254</v>
      </c>
      <c r="B29" s="1041" t="s">
        <v>255</v>
      </c>
      <c r="C29" s="1042"/>
      <c r="D29" s="1042"/>
      <c r="E29" s="1042"/>
      <c r="F29" s="1042"/>
      <c r="G29" s="1042"/>
      <c r="H29" s="1042"/>
      <c r="I29" s="1043"/>
      <c r="J29" s="1044" t="s">
        <v>256</v>
      </c>
      <c r="K29" s="1045"/>
      <c r="L29" s="1046"/>
      <c r="M29" s="1046"/>
      <c r="N29" s="1043"/>
      <c r="O29" s="1044" t="s">
        <v>296</v>
      </c>
      <c r="P29" s="1094"/>
      <c r="Q29" s="1046"/>
      <c r="R29" s="1046"/>
      <c r="S29" s="1046"/>
      <c r="T29" s="1046"/>
      <c r="U29" s="1043"/>
    </row>
    <row r="30" spans="1:24" ht="15.75">
      <c r="A30" s="1047" t="s">
        <v>258</v>
      </c>
      <c r="B30" s="1048" t="s">
        <v>259</v>
      </c>
      <c r="C30" s="1049" t="s">
        <v>260</v>
      </c>
      <c r="D30" s="1049" t="s">
        <v>230</v>
      </c>
      <c r="E30" s="1049" t="s">
        <v>261</v>
      </c>
      <c r="F30" s="1049" t="s">
        <v>262</v>
      </c>
      <c r="G30" s="1050" t="s">
        <v>305</v>
      </c>
      <c r="H30" s="1049" t="s">
        <v>263</v>
      </c>
      <c r="I30" s="1051" t="s">
        <v>264</v>
      </c>
      <c r="J30" s="1048" t="s">
        <v>260</v>
      </c>
      <c r="K30" s="1049" t="s">
        <v>265</v>
      </c>
      <c r="L30" s="1049" t="s">
        <v>261</v>
      </c>
      <c r="M30" s="1050" t="s">
        <v>306</v>
      </c>
      <c r="N30" s="1052" t="s">
        <v>307</v>
      </c>
      <c r="O30" s="1048" t="s">
        <v>297</v>
      </c>
      <c r="P30" s="1101" t="s">
        <v>298</v>
      </c>
      <c r="Q30" s="1049" t="s">
        <v>299</v>
      </c>
      <c r="R30" s="1049" t="s">
        <v>300</v>
      </c>
      <c r="S30" s="1049" t="s">
        <v>261</v>
      </c>
      <c r="T30" s="1050" t="s">
        <v>306</v>
      </c>
      <c r="U30" s="1052" t="s">
        <v>307</v>
      </c>
      <c r="X30" s="1035">
        <f>O31/2</f>
        <v>40</v>
      </c>
    </row>
    <row r="31" spans="1:24">
      <c r="A31" s="1053">
        <v>1</v>
      </c>
      <c r="B31" s="1054">
        <v>89</v>
      </c>
      <c r="C31" s="1059">
        <v>3.6</v>
      </c>
      <c r="D31" s="1059">
        <f>B31-C31*2</f>
        <v>81.8</v>
      </c>
      <c r="E31" s="1056">
        <f>3.14159*(B31*B31-D31*D31)/400</f>
        <v>9.6585042960000003</v>
      </c>
      <c r="F31" s="1056">
        <f>100*E31*7.85/1000</f>
        <v>7.5819258723599994</v>
      </c>
      <c r="G31" s="1057">
        <f>3.14159*(B31*B31*B31*B31/10000-D31*D31*D31*D31/10000)/64</f>
        <v>88.207739258864464</v>
      </c>
      <c r="H31" s="1057">
        <f>G31/B31*20</f>
        <v>19.82196387839651</v>
      </c>
      <c r="I31" s="1058">
        <f>SQRT(G31/E31)</f>
        <v>3.0220274651299923</v>
      </c>
      <c r="J31" s="1054">
        <v>6</v>
      </c>
      <c r="K31" s="1055">
        <v>300</v>
      </c>
      <c r="L31" s="1056">
        <f>K31*J31/100</f>
        <v>18</v>
      </c>
      <c r="M31" s="1060">
        <f>J31*K31*K31*K31/120000</f>
        <v>1350</v>
      </c>
      <c r="N31" s="1061">
        <f>K31*J31*J31*J31/120000</f>
        <v>0.54</v>
      </c>
      <c r="O31" s="1054">
        <v>80</v>
      </c>
      <c r="P31" s="1125">
        <v>40</v>
      </c>
      <c r="Q31" s="1059">
        <v>3</v>
      </c>
      <c r="R31" s="1059">
        <v>4</v>
      </c>
      <c r="S31" s="1126">
        <f>(P31*O31-(P31-2*Q31)*(O31-2*R31))/100</f>
        <v>7.52</v>
      </c>
      <c r="T31" s="1126">
        <f>(P31*O31*O31*O31-(P31-2*Q31)*(O31-2*R31)*(O31-2*R31)*(O31-2*R31))/12/10000</f>
        <v>64.913066666666666</v>
      </c>
      <c r="U31" s="1126">
        <f>(O31*P31*P31*P31-(O31-2*R31)*(P31-2*Q31)*(P31-2*Q31)*(P31-2*Q31))/12/10000</f>
        <v>19.084266666666664</v>
      </c>
      <c r="W31" s="1016"/>
      <c r="X31" s="1035">
        <f>X30*792/6413</f>
        <v>4.9399656946826758</v>
      </c>
    </row>
    <row r="32" spans="1:24">
      <c r="A32" s="1053"/>
      <c r="B32" s="1059"/>
      <c r="C32" s="1059"/>
      <c r="D32" s="1059"/>
      <c r="E32" s="1056"/>
      <c r="F32" s="1056"/>
      <c r="G32" s="1057"/>
      <c r="H32" s="1057"/>
      <c r="I32" s="1058"/>
      <c r="J32" s="1054"/>
      <c r="K32" s="1055"/>
      <c r="L32" s="1059"/>
      <c r="M32" s="1060"/>
      <c r="N32" s="1064"/>
      <c r="O32" s="1054"/>
      <c r="P32" s="1125"/>
      <c r="Q32" s="1059"/>
      <c r="R32" s="1059"/>
      <c r="S32" s="1055"/>
      <c r="T32" s="1062"/>
      <c r="U32" s="1063"/>
    </row>
    <row r="33" spans="1:24">
      <c r="A33" s="1053"/>
      <c r="B33" s="1059"/>
      <c r="C33" s="1059"/>
      <c r="D33" s="1059"/>
      <c r="E33" s="1056"/>
      <c r="F33" s="1056"/>
      <c r="G33" s="1057"/>
      <c r="H33" s="1057"/>
      <c r="I33" s="1058"/>
      <c r="J33" s="1054"/>
      <c r="K33" s="1059"/>
      <c r="L33" s="1059"/>
      <c r="M33" s="1060"/>
      <c r="N33" s="1064"/>
      <c r="O33" s="1054"/>
      <c r="P33" s="1125"/>
      <c r="Q33" s="1059"/>
      <c r="R33" s="1059"/>
      <c r="S33" s="1055"/>
      <c r="T33" s="1062"/>
      <c r="U33" s="1063"/>
    </row>
    <row r="34" spans="1:24">
      <c r="A34" s="1065"/>
      <c r="B34" s="1066"/>
      <c r="C34" s="1066"/>
      <c r="D34" s="1066"/>
      <c r="E34" s="1067"/>
      <c r="F34" s="1067"/>
      <c r="G34" s="1068"/>
      <c r="H34" s="1068"/>
      <c r="I34" s="1069"/>
      <c r="J34" s="1070"/>
      <c r="K34" s="1066"/>
      <c r="L34" s="1066"/>
      <c r="M34" s="1071"/>
      <c r="N34" s="1072"/>
      <c r="O34" s="1070"/>
      <c r="P34" s="1127"/>
      <c r="Q34" s="1066"/>
      <c r="R34" s="1128"/>
      <c r="S34" s="1055"/>
      <c r="T34" s="1062"/>
      <c r="U34" s="1063"/>
    </row>
    <row r="36" spans="1:24" ht="15.75">
      <c r="A36" s="1040" t="s">
        <v>254</v>
      </c>
      <c r="B36" s="1044" t="s">
        <v>270</v>
      </c>
      <c r="C36" s="1045"/>
      <c r="D36" s="1045"/>
      <c r="E36" s="1046"/>
      <c r="F36" s="1046"/>
      <c r="G36" s="1046"/>
      <c r="H36" s="1046"/>
      <c r="I36" s="1046"/>
      <c r="J36" s="1046"/>
      <c r="K36" s="1046"/>
      <c r="L36" s="1046"/>
      <c r="M36" s="1046"/>
      <c r="N36" s="1043"/>
    </row>
    <row r="37" spans="1:24" ht="15.75">
      <c r="A37" s="1047" t="s">
        <v>258</v>
      </c>
      <c r="B37" s="1048" t="s">
        <v>261</v>
      </c>
      <c r="C37" s="1049" t="s">
        <v>262</v>
      </c>
      <c r="D37" s="1049" t="s">
        <v>271</v>
      </c>
      <c r="E37" s="1049" t="s">
        <v>272</v>
      </c>
      <c r="F37" s="1049" t="s">
        <v>273</v>
      </c>
      <c r="G37" s="1050" t="s">
        <v>306</v>
      </c>
      <c r="H37" s="1049" t="s">
        <v>301</v>
      </c>
      <c r="I37" s="1049" t="s">
        <v>1875</v>
      </c>
      <c r="J37" s="1050" t="s">
        <v>307</v>
      </c>
      <c r="K37" s="1049" t="s">
        <v>302</v>
      </c>
      <c r="L37" s="1049" t="s">
        <v>1876</v>
      </c>
      <c r="M37" s="1073" t="s">
        <v>276</v>
      </c>
      <c r="N37" s="1074"/>
    </row>
    <row r="38" spans="1:24">
      <c r="A38" s="1053">
        <f>A31</f>
        <v>1</v>
      </c>
      <c r="B38" s="1075">
        <f>S31+L31+E31</f>
        <v>35.178504296</v>
      </c>
      <c r="C38" s="1055">
        <f>B38*0.785</f>
        <v>27.61512587236</v>
      </c>
      <c r="D38" s="1056">
        <f>(B31+K31+O31)/10</f>
        <v>46.9</v>
      </c>
      <c r="E38" s="1056">
        <f>(S31*(O31/2+K31+B31)+L31*(K31/2+B31)+E31*B31/2)/(10*B38)</f>
        <v>22.621437722913242</v>
      </c>
      <c r="F38" s="1056">
        <f>D38-E38</f>
        <v>24.278562277086756</v>
      </c>
      <c r="G38" s="1057">
        <f>T31+M31+G31+S31*(F38-O31/20)*(F38-O31/20)+L31*((F38-O31/10-K31/20)*(F38-O31/10-K31/20))+E31*(E38-B31/20)*(E38-B31/20)</f>
        <v>7814.170070179578</v>
      </c>
      <c r="H38" s="1076">
        <f>G38/F38</f>
        <v>321.85472850483876</v>
      </c>
      <c r="I38" s="1077">
        <f>SQRT(G38/B38)</f>
        <v>14.903996653498892</v>
      </c>
      <c r="J38" s="1057">
        <f>U31+N31+G31</f>
        <v>107.83200592553112</v>
      </c>
      <c r="K38" s="1076">
        <f>J38/(B31/20)</f>
        <v>24.231911443939577</v>
      </c>
      <c r="L38" s="1077">
        <f>SQRT(J38/B38)</f>
        <v>1.750794432517605</v>
      </c>
      <c r="M38" s="1078">
        <f>((3.14159*B31-J31)/1000+2*K31/1000+2*(O31+P31)/1000-Q31/1000)*1000/C38</f>
        <v>40.217144587112017</v>
      </c>
      <c r="N38" s="1079"/>
    </row>
    <row r="39" spans="1:24">
      <c r="A39" s="1053"/>
      <c r="B39" s="1075"/>
      <c r="C39" s="1055"/>
      <c r="D39" s="1056"/>
      <c r="E39" s="1056"/>
      <c r="F39" s="1056"/>
      <c r="G39" s="1057"/>
      <c r="H39" s="1076"/>
      <c r="I39" s="1077"/>
      <c r="J39" s="1057"/>
      <c r="K39" s="1076"/>
      <c r="L39" s="1077"/>
      <c r="M39" s="1078"/>
      <c r="N39" s="1079"/>
    </row>
    <row r="40" spans="1:24">
      <c r="A40" s="1053"/>
      <c r="B40" s="1075"/>
      <c r="C40" s="1055"/>
      <c r="D40" s="1055"/>
      <c r="E40" s="1056"/>
      <c r="F40" s="1056"/>
      <c r="G40" s="1057"/>
      <c r="H40" s="1076"/>
      <c r="I40" s="1077"/>
      <c r="J40" s="1057"/>
      <c r="K40" s="1076"/>
      <c r="L40" s="1077"/>
      <c r="M40" s="1078"/>
      <c r="N40" s="1079"/>
    </row>
    <row r="41" spans="1:24">
      <c r="A41" s="1065"/>
      <c r="B41" s="1080"/>
      <c r="C41" s="1081"/>
      <c r="D41" s="1081"/>
      <c r="E41" s="1067"/>
      <c r="F41" s="1067"/>
      <c r="G41" s="1068"/>
      <c r="H41" s="1082"/>
      <c r="I41" s="1083"/>
      <c r="J41" s="1068"/>
      <c r="K41" s="1082"/>
      <c r="L41" s="1083"/>
      <c r="M41" s="1078"/>
      <c r="N41" s="1084"/>
    </row>
    <row r="42" spans="1:24">
      <c r="A42" s="1039"/>
      <c r="B42" s="1085"/>
      <c r="C42" s="1085"/>
      <c r="D42" s="1085"/>
      <c r="E42" s="1086"/>
      <c r="F42" s="1086"/>
      <c r="G42" s="1087"/>
      <c r="H42" s="1088"/>
      <c r="I42" s="1089"/>
      <c r="J42" s="1087"/>
      <c r="K42" s="1088"/>
      <c r="L42" s="1089"/>
      <c r="M42" s="1090"/>
      <c r="N42" s="1090"/>
      <c r="O42" s="1039"/>
      <c r="P42" s="1039"/>
      <c r="Q42" s="1039"/>
      <c r="R42" s="1039"/>
      <c r="S42" s="1039"/>
      <c r="T42" s="1039"/>
      <c r="U42" s="1039"/>
      <c r="V42" s="1039"/>
      <c r="W42" s="1039"/>
      <c r="X42" s="1039"/>
    </row>
    <row r="43" spans="1:24">
      <c r="L43" s="1091" t="s">
        <v>277</v>
      </c>
      <c r="M43" s="1092"/>
      <c r="N43" s="1093"/>
    </row>
    <row r="44" spans="1:24" ht="15.75">
      <c r="A44" s="1040" t="s">
        <v>254</v>
      </c>
      <c r="B44" s="1044" t="s">
        <v>278</v>
      </c>
      <c r="C44" s="1094"/>
      <c r="D44" s="1094" t="s">
        <v>1884</v>
      </c>
      <c r="E44" s="1095"/>
      <c r="F44" s="1096"/>
      <c r="G44" s="1045" t="s">
        <v>279</v>
      </c>
      <c r="H44" s="1045"/>
      <c r="I44" s="1045" t="s">
        <v>280</v>
      </c>
      <c r="J44" s="1045"/>
      <c r="K44" s="1097"/>
      <c r="L44" s="1098" t="s">
        <v>281</v>
      </c>
      <c r="M44" s="1099" t="s">
        <v>282</v>
      </c>
      <c r="N44" s="1100" t="s">
        <v>283</v>
      </c>
    </row>
    <row r="45" spans="1:24" ht="15.75">
      <c r="A45" s="1047" t="s">
        <v>258</v>
      </c>
      <c r="B45" s="1048" t="s">
        <v>284</v>
      </c>
      <c r="C45" s="1101" t="s">
        <v>285</v>
      </c>
      <c r="D45" s="1101" t="s">
        <v>286</v>
      </c>
      <c r="E45" s="1049" t="s">
        <v>1705</v>
      </c>
      <c r="F45" s="1049" t="s">
        <v>155</v>
      </c>
      <c r="G45" s="1049" t="s">
        <v>287</v>
      </c>
      <c r="H45" s="1049" t="s">
        <v>288</v>
      </c>
      <c r="I45" s="1049" t="s">
        <v>289</v>
      </c>
      <c r="J45" s="1049" t="s">
        <v>290</v>
      </c>
      <c r="K45" s="1051" t="s">
        <v>291</v>
      </c>
      <c r="L45" s="1102" t="s">
        <v>292</v>
      </c>
      <c r="M45" s="1103" t="s">
        <v>293</v>
      </c>
      <c r="N45" s="1104" t="s">
        <v>294</v>
      </c>
    </row>
    <row r="46" spans="1:24">
      <c r="A46" s="1053">
        <f>A38</f>
        <v>1</v>
      </c>
      <c r="B46" s="1105">
        <v>240</v>
      </c>
      <c r="C46" s="1106">
        <v>90</v>
      </c>
      <c r="D46" s="1106">
        <f>B46/L38</f>
        <v>137.08062782384172</v>
      </c>
      <c r="E46" s="1076">
        <f>C46/I38</f>
        <v>6.0386486988959049</v>
      </c>
      <c r="F46" s="1077"/>
      <c r="G46" s="1107">
        <v>1.5920000000000001</v>
      </c>
      <c r="H46" s="1107">
        <v>0</v>
      </c>
      <c r="I46" s="1057">
        <f>0.9*G46*100000/H38</f>
        <v>445.16978409980368</v>
      </c>
      <c r="J46" s="1057">
        <f>F46*H46*1000/B38</f>
        <v>0</v>
      </c>
      <c r="K46" s="1108">
        <f>SUM(I46:J46)</f>
        <v>445.16978409980368</v>
      </c>
      <c r="L46" s="1109">
        <f>K46*100/(175*1250)</f>
        <v>0.20350618701705309</v>
      </c>
      <c r="M46" s="1110">
        <f>10000*(M38*C38/1000)/B38</f>
        <v>315.70458500882933</v>
      </c>
      <c r="N46" s="1111"/>
    </row>
    <row r="47" spans="1:24">
      <c r="A47" s="1053">
        <f>A39</f>
        <v>0</v>
      </c>
      <c r="B47" s="1105"/>
      <c r="C47" s="1106"/>
      <c r="D47" s="1106"/>
      <c r="E47" s="1076"/>
      <c r="F47" s="1077"/>
      <c r="G47" s="1107"/>
      <c r="H47" s="1107"/>
      <c r="I47" s="1057"/>
      <c r="J47" s="1057"/>
      <c r="K47" s="1108"/>
      <c r="L47" s="1112"/>
      <c r="M47" s="1113"/>
      <c r="N47" s="1114"/>
    </row>
    <row r="48" spans="1:24">
      <c r="A48" s="1053"/>
      <c r="B48" s="1105"/>
      <c r="C48" s="1106"/>
      <c r="D48" s="1106"/>
      <c r="E48" s="1076"/>
      <c r="F48" s="1077"/>
      <c r="G48" s="1107"/>
      <c r="H48" s="1107"/>
      <c r="I48" s="1057"/>
      <c r="J48" s="1057"/>
      <c r="K48" s="1108"/>
      <c r="L48" s="1115"/>
      <c r="M48" s="1116"/>
      <c r="N48" s="1117"/>
    </row>
    <row r="49" spans="1:21">
      <c r="A49" s="1065"/>
      <c r="B49" s="1118"/>
      <c r="C49" s="1119"/>
      <c r="D49" s="1119"/>
      <c r="E49" s="1082"/>
      <c r="F49" s="1083"/>
      <c r="G49" s="1120"/>
      <c r="H49" s="1120"/>
      <c r="I49" s="1068"/>
      <c r="J49" s="1068"/>
      <c r="K49" s="1121"/>
      <c r="L49" s="1122"/>
      <c r="M49" s="1123"/>
      <c r="N49" s="1124"/>
    </row>
    <row r="52" spans="1:21" ht="15.75">
      <c r="A52" s="1032" t="s">
        <v>303</v>
      </c>
      <c r="B52" s="1032"/>
      <c r="C52" s="1032"/>
      <c r="D52" s="1032"/>
      <c r="E52" s="1032"/>
      <c r="F52" s="1032"/>
      <c r="G52" s="1032"/>
      <c r="H52" s="1032"/>
      <c r="I52" s="1033"/>
      <c r="J52" s="1033"/>
      <c r="K52" s="1033"/>
      <c r="L52" s="1033"/>
      <c r="M52" s="1033"/>
      <c r="N52" s="1033"/>
      <c r="O52" s="1033"/>
      <c r="P52" s="1033"/>
      <c r="Q52" s="1033"/>
      <c r="R52" s="1033"/>
      <c r="S52" s="1033"/>
      <c r="T52" s="1033"/>
      <c r="U52" s="1033"/>
    </row>
    <row r="53" spans="1:21" ht="15.75">
      <c r="A53" s="1036"/>
      <c r="B53" s="1036"/>
      <c r="C53" s="1036"/>
      <c r="D53" s="1036"/>
      <c r="E53" s="1036"/>
      <c r="F53" s="1036"/>
      <c r="G53" s="1036"/>
      <c r="H53" s="1036"/>
      <c r="I53" s="1037"/>
      <c r="J53" s="1037"/>
      <c r="K53" s="1037"/>
      <c r="L53" s="1037"/>
      <c r="M53" s="1037"/>
      <c r="N53" s="1037"/>
      <c r="O53" s="1037"/>
      <c r="P53" s="1037"/>
      <c r="Q53" s="1037"/>
      <c r="R53" s="1037"/>
      <c r="S53" s="1037"/>
      <c r="T53" s="1037"/>
      <c r="U53" s="1037"/>
    </row>
    <row r="54" spans="1:21" ht="15.75">
      <c r="A54" s="1040" t="s">
        <v>254</v>
      </c>
      <c r="B54" s="1041" t="s">
        <v>255</v>
      </c>
      <c r="C54" s="1042"/>
      <c r="D54" s="1042"/>
      <c r="E54" s="1042"/>
      <c r="F54" s="1042"/>
      <c r="G54" s="1042"/>
      <c r="H54" s="1042"/>
      <c r="I54" s="1043"/>
      <c r="J54" s="1044" t="s">
        <v>296</v>
      </c>
      <c r="K54" s="1094"/>
      <c r="L54" s="1046"/>
      <c r="M54" s="1046"/>
      <c r="N54" s="1046"/>
      <c r="O54" s="1046"/>
      <c r="P54" s="1043"/>
    </row>
    <row r="55" spans="1:21" ht="15.75">
      <c r="A55" s="1047" t="s">
        <v>258</v>
      </c>
      <c r="B55" s="1048" t="s">
        <v>259</v>
      </c>
      <c r="C55" s="1049" t="s">
        <v>260</v>
      </c>
      <c r="D55" s="1049" t="s">
        <v>230</v>
      </c>
      <c r="E55" s="1049" t="s">
        <v>261</v>
      </c>
      <c r="F55" s="1049" t="s">
        <v>262</v>
      </c>
      <c r="G55" s="1050" t="s">
        <v>305</v>
      </c>
      <c r="H55" s="1049" t="s">
        <v>263</v>
      </c>
      <c r="I55" s="1051" t="s">
        <v>264</v>
      </c>
      <c r="J55" s="1048" t="s">
        <v>297</v>
      </c>
      <c r="K55" s="1101" t="s">
        <v>298</v>
      </c>
      <c r="L55" s="1049" t="s">
        <v>299</v>
      </c>
      <c r="M55" s="1049" t="s">
        <v>300</v>
      </c>
      <c r="N55" s="1049" t="s">
        <v>261</v>
      </c>
      <c r="O55" s="1050" t="s">
        <v>306</v>
      </c>
      <c r="P55" s="1052" t="s">
        <v>307</v>
      </c>
    </row>
    <row r="56" spans="1:21">
      <c r="A56" s="1053" t="s">
        <v>304</v>
      </c>
      <c r="B56" s="1054">
        <v>159</v>
      </c>
      <c r="C56" s="1059">
        <v>4</v>
      </c>
      <c r="D56" s="1059">
        <f>B56-C56*2</f>
        <v>151</v>
      </c>
      <c r="E56" s="1056">
        <f>3.14159*(B56*B56-D56*D56)/400</f>
        <v>19.477857999999998</v>
      </c>
      <c r="F56" s="1056">
        <f>100*E56*7.85/1000</f>
        <v>15.290118529999996</v>
      </c>
      <c r="G56" s="1057">
        <f>3.14159*(B56*B56*B56*B56/10000-D56*D56*D56*D56/10000)/64</f>
        <v>585.3339802224998</v>
      </c>
      <c r="H56" s="1057">
        <f>G56/B56*20</f>
        <v>73.626915751257826</v>
      </c>
      <c r="I56" s="1058">
        <f>SQRT(G56/E56)</f>
        <v>5.4819020421747773</v>
      </c>
      <c r="J56" s="1054">
        <v>120</v>
      </c>
      <c r="K56" s="1125">
        <v>60</v>
      </c>
      <c r="L56" s="1059">
        <v>3</v>
      </c>
      <c r="M56" s="1059">
        <v>3</v>
      </c>
      <c r="N56" s="1126">
        <f>(K56*J56-(K56-2*L56)*(J56-2*M56))/100</f>
        <v>10.44</v>
      </c>
      <c r="O56" s="1126">
        <f>(K56*J56*J56*J56-(K56-2*L56)*(J56-2*M56)*(J56-2*M56)*(J56-2*M56))/12/10000</f>
        <v>197.30520000000001</v>
      </c>
      <c r="P56" s="1126">
        <f>(J56*K56*K56*K56-(J56-2*M56)*(K56-2*L56)*(K56-2*L56)*(K56-2*L56))/12/10000</f>
        <v>66.409199999999998</v>
      </c>
    </row>
    <row r="57" spans="1:21">
      <c r="A57" s="1053"/>
      <c r="B57" s="1059"/>
      <c r="C57" s="1059"/>
      <c r="D57" s="1059"/>
      <c r="E57" s="1056"/>
      <c r="F57" s="1056"/>
      <c r="G57" s="1057"/>
      <c r="H57" s="1057"/>
      <c r="I57" s="1058"/>
      <c r="J57" s="1054"/>
      <c r="K57" s="1125"/>
      <c r="L57" s="1059"/>
      <c r="M57" s="1059"/>
      <c r="N57" s="1055"/>
      <c r="O57" s="1062"/>
      <c r="P57" s="1063"/>
    </row>
    <row r="58" spans="1:21">
      <c r="A58" s="1053"/>
      <c r="B58" s="1059"/>
      <c r="C58" s="1059"/>
      <c r="D58" s="1059"/>
      <c r="E58" s="1056"/>
      <c r="F58" s="1056"/>
      <c r="G58" s="1057"/>
      <c r="H58" s="1057"/>
      <c r="I58" s="1058"/>
      <c r="J58" s="1054"/>
      <c r="K58" s="1125"/>
      <c r="L58" s="1059"/>
      <c r="M58" s="1059"/>
      <c r="N58" s="1055"/>
      <c r="O58" s="1062"/>
      <c r="P58" s="1063"/>
    </row>
    <row r="59" spans="1:21">
      <c r="A59" s="1065"/>
      <c r="B59" s="1066"/>
      <c r="C59" s="1066"/>
      <c r="D59" s="1066"/>
      <c r="E59" s="1067"/>
      <c r="F59" s="1067"/>
      <c r="G59" s="1068"/>
      <c r="H59" s="1068"/>
      <c r="I59" s="1069"/>
      <c r="J59" s="1070"/>
      <c r="K59" s="1127"/>
      <c r="L59" s="1066"/>
      <c r="M59" s="1128"/>
      <c r="N59" s="1055"/>
      <c r="O59" s="1062"/>
      <c r="P59" s="1063"/>
    </row>
    <row r="61" spans="1:21" ht="15.75">
      <c r="A61" s="1040" t="s">
        <v>254</v>
      </c>
      <c r="B61" s="1044" t="s">
        <v>270</v>
      </c>
      <c r="C61" s="1045"/>
      <c r="D61" s="1045"/>
      <c r="E61" s="1046"/>
      <c r="F61" s="1046"/>
      <c r="G61" s="1046"/>
      <c r="H61" s="1046"/>
      <c r="I61" s="1046"/>
      <c r="J61" s="1046"/>
      <c r="K61" s="1046"/>
      <c r="L61" s="1046"/>
      <c r="M61" s="1046"/>
      <c r="N61" s="1043"/>
    </row>
    <row r="62" spans="1:21" ht="15.75">
      <c r="A62" s="1047" t="s">
        <v>258</v>
      </c>
      <c r="B62" s="1048" t="s">
        <v>261</v>
      </c>
      <c r="C62" s="1049" t="s">
        <v>262</v>
      </c>
      <c r="D62" s="1049" t="s">
        <v>271</v>
      </c>
      <c r="E62" s="1049" t="s">
        <v>272</v>
      </c>
      <c r="F62" s="1049" t="s">
        <v>273</v>
      </c>
      <c r="G62" s="1050" t="s">
        <v>306</v>
      </c>
      <c r="H62" s="1049" t="s">
        <v>301</v>
      </c>
      <c r="I62" s="1049" t="s">
        <v>1875</v>
      </c>
      <c r="J62" s="1050" t="s">
        <v>307</v>
      </c>
      <c r="K62" s="1049" t="s">
        <v>302</v>
      </c>
      <c r="L62" s="1049" t="s">
        <v>1876</v>
      </c>
      <c r="M62" s="1073" t="s">
        <v>276</v>
      </c>
      <c r="N62" s="1074"/>
    </row>
    <row r="63" spans="1:21">
      <c r="A63" s="1053" t="str">
        <f>A56</f>
        <v>54+4x190+50</v>
      </c>
      <c r="B63" s="1075">
        <f>N56+E56</f>
        <v>29.917857999999995</v>
      </c>
      <c r="C63" s="1055">
        <f>B63*0.785</f>
        <v>23.485518529999997</v>
      </c>
      <c r="D63" s="1056">
        <f>(B56+J56)/10</f>
        <v>27.9</v>
      </c>
      <c r="E63" s="1056">
        <f>(N56*(J56/2+B56)+E56*B56/2)/(10*B63)</f>
        <v>12.817928713345722</v>
      </c>
      <c r="F63" s="1056">
        <f>D63-E63</f>
        <v>15.082071286654276</v>
      </c>
      <c r="G63" s="1057">
        <f>O56+G56+N56*(F63-J56/20)*(F63-J56/20)+E56*(E63-B56/20)*(E63-B56/20)</f>
        <v>2105.3338782682554</v>
      </c>
      <c r="H63" s="1076">
        <f>G63/F63</f>
        <v>139.59182649741282</v>
      </c>
      <c r="I63" s="1077">
        <f>SQRT(G63/B63)</f>
        <v>8.3887111640689032</v>
      </c>
      <c r="J63" s="1057">
        <f>P56+G56</f>
        <v>651.74318022249986</v>
      </c>
      <c r="K63" s="1076">
        <f>J63/(B56/20)</f>
        <v>81.980274241823878</v>
      </c>
      <c r="L63" s="1077">
        <f>SQRT(J63/B63)</f>
        <v>4.6673782649338067</v>
      </c>
      <c r="M63" s="1078">
        <f>((3.14159*B56-K56)+(2*J56+K56))/C63</f>
        <v>31.488034171157814</v>
      </c>
      <c r="N63" s="1079"/>
    </row>
    <row r="64" spans="1:21">
      <c r="A64" s="1053">
        <f>A57</f>
        <v>0</v>
      </c>
      <c r="B64" s="1075"/>
      <c r="C64" s="1055"/>
      <c r="D64" s="1056"/>
      <c r="E64" s="1056"/>
      <c r="F64" s="1056"/>
      <c r="G64" s="1057"/>
      <c r="H64" s="1076"/>
      <c r="I64" s="1077"/>
      <c r="J64" s="1057"/>
      <c r="K64" s="1076"/>
      <c r="L64" s="1077"/>
      <c r="M64" s="1078"/>
      <c r="N64" s="1079"/>
    </row>
    <row r="65" spans="1:21">
      <c r="A65" s="1053"/>
      <c r="B65" s="1075"/>
      <c r="C65" s="1055"/>
      <c r="D65" s="1055"/>
      <c r="E65" s="1056"/>
      <c r="F65" s="1056"/>
      <c r="G65" s="1057"/>
      <c r="H65" s="1076"/>
      <c r="I65" s="1077"/>
      <c r="J65" s="1057"/>
      <c r="K65" s="1076"/>
      <c r="L65" s="1077"/>
      <c r="M65" s="1078"/>
      <c r="N65" s="1079"/>
    </row>
    <row r="66" spans="1:21">
      <c r="A66" s="1065"/>
      <c r="B66" s="1080"/>
      <c r="C66" s="1081"/>
      <c r="D66" s="1081"/>
      <c r="E66" s="1067"/>
      <c r="F66" s="1067"/>
      <c r="G66" s="1068"/>
      <c r="H66" s="1082"/>
      <c r="I66" s="1083"/>
      <c r="J66" s="1068"/>
      <c r="K66" s="1082"/>
      <c r="L66" s="1083"/>
      <c r="M66" s="1078"/>
      <c r="N66" s="1084"/>
    </row>
    <row r="67" spans="1:21">
      <c r="A67" s="1039"/>
      <c r="B67" s="1085"/>
      <c r="C67" s="1085"/>
      <c r="D67" s="1085"/>
      <c r="E67" s="1086"/>
      <c r="F67" s="1086"/>
      <c r="G67" s="1087"/>
      <c r="H67" s="1088"/>
      <c r="I67" s="1089"/>
      <c r="J67" s="1087"/>
      <c r="K67" s="1088"/>
      <c r="L67" s="1089"/>
      <c r="M67" s="1090"/>
      <c r="N67" s="1090"/>
      <c r="O67" s="1039"/>
      <c r="P67" s="1039"/>
      <c r="Q67" s="1039"/>
      <c r="R67" s="1039"/>
      <c r="S67" s="1039"/>
      <c r="T67" s="1039"/>
      <c r="U67" s="1039"/>
    </row>
    <row r="68" spans="1:21">
      <c r="L68" s="1091" t="s">
        <v>277</v>
      </c>
      <c r="M68" s="1092"/>
      <c r="N68" s="1093"/>
    </row>
    <row r="69" spans="1:21" ht="15.75">
      <c r="A69" s="1040" t="s">
        <v>254</v>
      </c>
      <c r="B69" s="1044" t="s">
        <v>278</v>
      </c>
      <c r="C69" s="1094"/>
      <c r="D69" s="1094" t="s">
        <v>1884</v>
      </c>
      <c r="E69" s="1095"/>
      <c r="F69" s="1096"/>
      <c r="G69" s="1045" t="s">
        <v>279</v>
      </c>
      <c r="H69" s="1045"/>
      <c r="I69" s="1045" t="s">
        <v>280</v>
      </c>
      <c r="J69" s="1045"/>
      <c r="K69" s="1097"/>
      <c r="L69" s="1098" t="s">
        <v>281</v>
      </c>
      <c r="M69" s="1099" t="s">
        <v>282</v>
      </c>
      <c r="N69" s="1100" t="s">
        <v>283</v>
      </c>
    </row>
    <row r="70" spans="1:21" ht="15.75">
      <c r="A70" s="1047" t="s">
        <v>258</v>
      </c>
      <c r="B70" s="1048" t="s">
        <v>284</v>
      </c>
      <c r="C70" s="1101" t="s">
        <v>285</v>
      </c>
      <c r="D70" s="1101" t="s">
        <v>286</v>
      </c>
      <c r="E70" s="1049" t="s">
        <v>1705</v>
      </c>
      <c r="F70" s="1049" t="s">
        <v>155</v>
      </c>
      <c r="G70" s="1049" t="s">
        <v>287</v>
      </c>
      <c r="H70" s="1049" t="s">
        <v>288</v>
      </c>
      <c r="I70" s="1049" t="s">
        <v>289</v>
      </c>
      <c r="J70" s="1049" t="s">
        <v>290</v>
      </c>
      <c r="K70" s="1051" t="s">
        <v>291</v>
      </c>
      <c r="L70" s="1102" t="s">
        <v>292</v>
      </c>
      <c r="M70" s="1103" t="s">
        <v>293</v>
      </c>
      <c r="N70" s="1104" t="s">
        <v>294</v>
      </c>
    </row>
    <row r="71" spans="1:21">
      <c r="A71" s="1053" t="str">
        <f>A63</f>
        <v>54+4x190+50</v>
      </c>
      <c r="B71" s="1105"/>
      <c r="C71" s="1106"/>
      <c r="D71" s="1106">
        <f>B71/L63</f>
        <v>0</v>
      </c>
      <c r="E71" s="1076">
        <f>C71/I63</f>
        <v>0</v>
      </c>
      <c r="F71" s="1077"/>
      <c r="G71" s="1107">
        <v>1.5920000000000001</v>
      </c>
      <c r="H71" s="1107">
        <v>0</v>
      </c>
      <c r="I71" s="1057">
        <f>0.9*G71*100000/H63</f>
        <v>1026.4211279064791</v>
      </c>
      <c r="J71" s="1057">
        <f>F71*H71*1000/B63</f>
        <v>0</v>
      </c>
      <c r="K71" s="1108">
        <f>SUM(I71:J71)</f>
        <v>1026.4211279064791</v>
      </c>
      <c r="L71" s="1109">
        <f>K71*100/(175*1250)</f>
        <v>0.46922108704296189</v>
      </c>
      <c r="M71" s="1110">
        <f>10000*(M63*C63/1000)/B63</f>
        <v>247.18106824358884</v>
      </c>
      <c r="N71" s="1111"/>
    </row>
    <row r="72" spans="1:21">
      <c r="A72" s="1053">
        <f>A64</f>
        <v>0</v>
      </c>
      <c r="B72" s="1105"/>
      <c r="C72" s="1106"/>
      <c r="D72" s="1106"/>
      <c r="E72" s="1076"/>
      <c r="F72" s="1077"/>
      <c r="G72" s="1107"/>
      <c r="H72" s="1107"/>
      <c r="I72" s="1057"/>
      <c r="J72" s="1057"/>
      <c r="K72" s="1108"/>
      <c r="L72" s="1112"/>
      <c r="M72" s="1113"/>
      <c r="N72" s="1114"/>
    </row>
    <row r="73" spans="1:21">
      <c r="A73" s="1053"/>
      <c r="B73" s="1105"/>
      <c r="C73" s="1106"/>
      <c r="D73" s="1106"/>
      <c r="E73" s="1076"/>
      <c r="F73" s="1077"/>
      <c r="G73" s="1107"/>
      <c r="H73" s="1107"/>
      <c r="I73" s="1057"/>
      <c r="J73" s="1057"/>
      <c r="K73" s="1108"/>
      <c r="L73" s="1115"/>
      <c r="M73" s="1116"/>
      <c r="N73" s="1117"/>
    </row>
    <row r="74" spans="1:21">
      <c r="A74" s="1065"/>
      <c r="B74" s="1118"/>
      <c r="C74" s="1119"/>
      <c r="D74" s="1119"/>
      <c r="E74" s="1082"/>
      <c r="F74" s="1083"/>
      <c r="G74" s="1120"/>
      <c r="H74" s="1120"/>
      <c r="I74" s="1068"/>
      <c r="J74" s="1068"/>
      <c r="K74" s="1121"/>
      <c r="L74" s="1122"/>
      <c r="M74" s="1123"/>
      <c r="N74" s="1124"/>
    </row>
  </sheetData>
  <phoneticPr fontId="68" type="noConversion"/>
  <pageMargins left="0.75" right="0.75" top="1" bottom="1" header="0.5" footer="0.5"/>
  <pageSetup paperSize="9" orientation="portrait" horizontalDpi="4294967292" verticalDpi="0" r:id="rId1"/>
  <headerFooter alignWithMargins="0">
    <oddHeader>&amp;A</oddHeader>
    <oddFooter>Sayfa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5"/>
  <sheetViews>
    <sheetView workbookViewId="0">
      <selection activeCell="J27" sqref="J27"/>
    </sheetView>
  </sheetViews>
  <sheetFormatPr defaultColWidth="9.140625" defaultRowHeight="12.75"/>
  <cols>
    <col min="1" max="1" width="7.7109375" style="1029" customWidth="1"/>
    <col min="2" max="3" width="8.42578125" style="1029" customWidth="1"/>
    <col min="4" max="4" width="15.85546875" style="1029" customWidth="1"/>
    <col min="5" max="5" width="9.7109375" style="1016" customWidth="1"/>
    <col min="6" max="6" width="18.5703125" style="1016" customWidth="1"/>
    <col min="7" max="7" width="11.140625" style="1016" customWidth="1"/>
    <col min="8" max="8" width="12.140625" style="1016" customWidth="1"/>
    <col min="9" max="9" width="8.7109375" style="1016" customWidth="1"/>
    <col min="10" max="12" width="12.140625" style="1016" customWidth="1"/>
    <col min="13" max="13" width="9.42578125" style="1016" customWidth="1"/>
    <col min="14" max="14" width="11.28515625" style="1016" customWidth="1"/>
    <col min="15" max="15" width="9.140625" style="1016"/>
    <col min="16" max="16" width="9.5703125" style="1016" bestFit="1" customWidth="1"/>
    <col min="17" max="17" width="10.28515625" style="1016" customWidth="1"/>
    <col min="18" max="16384" width="9.140625" style="1016"/>
  </cols>
  <sheetData>
    <row r="1" spans="1:17">
      <c r="A1" s="1024" t="s">
        <v>308</v>
      </c>
      <c r="B1" s="1024" t="s">
        <v>309</v>
      </c>
      <c r="C1" s="1024" t="s">
        <v>310</v>
      </c>
      <c r="D1" s="1024" t="s">
        <v>311</v>
      </c>
      <c r="E1" s="1024" t="s">
        <v>312</v>
      </c>
      <c r="F1" s="1024" t="s">
        <v>313</v>
      </c>
      <c r="G1" s="1024" t="s">
        <v>314</v>
      </c>
      <c r="H1" s="1024" t="s">
        <v>308</v>
      </c>
      <c r="I1" s="1024" t="s">
        <v>315</v>
      </c>
      <c r="J1" s="1024" t="s">
        <v>614</v>
      </c>
      <c r="K1" s="1024" t="s">
        <v>316</v>
      </c>
      <c r="L1" s="1024">
        <v>33</v>
      </c>
      <c r="M1" s="1129"/>
      <c r="N1" s="1129" t="s">
        <v>614</v>
      </c>
      <c r="O1" s="1129"/>
    </row>
    <row r="2" spans="1:17">
      <c r="A2" s="1130">
        <v>2</v>
      </c>
      <c r="B2" s="1130">
        <f t="shared" ref="B2:B10" si="0">SIN($A2*3.14159/180)</f>
        <v>3.4899467236130972E-2</v>
      </c>
      <c r="C2" s="1130">
        <f t="shared" ref="C2:C10" si="1">COS($A2*3.14159/180)</f>
        <v>0.99939082804808366</v>
      </c>
      <c r="D2" s="1130">
        <f t="shared" ref="D2:D10" si="2">TAN($A2*3.14159/180)</f>
        <v>3.4920739971461758E-2</v>
      </c>
      <c r="E2" s="1025">
        <f>SQRT(F2*F2+G2*G2)</f>
        <v>5775.9563061020463</v>
      </c>
      <c r="F2" s="1016">
        <v>5770.5</v>
      </c>
      <c r="G2" s="1131">
        <v>251</v>
      </c>
      <c r="H2" s="1132">
        <f>ATAN(G2/F2)*180/3.14159</f>
        <v>2.4906322368144047</v>
      </c>
      <c r="I2" s="1132">
        <f>G2/F2</f>
        <v>4.3497097305259511E-2</v>
      </c>
      <c r="J2" s="1132">
        <f>F2/B2</f>
        <v>165346.36362660216</v>
      </c>
      <c r="K2" s="1132">
        <f>3.14159*J2*2*A2/180</f>
        <v>11543.344055682157</v>
      </c>
      <c r="L2" s="1131">
        <f>K2/L1</f>
        <v>349.79830471764114</v>
      </c>
      <c r="M2" s="1016">
        <v>21500</v>
      </c>
      <c r="N2" s="1025">
        <f>M2*(1-C2)</f>
        <v>13.097196966201373</v>
      </c>
      <c r="O2" s="1025"/>
      <c r="P2" s="1027"/>
    </row>
    <row r="3" spans="1:17">
      <c r="A3" s="1133">
        <v>29.13</v>
      </c>
      <c r="B3" s="1130">
        <f t="shared" si="0"/>
        <v>0.48679244468016281</v>
      </c>
      <c r="C3" s="1130">
        <f t="shared" si="1"/>
        <v>0.87351766771045369</v>
      </c>
      <c r="D3" s="1130">
        <f t="shared" si="2"/>
        <v>0.55727830434852832</v>
      </c>
      <c r="E3" s="1025">
        <f>SQRT(F3*F3+G3*G3)</f>
        <v>21080.142527981163</v>
      </c>
      <c r="F3" s="1016">
        <f>40806/2</f>
        <v>20403</v>
      </c>
      <c r="G3" s="1132">
        <v>5300</v>
      </c>
      <c r="H3" s="1132">
        <f>ATAN(G3/F3)*180/3.14159</f>
        <v>14.561654519427274</v>
      </c>
      <c r="I3" s="1132">
        <f>G3/F3</f>
        <v>0.259765720727344</v>
      </c>
      <c r="J3" s="1132">
        <f>F3/B3</f>
        <v>41913.140236606137</v>
      </c>
      <c r="K3" s="1132">
        <f>3.14159*J3*2*A3/180</f>
        <v>42618.4530236926</v>
      </c>
      <c r="L3" s="1131">
        <f>K3/L1</f>
        <v>1291.4682734452304</v>
      </c>
      <c r="M3" s="1016">
        <v>40</v>
      </c>
      <c r="N3" s="1025">
        <f>M3*D3</f>
        <v>22.291132173941133</v>
      </c>
      <c r="O3" s="1025"/>
      <c r="P3" s="1027"/>
    </row>
    <row r="4" spans="1:17">
      <c r="A4" s="1130">
        <v>27.5</v>
      </c>
      <c r="B4" s="1130">
        <f t="shared" si="0"/>
        <v>0.46174825363233174</v>
      </c>
      <c r="C4" s="1130">
        <f t="shared" si="1"/>
        <v>0.8870110203754471</v>
      </c>
      <c r="D4" s="1130">
        <f t="shared" si="2"/>
        <v>0.52056653528034691</v>
      </c>
      <c r="E4" s="1016">
        <v>56.5</v>
      </c>
      <c r="F4" s="1030">
        <f>E4*C4</f>
        <v>50.116122651212763</v>
      </c>
      <c r="G4" s="1130">
        <f>E4*B4</f>
        <v>26.088776330226743</v>
      </c>
      <c r="H4" s="1132">
        <f>ATAN(G4/F4)*180/3.14159</f>
        <v>27.499999999999996</v>
      </c>
      <c r="I4" s="1132">
        <f>(1-C3)/B3</f>
        <v>0.2598280513015131</v>
      </c>
      <c r="J4" s="1132"/>
      <c r="K4" s="1132">
        <f>K3-K2</f>
        <v>31075.108968010441</v>
      </c>
      <c r="L4" s="1131">
        <f>L3-L2</f>
        <v>941.66996872758921</v>
      </c>
      <c r="M4" s="1016">
        <f>M3</f>
        <v>40</v>
      </c>
      <c r="N4" s="1025">
        <f>+M4/C4</f>
        <v>45.09526835762324</v>
      </c>
      <c r="O4" s="1025"/>
      <c r="P4" s="1027"/>
    </row>
    <row r="5" spans="1:17">
      <c r="A5" s="1130">
        <v>26.75</v>
      </c>
      <c r="B5" s="1130">
        <f t="shared" si="0"/>
        <v>0.45009808888853936</v>
      </c>
      <c r="C5" s="1130">
        <f t="shared" si="1"/>
        <v>0.89297912090870557</v>
      </c>
      <c r="D5" s="1130">
        <f t="shared" si="2"/>
        <v>0.50404099978341543</v>
      </c>
      <c r="E5" s="1016">
        <v>10919</v>
      </c>
      <c r="F5" s="1016">
        <f>E5*C5</f>
        <v>9750.4390212021553</v>
      </c>
      <c r="G5" s="1132">
        <f>E5*B5</f>
        <v>4914.6210325739612</v>
      </c>
      <c r="H5" s="1132">
        <f>ATAN(G5/F5)*180/3.14159</f>
        <v>26.75</v>
      </c>
      <c r="I5" s="1132"/>
      <c r="J5" s="1132"/>
      <c r="K5" s="1132"/>
      <c r="L5" s="1131">
        <f>L4/10</f>
        <v>94.166996872758915</v>
      </c>
      <c r="M5" s="1016">
        <v>40</v>
      </c>
      <c r="N5" s="1030">
        <f>+M5/D5</f>
        <v>79.358623638132315</v>
      </c>
      <c r="O5" s="1025"/>
      <c r="P5" s="1027"/>
    </row>
    <row r="6" spans="1:17">
      <c r="A6" s="1130">
        <v>15</v>
      </c>
      <c r="B6" s="1130">
        <f t="shared" si="0"/>
        <v>0.25881883150493828</v>
      </c>
      <c r="C6" s="1130">
        <f t="shared" si="1"/>
        <v>0.96592588352234265</v>
      </c>
      <c r="D6" s="1130">
        <f t="shared" si="2"/>
        <v>0.26794895542205599</v>
      </c>
      <c r="G6" s="1132"/>
      <c r="H6" s="1132"/>
      <c r="I6" s="1132"/>
      <c r="J6" s="1132"/>
      <c r="K6" s="1132"/>
      <c r="L6" s="1132"/>
      <c r="M6" s="1016">
        <v>1490</v>
      </c>
      <c r="N6" s="1025">
        <f>M6*C6</f>
        <v>1439.2295664482906</v>
      </c>
      <c r="O6" s="1025">
        <f>+N6/2</f>
        <v>719.6147832241453</v>
      </c>
      <c r="P6" s="1025">
        <f>+O6/2</f>
        <v>359.80739161207265</v>
      </c>
    </row>
    <row r="7" spans="1:17">
      <c r="A7" s="1130">
        <v>15</v>
      </c>
      <c r="B7" s="1130">
        <f t="shared" si="0"/>
        <v>0.25881883150493828</v>
      </c>
      <c r="C7" s="1130">
        <f t="shared" si="1"/>
        <v>0.96592588352234265</v>
      </c>
      <c r="D7" s="1130">
        <f t="shared" si="2"/>
        <v>0.26794895542205599</v>
      </c>
      <c r="G7" s="1132"/>
      <c r="H7" s="1132"/>
      <c r="I7" s="1132"/>
      <c r="J7" s="1132">
        <v>1500</v>
      </c>
      <c r="K7" s="1132">
        <f>J7*D2</f>
        <v>52.381109957192635</v>
      </c>
      <c r="L7" s="1132"/>
      <c r="M7" s="1016">
        <v>2000</v>
      </c>
      <c r="N7" s="1025">
        <f>M7*C7</f>
        <v>1931.8517670446854</v>
      </c>
      <c r="O7" s="1025">
        <f>+N7/2</f>
        <v>965.9258835223427</v>
      </c>
      <c r="P7" s="1025">
        <f>+O7/2</f>
        <v>482.96294176117135</v>
      </c>
    </row>
    <row r="8" spans="1:17">
      <c r="A8" s="1130">
        <f>90-(157.7/2)</f>
        <v>11.150000000000006</v>
      </c>
      <c r="B8" s="1130">
        <f t="shared" si="0"/>
        <v>0.19337807123345843</v>
      </c>
      <c r="C8" s="1130">
        <f t="shared" si="1"/>
        <v>0.98112431504169106</v>
      </c>
      <c r="D8" s="1130">
        <f t="shared" si="2"/>
        <v>0.19709843927906445</v>
      </c>
      <c r="G8" s="1132"/>
      <c r="H8" s="1132"/>
      <c r="I8" s="1132"/>
      <c r="J8" s="1132"/>
      <c r="K8" s="1132"/>
      <c r="L8" s="1132"/>
      <c r="M8" s="1016">
        <v>40</v>
      </c>
      <c r="N8" s="1025">
        <f>M8*D8</f>
        <v>7.8839375711625781</v>
      </c>
      <c r="O8" s="1025"/>
      <c r="P8" s="1027"/>
    </row>
    <row r="9" spans="1:17">
      <c r="A9" s="1130">
        <f>70.71-A10</f>
        <v>43.41</v>
      </c>
      <c r="B9" s="1130">
        <f t="shared" si="0"/>
        <v>0.68721384664130691</v>
      </c>
      <c r="C9" s="1130">
        <f t="shared" si="1"/>
        <v>0.72645518029982981</v>
      </c>
      <c r="D9" s="1130">
        <f t="shared" si="2"/>
        <v>0.94598244362119244</v>
      </c>
      <c r="E9" s="1016">
        <f>SQRT(F9*F9+G9*G9)</f>
        <v>43.654533660260455</v>
      </c>
      <c r="F9" s="1016">
        <f>G9/D9</f>
        <v>31.713062121069498</v>
      </c>
      <c r="G9" s="1132">
        <v>30</v>
      </c>
      <c r="H9" s="1132">
        <f>ATAN(G9/F9)*180/3.14159</f>
        <v>43.410000000000004</v>
      </c>
      <c r="I9" s="1132"/>
      <c r="J9" s="1132"/>
      <c r="K9" s="1132"/>
      <c r="L9" s="1132"/>
      <c r="M9" s="1016">
        <v>5</v>
      </c>
      <c r="N9" s="1030">
        <f>+M9/C9</f>
        <v>6.8827370711794638</v>
      </c>
      <c r="O9" s="1025"/>
    </row>
    <row r="10" spans="1:17">
      <c r="A10" s="1134">
        <v>27.3</v>
      </c>
      <c r="B10" s="1130">
        <f t="shared" si="0"/>
        <v>0.45864919685039229</v>
      </c>
      <c r="C10" s="1130">
        <f t="shared" si="1"/>
        <v>0.88861741724348964</v>
      </c>
      <c r="D10" s="1130">
        <f t="shared" si="2"/>
        <v>0.51613797788606486</v>
      </c>
      <c r="E10" s="1016">
        <f>SQRT(F10*F10+G10*G10)</f>
        <v>43.606312051438827</v>
      </c>
      <c r="F10" s="1016">
        <f>G10/D10</f>
        <v>38.749328390663223</v>
      </c>
      <c r="G10" s="1132">
        <v>20</v>
      </c>
      <c r="H10" s="1132">
        <f>ATAN(G10/F10)*180/3.14159</f>
        <v>27.3</v>
      </c>
      <c r="I10" s="1132"/>
      <c r="J10" s="1132"/>
      <c r="K10" s="1132"/>
      <c r="L10" s="1132"/>
      <c r="M10" s="1016">
        <v>45</v>
      </c>
      <c r="N10" s="1030">
        <f>M10*D10</f>
        <v>23.226209004872917</v>
      </c>
      <c r="P10" s="1027"/>
    </row>
    <row r="11" spans="1:17">
      <c r="A11" s="1130"/>
      <c r="F11" s="1135"/>
      <c r="G11" s="1135"/>
      <c r="H11" s="1136"/>
      <c r="I11" s="1136"/>
      <c r="J11" s="1136"/>
      <c r="K11" s="1136"/>
      <c r="L11" s="1136"/>
      <c r="M11" s="1137"/>
      <c r="N11" s="1137"/>
    </row>
    <row r="12" spans="1:17">
      <c r="A12" s="1029">
        <f>4*A2*3.14159*1</f>
        <v>25.132719999999999</v>
      </c>
      <c r="F12" s="1135"/>
      <c r="G12" s="1135"/>
      <c r="H12" s="1135"/>
      <c r="I12" s="1135"/>
      <c r="J12" s="1135"/>
      <c r="K12" s="1135"/>
      <c r="L12" s="1135"/>
      <c r="M12" s="1137"/>
      <c r="N12" s="1137"/>
    </row>
    <row r="13" spans="1:17">
      <c r="H13" s="1138"/>
      <c r="I13" s="1138"/>
      <c r="J13" s="1138"/>
      <c r="K13" s="1138"/>
      <c r="L13" s="1138"/>
      <c r="O13" s="1030"/>
      <c r="P13" s="1015"/>
      <c r="Q13" s="1015"/>
    </row>
    <row r="14" spans="1:17">
      <c r="A14" s="1024"/>
      <c r="B14" s="1139" t="s">
        <v>317</v>
      </c>
      <c r="C14" s="1024"/>
      <c r="D14" s="1024"/>
      <c r="E14" s="1139" t="s">
        <v>318</v>
      </c>
      <c r="F14" s="1024"/>
      <c r="G14" s="1024"/>
      <c r="H14" s="1024"/>
      <c r="I14" s="1024"/>
      <c r="J14" s="1024"/>
      <c r="K14" s="1024"/>
      <c r="L14" s="1024"/>
      <c r="M14" s="1024"/>
      <c r="N14" s="1024"/>
      <c r="O14" s="1024"/>
      <c r="P14" s="1024"/>
      <c r="Q14" s="1024"/>
    </row>
    <row r="15" spans="1:17">
      <c r="A15" s="1024" t="s">
        <v>320</v>
      </c>
      <c r="B15" s="1139" t="s">
        <v>321</v>
      </c>
      <c r="C15" s="1024"/>
      <c r="D15" s="1024" t="s">
        <v>322</v>
      </c>
      <c r="E15" s="1139" t="s">
        <v>323</v>
      </c>
      <c r="F15" s="1015"/>
      <c r="G15" s="1024" t="s">
        <v>324</v>
      </c>
      <c r="H15" s="1015" t="s">
        <v>325</v>
      </c>
      <c r="I15" s="1015"/>
      <c r="J15" s="1015"/>
      <c r="K15" s="1015"/>
      <c r="L15" s="1015"/>
      <c r="M15" s="1139"/>
      <c r="N15" s="1015"/>
    </row>
    <row r="16" spans="1:17">
      <c r="A16" s="1029" t="s">
        <v>326</v>
      </c>
      <c r="B16" s="1029" t="s">
        <v>157</v>
      </c>
      <c r="C16" s="1029" t="s">
        <v>327</v>
      </c>
      <c r="D16" s="1140" t="s">
        <v>328</v>
      </c>
      <c r="E16" s="1029" t="s">
        <v>157</v>
      </c>
      <c r="F16" s="1029" t="s">
        <v>327</v>
      </c>
      <c r="G16" s="1141"/>
      <c r="N16" s="1141"/>
      <c r="O16" s="1027"/>
      <c r="P16" s="1027"/>
      <c r="Q16" s="1027"/>
    </row>
    <row r="17" spans="1:17">
      <c r="A17" s="1024">
        <v>4</v>
      </c>
      <c r="B17" s="1024">
        <v>10</v>
      </c>
      <c r="C17" s="1142">
        <f t="shared" ref="C17:C32" si="3">B17*3.14159/180</f>
        <v>0.17453277777777779</v>
      </c>
      <c r="D17" s="1031">
        <f t="shared" ref="D17:D32" si="4">SIN(ATAN(1/COS(C17)))</f>
        <v>0.71249828408994154</v>
      </c>
      <c r="E17" s="1143">
        <f t="shared" ref="E17:E32" si="5">(A17-2)*90/A17</f>
        <v>45</v>
      </c>
      <c r="F17" s="1144">
        <f t="shared" ref="F17:F32" si="6">E17*3.14159/180</f>
        <v>0.78539749999999997</v>
      </c>
      <c r="G17" s="1031">
        <f t="shared" ref="G17:G32" si="7">SIN(F17)</f>
        <v>0.70710631209355757</v>
      </c>
      <c r="H17" s="1031">
        <f t="shared" ref="H17:H32" si="8">G17/D17</f>
        <v>0.99243230177982666</v>
      </c>
      <c r="M17" s="1141"/>
      <c r="N17" s="1143"/>
      <c r="O17" s="1027"/>
      <c r="P17" s="1027"/>
      <c r="Q17" s="1027"/>
    </row>
    <row r="18" spans="1:17">
      <c r="A18" s="1145">
        <v>4</v>
      </c>
      <c r="B18" s="1024">
        <v>13</v>
      </c>
      <c r="C18" s="1142">
        <f t="shared" si="3"/>
        <v>0.22689261111111109</v>
      </c>
      <c r="D18" s="1031">
        <f t="shared" si="4"/>
        <v>0.71622560241556943</v>
      </c>
      <c r="E18" s="1146">
        <f t="shared" si="5"/>
        <v>45</v>
      </c>
      <c r="F18" s="1144">
        <f t="shared" si="6"/>
        <v>0.78539749999999997</v>
      </c>
      <c r="G18" s="1031">
        <f t="shared" si="7"/>
        <v>0.70710631209355757</v>
      </c>
      <c r="H18" s="1031">
        <f t="shared" si="8"/>
        <v>0.98726757282725475</v>
      </c>
      <c r="M18" s="1141"/>
      <c r="N18" s="1143"/>
      <c r="O18" s="1027"/>
      <c r="P18" s="1027"/>
      <c r="Q18" s="1027"/>
    </row>
    <row r="19" spans="1:17">
      <c r="A19" s="1145">
        <v>4</v>
      </c>
      <c r="B19" s="1024">
        <v>15</v>
      </c>
      <c r="C19" s="1142">
        <f t="shared" si="3"/>
        <v>0.26179916666666664</v>
      </c>
      <c r="D19" s="1031">
        <f t="shared" si="4"/>
        <v>0.71925457610611887</v>
      </c>
      <c r="E19" s="1146">
        <f t="shared" si="5"/>
        <v>45</v>
      </c>
      <c r="F19" s="1144">
        <f t="shared" si="6"/>
        <v>0.78539749999999997</v>
      </c>
      <c r="G19" s="1031">
        <f t="shared" si="7"/>
        <v>0.70710631209355757</v>
      </c>
      <c r="H19" s="1031">
        <f t="shared" si="8"/>
        <v>0.98310992461343905</v>
      </c>
      <c r="M19" s="1141"/>
      <c r="N19" s="1143"/>
      <c r="O19" s="1027"/>
    </row>
    <row r="20" spans="1:17">
      <c r="A20" s="1145">
        <v>4</v>
      </c>
      <c r="B20" s="1024">
        <v>30</v>
      </c>
      <c r="C20" s="1142">
        <f t="shared" si="3"/>
        <v>0.52359833333333328</v>
      </c>
      <c r="D20" s="1031">
        <f t="shared" si="4"/>
        <v>0.75592886329552256</v>
      </c>
      <c r="E20" s="1146">
        <f t="shared" si="5"/>
        <v>45</v>
      </c>
      <c r="F20" s="1144">
        <f t="shared" si="6"/>
        <v>0.78539749999999997</v>
      </c>
      <c r="G20" s="1031">
        <f t="shared" si="7"/>
        <v>0.70710631209355757</v>
      </c>
      <c r="H20" s="1031">
        <f t="shared" si="8"/>
        <v>0.93541382850613775</v>
      </c>
      <c r="M20" s="1141"/>
      <c r="N20" s="1143"/>
      <c r="O20" s="1027"/>
    </row>
    <row r="21" spans="1:17">
      <c r="A21" s="1145">
        <v>4</v>
      </c>
      <c r="B21" s="1024">
        <v>45</v>
      </c>
      <c r="C21" s="1142">
        <f t="shared" si="3"/>
        <v>0.78539749999999997</v>
      </c>
      <c r="D21" s="1031">
        <f t="shared" si="4"/>
        <v>0.81649640037386972</v>
      </c>
      <c r="E21" s="1146">
        <f t="shared" si="5"/>
        <v>45</v>
      </c>
      <c r="F21" s="1144">
        <f t="shared" si="6"/>
        <v>0.78539749999999997</v>
      </c>
      <c r="G21" s="1031">
        <f t="shared" si="7"/>
        <v>0.70710631209355757</v>
      </c>
      <c r="H21" s="1031">
        <f t="shared" si="8"/>
        <v>0.86602502077140453</v>
      </c>
      <c r="M21" s="1141"/>
      <c r="N21" s="1143"/>
      <c r="O21" s="1027"/>
    </row>
    <row r="22" spans="1:17">
      <c r="A22" s="1145">
        <v>4</v>
      </c>
      <c r="B22" s="1024">
        <v>60</v>
      </c>
      <c r="C22" s="1142">
        <f t="shared" si="3"/>
        <v>1.0471966666666666</v>
      </c>
      <c r="D22" s="1031">
        <f t="shared" si="4"/>
        <v>0.89442691693832643</v>
      </c>
      <c r="E22" s="1146">
        <f t="shared" si="5"/>
        <v>45</v>
      </c>
      <c r="F22" s="1144">
        <f t="shared" si="6"/>
        <v>0.78539749999999997</v>
      </c>
      <c r="G22" s="1031">
        <f t="shared" si="7"/>
        <v>0.70710631209355757</v>
      </c>
      <c r="H22" s="1031">
        <f t="shared" si="8"/>
        <v>0.79056913281861219</v>
      </c>
      <c r="M22" s="1141"/>
      <c r="N22" s="1143"/>
      <c r="O22" s="1027"/>
    </row>
    <row r="23" spans="1:17">
      <c r="A23" s="1145">
        <v>4</v>
      </c>
      <c r="B23" s="1024">
        <v>75</v>
      </c>
      <c r="C23" s="1142">
        <f t="shared" si="3"/>
        <v>1.3089958333333334</v>
      </c>
      <c r="D23" s="1031">
        <f t="shared" si="4"/>
        <v>0.96810009508821593</v>
      </c>
      <c r="E23" s="1146">
        <f t="shared" si="5"/>
        <v>45</v>
      </c>
      <c r="F23" s="1144">
        <f t="shared" si="6"/>
        <v>0.78539749999999997</v>
      </c>
      <c r="G23" s="1031">
        <f t="shared" si="7"/>
        <v>0.70710631209355757</v>
      </c>
      <c r="H23" s="1031">
        <f t="shared" si="8"/>
        <v>0.73040620043439219</v>
      </c>
      <c r="M23" s="1141"/>
      <c r="N23" s="1143"/>
      <c r="O23" s="1027"/>
    </row>
    <row r="24" spans="1:17">
      <c r="A24" s="1145">
        <v>4</v>
      </c>
      <c r="B24" s="1024">
        <v>90</v>
      </c>
      <c r="C24" s="1142">
        <f t="shared" si="3"/>
        <v>1.5707949999999999</v>
      </c>
      <c r="D24" s="1031">
        <f t="shared" si="4"/>
        <v>0.99999999999911982</v>
      </c>
      <c r="E24" s="1146">
        <f t="shared" si="5"/>
        <v>45</v>
      </c>
      <c r="F24" s="1144">
        <f t="shared" si="6"/>
        <v>0.78539749999999997</v>
      </c>
      <c r="G24" s="1031">
        <f t="shared" si="7"/>
        <v>0.70710631209355757</v>
      </c>
      <c r="H24" s="1031">
        <f t="shared" si="8"/>
        <v>0.70710631209417996</v>
      </c>
      <c r="M24" s="1141"/>
      <c r="N24" s="1143"/>
    </row>
    <row r="25" spans="1:17">
      <c r="A25" s="1024">
        <v>6</v>
      </c>
      <c r="B25" s="1024">
        <v>10</v>
      </c>
      <c r="C25" s="1142">
        <f t="shared" si="3"/>
        <v>0.17453277777777779</v>
      </c>
      <c r="D25" s="1031">
        <f t="shared" si="4"/>
        <v>0.71249828408994154</v>
      </c>
      <c r="E25" s="1143">
        <f t="shared" si="5"/>
        <v>60</v>
      </c>
      <c r="F25" s="1144">
        <f t="shared" si="6"/>
        <v>1.0471966666666666</v>
      </c>
      <c r="G25" s="1031">
        <f t="shared" si="7"/>
        <v>0.86602496151913422</v>
      </c>
      <c r="H25" s="1031">
        <f t="shared" si="8"/>
        <v>1.2154765574281894</v>
      </c>
      <c r="M25" s="1141"/>
      <c r="N25" s="1143"/>
    </row>
    <row r="26" spans="1:17">
      <c r="A26" s="1145">
        <f t="shared" ref="A26:A32" si="9">A25</f>
        <v>6</v>
      </c>
      <c r="B26" s="1024">
        <v>13</v>
      </c>
      <c r="C26" s="1142">
        <f t="shared" si="3"/>
        <v>0.22689261111111109</v>
      </c>
      <c r="D26" s="1031">
        <f t="shared" si="4"/>
        <v>0.71622560241556943</v>
      </c>
      <c r="E26" s="1146">
        <f t="shared" si="5"/>
        <v>60</v>
      </c>
      <c r="F26" s="1144">
        <f t="shared" si="6"/>
        <v>1.0471966666666666</v>
      </c>
      <c r="G26" s="1031">
        <f t="shared" si="7"/>
        <v>0.86602496151913422</v>
      </c>
      <c r="H26" s="1031">
        <f t="shared" si="8"/>
        <v>1.2091510811654118</v>
      </c>
      <c r="M26" s="1141"/>
      <c r="N26" s="1143"/>
    </row>
    <row r="27" spans="1:17">
      <c r="A27" s="1145">
        <f t="shared" si="9"/>
        <v>6</v>
      </c>
      <c r="B27" s="1024">
        <v>15</v>
      </c>
      <c r="C27" s="1142">
        <f t="shared" si="3"/>
        <v>0.26179916666666664</v>
      </c>
      <c r="D27" s="1031">
        <f t="shared" si="4"/>
        <v>0.71925457610611887</v>
      </c>
      <c r="E27" s="1146">
        <f t="shared" si="5"/>
        <v>60</v>
      </c>
      <c r="F27" s="1144">
        <f t="shared" si="6"/>
        <v>1.0471966666666666</v>
      </c>
      <c r="G27" s="1031">
        <f t="shared" si="7"/>
        <v>0.86602496151913422</v>
      </c>
      <c r="H27" s="1031">
        <f t="shared" si="8"/>
        <v>1.2040590220608633</v>
      </c>
      <c r="M27" s="1141"/>
      <c r="N27" s="1143"/>
    </row>
    <row r="28" spans="1:17">
      <c r="A28" s="1145">
        <f t="shared" si="9"/>
        <v>6</v>
      </c>
      <c r="B28" s="1024">
        <v>30</v>
      </c>
      <c r="C28" s="1142">
        <f t="shared" si="3"/>
        <v>0.52359833333333328</v>
      </c>
      <c r="D28" s="1031">
        <f t="shared" si="4"/>
        <v>0.75592886329552256</v>
      </c>
      <c r="E28" s="1146">
        <f t="shared" si="5"/>
        <v>60</v>
      </c>
      <c r="F28" s="1144">
        <f t="shared" si="6"/>
        <v>1.0471966666666666</v>
      </c>
      <c r="G28" s="1031">
        <f t="shared" si="7"/>
        <v>0.86602496151913422</v>
      </c>
      <c r="H28" s="1031">
        <f t="shared" si="8"/>
        <v>1.145643464047186</v>
      </c>
      <c r="M28" s="1141"/>
      <c r="N28" s="1143"/>
    </row>
    <row r="29" spans="1:17">
      <c r="A29" s="1145">
        <f t="shared" si="9"/>
        <v>6</v>
      </c>
      <c r="B29" s="1024">
        <v>45</v>
      </c>
      <c r="C29" s="1142">
        <f t="shared" si="3"/>
        <v>0.78539749999999997</v>
      </c>
      <c r="D29" s="1031">
        <f t="shared" si="4"/>
        <v>0.81649640037386972</v>
      </c>
      <c r="E29" s="1146">
        <f t="shared" si="5"/>
        <v>60</v>
      </c>
      <c r="F29" s="1144">
        <f t="shared" si="6"/>
        <v>1.0471966666666666</v>
      </c>
      <c r="G29" s="1031">
        <f t="shared" si="7"/>
        <v>0.86602496151913422</v>
      </c>
      <c r="H29" s="1031">
        <f t="shared" si="8"/>
        <v>1.0606598646639294</v>
      </c>
      <c r="M29" s="1141"/>
      <c r="N29" s="1143"/>
    </row>
    <row r="30" spans="1:17">
      <c r="A30" s="1145">
        <f t="shared" si="9"/>
        <v>6</v>
      </c>
      <c r="B30" s="1024">
        <v>60</v>
      </c>
      <c r="C30" s="1142">
        <f t="shared" si="3"/>
        <v>1.0471966666666666</v>
      </c>
      <c r="D30" s="1031">
        <f t="shared" si="4"/>
        <v>0.89442691693832643</v>
      </c>
      <c r="E30" s="1146">
        <f t="shared" si="5"/>
        <v>60</v>
      </c>
      <c r="F30" s="1144">
        <f t="shared" si="6"/>
        <v>1.0471966666666666</v>
      </c>
      <c r="G30" s="1031">
        <f t="shared" si="7"/>
        <v>0.86602496151913422</v>
      </c>
      <c r="H30" s="1031">
        <f t="shared" si="8"/>
        <v>0.96824563876452452</v>
      </c>
      <c r="M30" s="1141"/>
      <c r="N30" s="1143"/>
    </row>
    <row r="31" spans="1:17">
      <c r="A31" s="1145">
        <f t="shared" si="9"/>
        <v>6</v>
      </c>
      <c r="B31" s="1024">
        <v>75</v>
      </c>
      <c r="C31" s="1142">
        <f t="shared" si="3"/>
        <v>1.3089958333333334</v>
      </c>
      <c r="D31" s="1031">
        <f t="shared" si="4"/>
        <v>0.96810009508821593</v>
      </c>
      <c r="E31" s="1146">
        <f t="shared" si="5"/>
        <v>60</v>
      </c>
      <c r="F31" s="1144">
        <f t="shared" si="6"/>
        <v>1.0471966666666666</v>
      </c>
      <c r="G31" s="1031">
        <f t="shared" si="7"/>
        <v>0.86602496151913422</v>
      </c>
      <c r="H31" s="1031">
        <f t="shared" si="8"/>
        <v>0.89456138462647261</v>
      </c>
      <c r="M31" s="1141"/>
      <c r="N31" s="1143"/>
    </row>
    <row r="32" spans="1:17">
      <c r="A32" s="1145">
        <f t="shared" si="9"/>
        <v>6</v>
      </c>
      <c r="B32" s="1024">
        <v>90</v>
      </c>
      <c r="C32" s="1142">
        <f t="shared" si="3"/>
        <v>1.5707949999999999</v>
      </c>
      <c r="D32" s="1031">
        <f t="shared" si="4"/>
        <v>0.99999999999911982</v>
      </c>
      <c r="E32" s="1146">
        <f t="shared" si="5"/>
        <v>60</v>
      </c>
      <c r="F32" s="1144">
        <f t="shared" si="6"/>
        <v>1.0471966666666666</v>
      </c>
      <c r="G32" s="1031">
        <f t="shared" si="7"/>
        <v>0.86602496151913422</v>
      </c>
      <c r="H32" s="1031">
        <f t="shared" si="8"/>
        <v>0.8660249615198965</v>
      </c>
      <c r="M32" s="1141"/>
      <c r="N32" s="1143"/>
    </row>
    <row r="33" spans="1:15">
      <c r="A33" s="1024"/>
      <c r="B33" s="1024"/>
      <c r="C33" s="1147"/>
      <c r="D33" s="1148"/>
      <c r="E33" s="1143"/>
      <c r="F33" s="1144"/>
      <c r="G33" s="1148"/>
      <c r="N33" s="1149"/>
    </row>
    <row r="34" spans="1:15">
      <c r="B34" s="1145"/>
      <c r="C34" s="1148"/>
      <c r="D34" s="1148"/>
      <c r="H34" s="1031"/>
      <c r="I34" s="1031"/>
      <c r="J34" s="1031"/>
      <c r="K34" s="1031"/>
      <c r="L34" s="1031"/>
    </row>
    <row r="35" spans="1:15">
      <c r="B35" s="1145"/>
      <c r="C35" s="1145"/>
      <c r="D35" s="1145"/>
      <c r="M35" s="1025"/>
      <c r="N35" s="1025"/>
      <c r="O35" s="1027"/>
    </row>
    <row r="36" spans="1:15">
      <c r="B36" s="1145"/>
      <c r="C36" s="1142"/>
      <c r="D36" s="1142"/>
      <c r="M36" s="1138"/>
      <c r="N36" s="1025"/>
      <c r="O36" s="1027"/>
    </row>
    <row r="37" spans="1:15">
      <c r="B37" s="1145"/>
      <c r="C37" s="1142"/>
      <c r="D37" s="1142"/>
      <c r="M37" s="1025"/>
      <c r="N37" s="1025"/>
      <c r="O37" s="1027"/>
    </row>
    <row r="38" spans="1:15">
      <c r="B38" s="1145"/>
      <c r="C38" s="1142"/>
      <c r="D38" s="1142"/>
      <c r="M38" s="1025"/>
      <c r="N38" s="1025"/>
      <c r="O38" s="1027"/>
    </row>
    <row r="39" spans="1:15">
      <c r="B39" s="1145"/>
      <c r="C39" s="1142"/>
      <c r="D39" s="1142"/>
      <c r="M39" s="1025"/>
      <c r="N39" s="1025"/>
      <c r="O39" s="1027"/>
    </row>
    <row r="40" spans="1:15">
      <c r="B40" s="1145"/>
      <c r="C40" s="1142"/>
      <c r="D40" s="1142"/>
      <c r="M40" s="1025"/>
      <c r="N40" s="1025"/>
      <c r="O40" s="1027"/>
    </row>
    <row r="41" spans="1:15">
      <c r="B41" s="1145"/>
      <c r="C41" s="1142"/>
      <c r="D41" s="1142"/>
    </row>
    <row r="42" spans="1:15">
      <c r="B42" s="1145"/>
      <c r="C42" s="1142"/>
      <c r="D42" s="1142"/>
    </row>
    <row r="43" spans="1:15">
      <c r="B43" s="1145"/>
      <c r="C43" s="1142"/>
      <c r="D43" s="1142"/>
      <c r="M43" s="1025"/>
      <c r="N43" s="1025"/>
      <c r="O43" s="1027"/>
    </row>
    <row r="44" spans="1:15">
      <c r="B44" s="1145"/>
      <c r="C44" s="1150"/>
      <c r="D44" s="1150"/>
      <c r="M44" s="1025"/>
      <c r="N44" s="1025"/>
      <c r="O44" s="1027"/>
    </row>
    <row r="45" spans="1:15">
      <c r="M45" s="1025"/>
      <c r="N45" s="1025"/>
      <c r="O45" s="1027"/>
    </row>
    <row r="46" spans="1:15">
      <c r="M46" s="1025"/>
      <c r="N46" s="1025"/>
      <c r="O46" s="1027"/>
    </row>
    <row r="47" spans="1:15">
      <c r="M47" s="1025"/>
      <c r="N47" s="1025"/>
      <c r="O47" s="1027"/>
    </row>
    <row r="48" spans="1:15">
      <c r="M48" s="1025"/>
      <c r="N48" s="1025"/>
      <c r="O48" s="1027"/>
    </row>
    <row r="49" spans="5:15">
      <c r="M49" s="1025"/>
      <c r="N49" s="1025"/>
      <c r="O49" s="1027"/>
    </row>
    <row r="50" spans="5:15">
      <c r="M50" s="1025"/>
      <c r="N50" s="1025"/>
      <c r="O50" s="1027"/>
    </row>
    <row r="51" spans="5:15">
      <c r="M51" s="1025"/>
      <c r="N51" s="1025"/>
      <c r="O51" s="1027"/>
    </row>
    <row r="52" spans="5:15">
      <c r="M52" s="1025"/>
      <c r="N52" s="1025"/>
      <c r="O52" s="1027"/>
    </row>
    <row r="53" spans="5:15">
      <c r="M53" s="1025"/>
      <c r="N53" s="1025"/>
      <c r="O53" s="1027"/>
    </row>
    <row r="54" spans="5:15">
      <c r="M54" s="1025"/>
      <c r="N54" s="1025"/>
      <c r="O54" s="1027"/>
    </row>
    <row r="55" spans="5:15">
      <c r="E55" s="1016">
        <f>E53+E46</f>
        <v>0</v>
      </c>
      <c r="M55" s="1025"/>
      <c r="N55" s="1025"/>
      <c r="O55" s="1027"/>
    </row>
    <row r="56" spans="5:15">
      <c r="M56" s="1025"/>
      <c r="N56" s="1025"/>
      <c r="O56" s="1027"/>
    </row>
    <row r="57" spans="5:15">
      <c r="M57" s="1025"/>
      <c r="N57" s="1025"/>
      <c r="O57" s="1027"/>
    </row>
    <row r="58" spans="5:15">
      <c r="M58" s="1025"/>
      <c r="N58" s="1025"/>
      <c r="O58" s="1027"/>
    </row>
    <row r="59" spans="5:15">
      <c r="M59" s="1025"/>
      <c r="N59" s="1025"/>
      <c r="O59" s="1027"/>
    </row>
    <row r="60" spans="5:15">
      <c r="M60" s="1025"/>
      <c r="N60" s="1025"/>
      <c r="O60" s="1027"/>
    </row>
    <row r="61" spans="5:15">
      <c r="M61" s="1025"/>
      <c r="N61" s="1025"/>
      <c r="O61" s="1027"/>
    </row>
    <row r="62" spans="5:15">
      <c r="M62" s="1025"/>
      <c r="N62" s="1025"/>
      <c r="O62" s="1027"/>
    </row>
    <row r="63" spans="5:15">
      <c r="M63" s="1025"/>
      <c r="N63" s="1025"/>
      <c r="O63" s="1027"/>
    </row>
    <row r="64" spans="5:15">
      <c r="M64" s="1025"/>
      <c r="N64" s="1025"/>
      <c r="O64" s="1027"/>
    </row>
    <row r="65" spans="13:15">
      <c r="M65" s="1025"/>
      <c r="N65" s="1025"/>
      <c r="O65" s="1027"/>
    </row>
    <row r="66" spans="13:15">
      <c r="M66" s="1025"/>
      <c r="N66" s="1025"/>
      <c r="O66" s="1027"/>
    </row>
    <row r="67" spans="13:15">
      <c r="M67" s="1025"/>
      <c r="N67" s="1025"/>
      <c r="O67" s="1027"/>
    </row>
    <row r="68" spans="13:15">
      <c r="M68" s="1025"/>
      <c r="N68" s="1025"/>
      <c r="O68" s="1027"/>
    </row>
    <row r="69" spans="13:15">
      <c r="M69" s="1025"/>
      <c r="N69" s="1025"/>
      <c r="O69" s="1027"/>
    </row>
    <row r="70" spans="13:15">
      <c r="M70" s="1025"/>
      <c r="N70" s="1025"/>
      <c r="O70" s="1027"/>
    </row>
    <row r="71" spans="13:15">
      <c r="M71" s="1025"/>
      <c r="N71" s="1025"/>
      <c r="O71" s="1027"/>
    </row>
    <row r="72" spans="13:15">
      <c r="M72" s="1025"/>
      <c r="N72" s="1025"/>
      <c r="O72" s="1027"/>
    </row>
    <row r="73" spans="13:15">
      <c r="M73" s="1025"/>
      <c r="N73" s="1025"/>
      <c r="O73" s="1027"/>
    </row>
    <row r="74" spans="13:15">
      <c r="M74" s="1025"/>
      <c r="N74" s="1025"/>
      <c r="O74" s="1027"/>
    </row>
    <row r="75" spans="13:15">
      <c r="M75" s="1025"/>
      <c r="N75" s="1025"/>
      <c r="O75" s="1027"/>
    </row>
    <row r="76" spans="13:15">
      <c r="M76" s="1025"/>
      <c r="N76" s="1025"/>
      <c r="O76" s="1027"/>
    </row>
    <row r="77" spans="13:15">
      <c r="M77" s="1025"/>
      <c r="N77" s="1025"/>
      <c r="O77" s="1027"/>
    </row>
    <row r="78" spans="13:15">
      <c r="M78" s="1025"/>
      <c r="N78" s="1025"/>
      <c r="O78" s="1027"/>
    </row>
    <row r="79" spans="13:15">
      <c r="M79" s="1025"/>
      <c r="N79" s="1025"/>
      <c r="O79" s="1027"/>
    </row>
    <row r="80" spans="13:15">
      <c r="M80" s="1025"/>
      <c r="N80" s="1025"/>
      <c r="O80" s="1027"/>
    </row>
    <row r="81" spans="13:15">
      <c r="M81" s="1025"/>
      <c r="N81" s="1025"/>
      <c r="O81" s="1027"/>
    </row>
    <row r="82" spans="13:15">
      <c r="M82" s="1025"/>
      <c r="N82" s="1025"/>
      <c r="O82" s="1027"/>
    </row>
    <row r="83" spans="13:15">
      <c r="M83" s="1025"/>
      <c r="N83" s="1025"/>
      <c r="O83" s="1027"/>
    </row>
    <row r="84" spans="13:15">
      <c r="M84" s="1025"/>
      <c r="N84" s="1025"/>
      <c r="O84" s="1027"/>
    </row>
    <row r="85" spans="13:15">
      <c r="M85" s="1025"/>
      <c r="N85" s="1025"/>
      <c r="O85" s="1027"/>
    </row>
    <row r="86" spans="13:15">
      <c r="M86" s="1025"/>
      <c r="N86" s="1025"/>
      <c r="O86" s="1027"/>
    </row>
    <row r="87" spans="13:15">
      <c r="M87" s="1025"/>
      <c r="N87" s="1025"/>
      <c r="O87" s="1027"/>
    </row>
    <row r="88" spans="13:15">
      <c r="M88" s="1025"/>
      <c r="N88" s="1025"/>
      <c r="O88" s="1027"/>
    </row>
    <row r="89" spans="13:15">
      <c r="M89" s="1025"/>
      <c r="N89" s="1025"/>
      <c r="O89" s="1027"/>
    </row>
    <row r="90" spans="13:15">
      <c r="M90" s="1025"/>
      <c r="N90" s="1025"/>
      <c r="O90" s="1027"/>
    </row>
    <row r="91" spans="13:15">
      <c r="M91" s="1025"/>
      <c r="N91" s="1025"/>
      <c r="O91" s="1027"/>
    </row>
    <row r="92" spans="13:15">
      <c r="M92" s="1025"/>
      <c r="N92" s="1025"/>
      <c r="O92" s="1027"/>
    </row>
    <row r="93" spans="13:15">
      <c r="M93" s="1025"/>
      <c r="N93" s="1025"/>
      <c r="O93" s="1027"/>
    </row>
    <row r="94" spans="13:15">
      <c r="M94" s="1025"/>
      <c r="N94" s="1025"/>
      <c r="O94" s="1027"/>
    </row>
    <row r="95" spans="13:15">
      <c r="M95" s="1025"/>
      <c r="N95" s="1025"/>
      <c r="O95" s="1027"/>
    </row>
    <row r="96" spans="13:15">
      <c r="M96" s="1025"/>
      <c r="N96" s="1025"/>
      <c r="O96" s="1027"/>
    </row>
    <row r="97" spans="13:15">
      <c r="M97" s="1025"/>
      <c r="N97" s="1025"/>
      <c r="O97" s="1027"/>
    </row>
    <row r="98" spans="13:15">
      <c r="M98" s="1025"/>
      <c r="N98" s="1025"/>
      <c r="O98" s="1027"/>
    </row>
    <row r="99" spans="13:15">
      <c r="M99" s="1025"/>
      <c r="N99" s="1025"/>
      <c r="O99" s="1027"/>
    </row>
    <row r="100" spans="13:15">
      <c r="M100" s="1025"/>
      <c r="N100" s="1025"/>
      <c r="O100" s="1027"/>
    </row>
    <row r="101" spans="13:15">
      <c r="M101" s="1025"/>
      <c r="N101" s="1025"/>
      <c r="O101" s="1027"/>
    </row>
    <row r="102" spans="13:15">
      <c r="M102" s="1025"/>
      <c r="N102" s="1025"/>
      <c r="O102" s="1027"/>
    </row>
    <row r="103" spans="13:15">
      <c r="M103" s="1025"/>
      <c r="N103" s="1025"/>
      <c r="O103" s="1027"/>
    </row>
    <row r="104" spans="13:15">
      <c r="M104" s="1025"/>
      <c r="N104" s="1025"/>
      <c r="O104" s="1027"/>
    </row>
    <row r="105" spans="13:15">
      <c r="M105" s="1025"/>
      <c r="N105" s="1025"/>
      <c r="O105" s="1027"/>
    </row>
    <row r="106" spans="13:15">
      <c r="M106" s="1025"/>
      <c r="N106" s="1025"/>
      <c r="O106" s="1027"/>
    </row>
    <row r="107" spans="13:15">
      <c r="M107" s="1025"/>
      <c r="N107" s="1025"/>
      <c r="O107" s="1027"/>
    </row>
    <row r="108" spans="13:15">
      <c r="M108" s="1025"/>
      <c r="N108" s="1025"/>
      <c r="O108" s="1027"/>
    </row>
    <row r="109" spans="13:15">
      <c r="M109" s="1025"/>
      <c r="N109" s="1025"/>
      <c r="O109" s="1027"/>
    </row>
    <row r="110" spans="13:15">
      <c r="M110" s="1025"/>
      <c r="N110" s="1025"/>
      <c r="O110" s="1027"/>
    </row>
    <row r="111" spans="13:15">
      <c r="M111" s="1025"/>
      <c r="N111" s="1025"/>
      <c r="O111" s="1027"/>
    </row>
    <row r="112" spans="13:15">
      <c r="M112" s="1025"/>
      <c r="N112" s="1025"/>
      <c r="O112" s="1027"/>
    </row>
    <row r="113" spans="13:15">
      <c r="M113" s="1025"/>
      <c r="N113" s="1025"/>
      <c r="O113" s="1027"/>
    </row>
    <row r="114" spans="13:15">
      <c r="M114" s="1025"/>
      <c r="N114" s="1025"/>
      <c r="O114" s="1027"/>
    </row>
    <row r="115" spans="13:15">
      <c r="M115" s="1025"/>
      <c r="N115" s="1025"/>
      <c r="O115" s="1027"/>
    </row>
    <row r="116" spans="13:15">
      <c r="M116" s="1025"/>
      <c r="N116" s="1025"/>
      <c r="O116" s="1027"/>
    </row>
    <row r="117" spans="13:15">
      <c r="M117" s="1025"/>
      <c r="N117" s="1025"/>
      <c r="O117" s="1027"/>
    </row>
    <row r="118" spans="13:15">
      <c r="M118" s="1025"/>
      <c r="N118" s="1025"/>
      <c r="O118" s="1027"/>
    </row>
    <row r="119" spans="13:15">
      <c r="M119" s="1025"/>
      <c r="N119" s="1025"/>
      <c r="O119" s="1027"/>
    </row>
    <row r="120" spans="13:15">
      <c r="M120" s="1025"/>
      <c r="N120" s="1025"/>
      <c r="O120" s="1027"/>
    </row>
    <row r="121" spans="13:15">
      <c r="M121" s="1025"/>
      <c r="N121" s="1025"/>
      <c r="O121" s="1027"/>
    </row>
    <row r="122" spans="13:15">
      <c r="M122" s="1025"/>
      <c r="N122" s="1025"/>
      <c r="O122" s="1027"/>
    </row>
    <row r="123" spans="13:15">
      <c r="M123" s="1025"/>
      <c r="N123" s="1025"/>
      <c r="O123" s="1027"/>
    </row>
    <row r="124" spans="13:15">
      <c r="M124" s="1025"/>
      <c r="N124" s="1025"/>
      <c r="O124" s="1027"/>
    </row>
    <row r="125" spans="13:15">
      <c r="M125" s="1025"/>
      <c r="N125" s="1025"/>
      <c r="O125" s="1027"/>
    </row>
    <row r="126" spans="13:15">
      <c r="M126" s="1025"/>
      <c r="N126" s="1025"/>
      <c r="O126" s="1027"/>
    </row>
    <row r="127" spans="13:15">
      <c r="M127" s="1025"/>
      <c r="N127" s="1025"/>
      <c r="O127" s="1027"/>
    </row>
    <row r="128" spans="13:15">
      <c r="M128" s="1025"/>
      <c r="N128" s="1025"/>
      <c r="O128" s="1027"/>
    </row>
    <row r="129" spans="6:15">
      <c r="M129" s="1025"/>
      <c r="N129" s="1025"/>
      <c r="O129" s="1027"/>
    </row>
    <row r="130" spans="6:15">
      <c r="M130" s="1025"/>
      <c r="N130" s="1025"/>
      <c r="O130" s="1027"/>
    </row>
    <row r="131" spans="6:15">
      <c r="M131" s="1025"/>
      <c r="N131" s="1025"/>
      <c r="O131" s="1027"/>
    </row>
    <row r="132" spans="6:15">
      <c r="M132" s="1025"/>
      <c r="N132" s="1025"/>
      <c r="O132" s="1027"/>
    </row>
    <row r="133" spans="6:15">
      <c r="F133" s="1025"/>
      <c r="G133" s="1025"/>
      <c r="H133" s="1025"/>
      <c r="I133" s="1025"/>
      <c r="J133" s="1025"/>
      <c r="K133" s="1025"/>
      <c r="L133" s="1025"/>
      <c r="M133" s="1025"/>
      <c r="N133" s="1025"/>
      <c r="O133" s="1027"/>
    </row>
    <row r="134" spans="6:15">
      <c r="M134" s="1025"/>
      <c r="N134" s="1025"/>
    </row>
    <row r="135" spans="6:15">
      <c r="M135" s="1025"/>
      <c r="N135" s="1025"/>
    </row>
    <row r="136" spans="6:15">
      <c r="M136" s="1025"/>
      <c r="N136" s="1025"/>
    </row>
    <row r="137" spans="6:15">
      <c r="M137" s="1025"/>
      <c r="N137" s="1025"/>
    </row>
    <row r="138" spans="6:15">
      <c r="M138" s="1025"/>
      <c r="N138" s="1025"/>
    </row>
    <row r="139" spans="6:15">
      <c r="M139" s="1025"/>
      <c r="N139" s="1025"/>
    </row>
    <row r="140" spans="6:15">
      <c r="M140" s="1025"/>
      <c r="N140" s="1025"/>
    </row>
    <row r="141" spans="6:15">
      <c r="M141" s="1025"/>
      <c r="N141" s="1025"/>
    </row>
    <row r="142" spans="6:15">
      <c r="M142" s="1025"/>
      <c r="N142" s="1025"/>
    </row>
    <row r="143" spans="6:15">
      <c r="M143" s="1025"/>
      <c r="N143" s="1025"/>
    </row>
    <row r="144" spans="6:15">
      <c r="M144" s="1025"/>
      <c r="N144" s="1025"/>
    </row>
    <row r="145" spans="13:14">
      <c r="M145" s="1025"/>
      <c r="N145" s="1025"/>
    </row>
    <row r="146" spans="13:14">
      <c r="M146" s="1025"/>
      <c r="N146" s="1025"/>
    </row>
    <row r="147" spans="13:14">
      <c r="M147" s="1025"/>
      <c r="N147" s="1025"/>
    </row>
    <row r="148" spans="13:14">
      <c r="M148" s="1025"/>
      <c r="N148" s="1025"/>
    </row>
    <row r="149" spans="13:14">
      <c r="M149" s="1025"/>
      <c r="N149" s="1025"/>
    </row>
    <row r="150" spans="13:14">
      <c r="M150" s="1025"/>
      <c r="N150" s="1025"/>
    </row>
    <row r="151" spans="13:14">
      <c r="M151" s="1025"/>
      <c r="N151" s="1025"/>
    </row>
    <row r="152" spans="13:14">
      <c r="M152" s="1025"/>
      <c r="N152" s="1025"/>
    </row>
    <row r="153" spans="13:14">
      <c r="M153" s="1025"/>
      <c r="N153" s="1025"/>
    </row>
    <row r="154" spans="13:14">
      <c r="M154" s="1025"/>
      <c r="N154" s="1025"/>
    </row>
    <row r="155" spans="13:14">
      <c r="M155" s="1025"/>
      <c r="N155" s="1025"/>
    </row>
    <row r="156" spans="13:14">
      <c r="M156" s="1025"/>
      <c r="N156" s="1025"/>
    </row>
    <row r="157" spans="13:14">
      <c r="M157" s="1025"/>
      <c r="N157" s="1025"/>
    </row>
    <row r="158" spans="13:14">
      <c r="M158" s="1025"/>
      <c r="N158" s="1025"/>
    </row>
    <row r="159" spans="13:14">
      <c r="M159" s="1025"/>
      <c r="N159" s="1025"/>
    </row>
    <row r="160" spans="13:14">
      <c r="M160" s="1025"/>
      <c r="N160" s="1025"/>
    </row>
    <row r="161" spans="13:14">
      <c r="M161" s="1025"/>
      <c r="N161" s="1025"/>
    </row>
    <row r="162" spans="13:14">
      <c r="M162" s="1025"/>
      <c r="N162" s="1025"/>
    </row>
    <row r="163" spans="13:14">
      <c r="M163" s="1025"/>
      <c r="N163" s="1025"/>
    </row>
    <row r="164" spans="13:14">
      <c r="M164" s="1025"/>
      <c r="N164" s="1025"/>
    </row>
    <row r="165" spans="13:14">
      <c r="M165" s="1025"/>
      <c r="N165" s="1025"/>
    </row>
    <row r="166" spans="13:14">
      <c r="M166" s="1025"/>
      <c r="N166" s="1025"/>
    </row>
    <row r="167" spans="13:14">
      <c r="M167" s="1025"/>
      <c r="N167" s="1025"/>
    </row>
    <row r="168" spans="13:14">
      <c r="M168" s="1025"/>
      <c r="N168" s="1025"/>
    </row>
    <row r="169" spans="13:14">
      <c r="M169" s="1025"/>
      <c r="N169" s="1025"/>
    </row>
    <row r="170" spans="13:14">
      <c r="M170" s="1025"/>
      <c r="N170" s="1025"/>
    </row>
    <row r="171" spans="13:14">
      <c r="M171" s="1025"/>
      <c r="N171" s="1025"/>
    </row>
    <row r="172" spans="13:14">
      <c r="M172" s="1025"/>
      <c r="N172" s="1025"/>
    </row>
    <row r="173" spans="13:14">
      <c r="M173" s="1025"/>
      <c r="N173" s="1025"/>
    </row>
    <row r="174" spans="13:14">
      <c r="M174" s="1025"/>
      <c r="N174" s="1025"/>
    </row>
    <row r="175" spans="13:14">
      <c r="M175" s="1025"/>
      <c r="N175" s="1025"/>
    </row>
    <row r="176" spans="13:14">
      <c r="M176" s="1025"/>
      <c r="N176" s="1025"/>
    </row>
    <row r="177" spans="13:14">
      <c r="M177" s="1025"/>
      <c r="N177" s="1025"/>
    </row>
    <row r="178" spans="13:14">
      <c r="M178" s="1025"/>
      <c r="N178" s="1025"/>
    </row>
    <row r="179" spans="13:14">
      <c r="M179" s="1025"/>
      <c r="N179" s="1025"/>
    </row>
    <row r="180" spans="13:14">
      <c r="M180" s="1025"/>
      <c r="N180" s="1025"/>
    </row>
    <row r="181" spans="13:14">
      <c r="M181" s="1025"/>
      <c r="N181" s="1025"/>
    </row>
    <row r="182" spans="13:14">
      <c r="M182" s="1025"/>
      <c r="N182" s="1025"/>
    </row>
    <row r="183" spans="13:14">
      <c r="M183" s="1025"/>
      <c r="N183" s="1025"/>
    </row>
    <row r="184" spans="13:14">
      <c r="M184" s="1025"/>
      <c r="N184" s="1025"/>
    </row>
    <row r="185" spans="13:14">
      <c r="M185" s="1025"/>
      <c r="N185" s="1025"/>
    </row>
    <row r="186" spans="13:14">
      <c r="M186" s="1025"/>
      <c r="N186" s="1025"/>
    </row>
    <row r="187" spans="13:14">
      <c r="M187" s="1025"/>
      <c r="N187" s="1025"/>
    </row>
    <row r="188" spans="13:14">
      <c r="M188" s="1025"/>
      <c r="N188" s="1025"/>
    </row>
    <row r="189" spans="13:14">
      <c r="M189" s="1025"/>
      <c r="N189" s="1025"/>
    </row>
    <row r="190" spans="13:14">
      <c r="M190" s="1025"/>
      <c r="N190" s="1025"/>
    </row>
    <row r="191" spans="13:14">
      <c r="M191" s="1025"/>
      <c r="N191" s="1025"/>
    </row>
    <row r="192" spans="13:14">
      <c r="M192" s="1025"/>
      <c r="N192" s="1025"/>
    </row>
    <row r="193" spans="13:14">
      <c r="M193" s="1025"/>
      <c r="N193" s="1025"/>
    </row>
    <row r="194" spans="13:14">
      <c r="M194" s="1025"/>
      <c r="N194" s="1025"/>
    </row>
    <row r="195" spans="13:14">
      <c r="M195" s="1025"/>
      <c r="N195" s="1025"/>
    </row>
    <row r="196" spans="13:14">
      <c r="M196" s="1025"/>
      <c r="N196" s="1025"/>
    </row>
    <row r="197" spans="13:14">
      <c r="M197" s="1025"/>
      <c r="N197" s="1025"/>
    </row>
    <row r="198" spans="13:14">
      <c r="M198" s="1025"/>
      <c r="N198" s="1025"/>
    </row>
    <row r="199" spans="13:14">
      <c r="M199" s="1025"/>
      <c r="N199" s="1025"/>
    </row>
    <row r="200" spans="13:14">
      <c r="M200" s="1025"/>
      <c r="N200" s="1025"/>
    </row>
    <row r="201" spans="13:14">
      <c r="M201" s="1025"/>
      <c r="N201" s="1025"/>
    </row>
    <row r="202" spans="13:14">
      <c r="M202" s="1025"/>
      <c r="N202" s="1025"/>
    </row>
    <row r="203" spans="13:14">
      <c r="M203" s="1025"/>
      <c r="N203" s="1025"/>
    </row>
    <row r="204" spans="13:14">
      <c r="M204" s="1025"/>
      <c r="N204" s="1025"/>
    </row>
    <row r="205" spans="13:14">
      <c r="M205" s="1025"/>
      <c r="N205" s="1025"/>
    </row>
  </sheetData>
  <phoneticPr fontId="68" type="noConversion"/>
  <pageMargins left="0.75" right="0.75" top="1" bottom="1" header="0.5" footer="0.5"/>
  <pageSetup paperSize="9" orientation="portrait" horizontalDpi="300" verticalDpi="300" r:id="rId1"/>
  <headerFooter alignWithMargins="0">
    <oddHeader>&amp;A</oddHeader>
    <oddFooter>Sayfa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0"/>
  <sheetViews>
    <sheetView workbookViewId="0">
      <selection activeCell="A35" sqref="A35"/>
    </sheetView>
  </sheetViews>
  <sheetFormatPr defaultColWidth="9.140625" defaultRowHeight="12.75"/>
  <cols>
    <col min="1" max="1" width="4.28515625" style="1165" customWidth="1"/>
    <col min="2" max="2" width="9.140625" style="1165"/>
    <col min="3" max="4" width="6.28515625" style="1165" customWidth="1"/>
    <col min="5" max="6" width="6.42578125" style="1165" customWidth="1"/>
    <col min="7" max="7" width="8.140625" style="1165" customWidth="1"/>
    <col min="8" max="8" width="6.85546875" style="1165" customWidth="1"/>
    <col min="9" max="9" width="10.42578125" style="1165" customWidth="1"/>
    <col min="10" max="10" width="6.42578125" style="1165" customWidth="1"/>
    <col min="11" max="12" width="7.42578125" style="1165" customWidth="1"/>
    <col min="13" max="14" width="5.85546875" style="1165" customWidth="1"/>
    <col min="15" max="15" width="5.28515625" style="1165" customWidth="1"/>
    <col min="16" max="16" width="6.42578125" style="1165" customWidth="1"/>
    <col min="17" max="17" width="6.28515625" style="1165" customWidth="1"/>
    <col min="18" max="18" width="6.42578125" style="1165" customWidth="1"/>
    <col min="19" max="19" width="8.5703125" style="1165" customWidth="1"/>
    <col min="20" max="20" width="6.7109375" style="1165" customWidth="1"/>
    <col min="21" max="22" width="6.85546875" style="1165" customWidth="1"/>
    <col min="23" max="23" width="6.42578125" style="1165" customWidth="1"/>
    <col min="24" max="24" width="9.42578125" style="1165" customWidth="1"/>
    <col min="25" max="25" width="7.42578125" style="1165" customWidth="1"/>
    <col min="26" max="26" width="7" style="1165" customWidth="1"/>
    <col min="27" max="28" width="6.7109375" style="1165" customWidth="1"/>
    <col min="29" max="32" width="6.5703125" style="1165" customWidth="1"/>
    <col min="33" max="33" width="9.42578125" style="1165" customWidth="1"/>
    <col min="34" max="34" width="6.7109375" style="1165" customWidth="1"/>
    <col min="35" max="36" width="6.42578125" style="1165" customWidth="1"/>
    <col min="37" max="39" width="5.28515625" style="1165" customWidth="1"/>
    <col min="40" max="40" width="7.42578125" style="1165" customWidth="1"/>
    <col min="41" max="44" width="5.28515625" style="1165" customWidth="1"/>
    <col min="45" max="45" width="6.5703125" style="1165" customWidth="1"/>
    <col min="46" max="46" width="6.28515625" style="1165" customWidth="1"/>
    <col min="47" max="47" width="8" style="1165" customWidth="1"/>
    <col min="48" max="48" width="7.85546875" style="1165" customWidth="1"/>
    <col min="49" max="49" width="6.140625" style="1165" customWidth="1"/>
    <col min="50" max="16384" width="9.140625" style="1165"/>
  </cols>
  <sheetData>
    <row r="1" spans="1:49" s="1151" customFormat="1" ht="20.25" customHeight="1">
      <c r="B1" s="1152"/>
      <c r="C1" s="1153"/>
      <c r="D1" s="1153"/>
      <c r="E1" s="1153"/>
      <c r="F1" s="1154"/>
      <c r="G1" s="1154"/>
      <c r="H1" s="1153"/>
      <c r="I1" s="1155" t="s">
        <v>329</v>
      </c>
      <c r="J1" s="1152"/>
      <c r="K1" s="1153"/>
      <c r="L1" s="1153"/>
      <c r="M1" s="1153"/>
      <c r="N1" s="1153"/>
      <c r="O1" s="1153"/>
      <c r="P1" s="1156"/>
      <c r="Q1" s="1156"/>
      <c r="R1" s="1156"/>
      <c r="S1" s="1154"/>
      <c r="T1" s="1154"/>
      <c r="U1" s="1153"/>
      <c r="V1" s="1153"/>
      <c r="W1" s="1153"/>
      <c r="X1" s="1153"/>
      <c r="Y1" s="1153"/>
      <c r="Z1" s="1153"/>
      <c r="AA1" s="1153"/>
      <c r="AB1" s="1153"/>
      <c r="AC1" s="1153"/>
      <c r="AD1" s="1153"/>
      <c r="AE1" s="1153"/>
      <c r="AF1" s="1153"/>
      <c r="AG1" s="1153"/>
      <c r="AH1" s="1153"/>
      <c r="AI1" s="1153"/>
      <c r="AJ1" s="1153"/>
      <c r="AK1" s="1153"/>
      <c r="AL1" s="1153"/>
      <c r="AM1" s="1153"/>
      <c r="AN1" s="1153"/>
      <c r="AO1" s="1157"/>
      <c r="AP1" s="1158"/>
      <c r="AQ1" s="1159"/>
      <c r="AR1" s="1158"/>
      <c r="AS1" s="1158"/>
      <c r="AT1" s="1158"/>
      <c r="AU1" s="1160"/>
      <c r="AV1" s="1161"/>
      <c r="AW1" s="1162"/>
    </row>
    <row r="2" spans="1:49" s="1151" customFormat="1" ht="20.25" customHeight="1">
      <c r="B2" s="1152"/>
      <c r="C2" s="1153"/>
      <c r="D2" s="1153"/>
      <c r="E2" s="1153"/>
      <c r="F2" s="1154"/>
      <c r="G2" s="1154"/>
      <c r="H2" s="1153"/>
      <c r="I2" s="1155" t="s">
        <v>330</v>
      </c>
      <c r="J2" s="1152"/>
      <c r="K2" s="1153"/>
      <c r="L2" s="1153"/>
      <c r="M2" s="1153"/>
      <c r="N2" s="1153"/>
      <c r="O2" s="1153"/>
      <c r="P2" s="1156"/>
      <c r="Q2" s="1156"/>
      <c r="R2" s="1156"/>
      <c r="S2" s="1154"/>
      <c r="T2" s="1154"/>
      <c r="U2" s="1153"/>
      <c r="V2" s="1153"/>
      <c r="W2" s="1153"/>
      <c r="X2" s="1153"/>
      <c r="Y2" s="1153"/>
      <c r="Z2" s="1153"/>
      <c r="AA2" s="1153"/>
      <c r="AB2" s="1153"/>
      <c r="AC2" s="1153"/>
      <c r="AD2" s="1153"/>
      <c r="AE2" s="1153"/>
      <c r="AF2" s="1153"/>
      <c r="AG2" s="1153"/>
      <c r="AH2" s="1153"/>
      <c r="AI2" s="1153"/>
      <c r="AJ2" s="1153"/>
      <c r="AK2" s="1153"/>
      <c r="AL2" s="1153"/>
      <c r="AM2" s="1153"/>
      <c r="AN2" s="1153"/>
      <c r="AO2" s="1157"/>
      <c r="AP2" s="1158"/>
      <c r="AQ2" s="1159"/>
      <c r="AR2" s="1158"/>
      <c r="AS2" s="1158"/>
      <c r="AT2" s="1158"/>
      <c r="AU2" s="1160"/>
      <c r="AV2" s="1161"/>
      <c r="AW2" s="1162"/>
    </row>
    <row r="3" spans="1:49" s="1174" customFormat="1" ht="20.25" customHeight="1">
      <c r="A3" s="1163" t="s">
        <v>331</v>
      </c>
      <c r="B3" s="1163"/>
      <c r="C3" s="1163"/>
      <c r="D3" s="1163"/>
      <c r="E3" s="1164"/>
      <c r="F3" s="1164"/>
      <c r="G3" s="1164"/>
      <c r="H3" s="1164"/>
      <c r="I3" s="1164"/>
      <c r="J3" s="1164"/>
      <c r="K3" s="1164"/>
      <c r="L3" s="1164"/>
      <c r="M3" s="1164"/>
      <c r="N3" s="1164"/>
      <c r="O3" s="1165"/>
      <c r="P3" s="1165"/>
      <c r="Q3" s="1165"/>
      <c r="R3" s="1165"/>
      <c r="S3" s="1165"/>
      <c r="T3" s="1166" t="s">
        <v>1940</v>
      </c>
      <c r="U3" s="1167"/>
      <c r="V3" s="1167"/>
      <c r="W3" s="1167"/>
      <c r="X3" s="1167"/>
      <c r="Y3" s="1167"/>
      <c r="Z3" s="1167"/>
      <c r="AA3" s="1167"/>
      <c r="AB3" s="1167"/>
      <c r="AC3" s="1167"/>
      <c r="AD3" s="1167"/>
      <c r="AE3" s="1167"/>
      <c r="AF3" s="1167"/>
      <c r="AG3" s="1167"/>
      <c r="AH3" s="1167"/>
      <c r="AI3" s="1167"/>
      <c r="AJ3" s="1167"/>
      <c r="AK3" s="1167"/>
      <c r="AL3" s="1167"/>
      <c r="AM3" s="1167"/>
      <c r="AN3" s="1167"/>
      <c r="AO3" s="1168"/>
      <c r="AP3" s="1169"/>
      <c r="AQ3" s="1170"/>
      <c r="AR3" s="1169"/>
      <c r="AS3" s="1169"/>
      <c r="AT3" s="1169"/>
      <c r="AU3" s="1171"/>
      <c r="AV3" s="1172"/>
      <c r="AW3" s="1173"/>
    </row>
    <row r="4" spans="1:49" s="1174" customFormat="1" ht="13.5" customHeight="1">
      <c r="A4" s="1175" t="s">
        <v>49</v>
      </c>
      <c r="B4" s="1176" t="s">
        <v>332</v>
      </c>
      <c r="C4" s="1177" t="s">
        <v>333</v>
      </c>
      <c r="D4" s="1177"/>
      <c r="E4" s="1177"/>
      <c r="F4" s="1177"/>
      <c r="G4" s="1178" t="s">
        <v>578</v>
      </c>
      <c r="H4" s="1178" t="s">
        <v>572</v>
      </c>
      <c r="I4" s="1178" t="s">
        <v>56</v>
      </c>
      <c r="J4" s="1178" t="s">
        <v>1952</v>
      </c>
      <c r="K4" s="1178" t="s">
        <v>105</v>
      </c>
      <c r="L4" s="1178" t="s">
        <v>106</v>
      </c>
      <c r="M4" s="1178" t="s">
        <v>0</v>
      </c>
      <c r="N4" s="1179" t="s">
        <v>107</v>
      </c>
      <c r="O4" s="1165"/>
      <c r="P4" s="1165"/>
      <c r="Q4" s="1165"/>
      <c r="R4" s="1165"/>
      <c r="S4" s="1165"/>
      <c r="T4" s="1166" t="s">
        <v>334</v>
      </c>
      <c r="U4" s="1167"/>
      <c r="V4" s="1167"/>
      <c r="W4" s="1167"/>
      <c r="X4" s="1167"/>
      <c r="Y4" s="1167"/>
      <c r="Z4" s="1167"/>
      <c r="AA4" s="1167"/>
      <c r="AB4" s="1167"/>
      <c r="AC4" s="1167"/>
      <c r="AD4" s="1167"/>
      <c r="AE4" s="1167"/>
      <c r="AF4" s="1167"/>
      <c r="AG4" s="1167"/>
      <c r="AH4" s="1167"/>
      <c r="AI4" s="1167"/>
      <c r="AJ4" s="1167"/>
      <c r="AK4" s="1167"/>
      <c r="AL4" s="1167"/>
      <c r="AM4" s="1167"/>
      <c r="AN4" s="1167"/>
      <c r="AO4" s="1168"/>
      <c r="AP4" s="1169"/>
      <c r="AQ4" s="1170"/>
      <c r="AR4" s="1169"/>
      <c r="AS4" s="1169"/>
      <c r="AT4" s="1169"/>
      <c r="AU4" s="1171"/>
      <c r="AV4" s="1172"/>
      <c r="AW4" s="1173"/>
    </row>
    <row r="5" spans="1:49" s="1174" customFormat="1" ht="13.5" customHeight="1">
      <c r="A5" s="1180" t="s">
        <v>57</v>
      </c>
      <c r="B5" s="1181" t="s">
        <v>335</v>
      </c>
      <c r="C5" s="1182" t="s">
        <v>570</v>
      </c>
      <c r="D5" s="1182" t="s">
        <v>1746</v>
      </c>
      <c r="E5" s="1182" t="s">
        <v>336</v>
      </c>
      <c r="F5" s="1182" t="s">
        <v>337</v>
      </c>
      <c r="G5" s="1182" t="s">
        <v>110</v>
      </c>
      <c r="H5" s="1182" t="s">
        <v>599</v>
      </c>
      <c r="I5" s="1182" t="s">
        <v>111</v>
      </c>
      <c r="J5" s="1182" t="s">
        <v>72</v>
      </c>
      <c r="K5" s="1182" t="s">
        <v>607</v>
      </c>
      <c r="L5" s="1182" t="s">
        <v>111</v>
      </c>
      <c r="M5" s="1182" t="s">
        <v>72</v>
      </c>
      <c r="N5" s="1183" t="s">
        <v>607</v>
      </c>
      <c r="O5" s="1165"/>
      <c r="P5" s="1165"/>
      <c r="Q5" s="1165"/>
      <c r="R5" s="1166" t="s">
        <v>1746</v>
      </c>
      <c r="S5" s="1166"/>
      <c r="T5" s="1166"/>
      <c r="U5" s="1167"/>
      <c r="V5" s="1167"/>
      <c r="W5" s="1167"/>
      <c r="X5" s="1167"/>
      <c r="Y5" s="1167"/>
      <c r="Z5" s="1167"/>
      <c r="AA5" s="1167"/>
      <c r="AB5" s="1167"/>
      <c r="AC5" s="1167"/>
      <c r="AD5" s="1167"/>
      <c r="AE5" s="1167"/>
      <c r="AF5" s="1167"/>
      <c r="AG5" s="1167"/>
      <c r="AH5" s="1167"/>
      <c r="AI5" s="1167"/>
      <c r="AJ5" s="1167"/>
      <c r="AK5" s="1167"/>
      <c r="AL5" s="1167"/>
      <c r="AM5" s="1167"/>
      <c r="AN5" s="1167"/>
      <c r="AO5" s="1168"/>
      <c r="AP5" s="1169"/>
      <c r="AQ5" s="1170"/>
      <c r="AR5" s="1169"/>
      <c r="AS5" s="1169"/>
      <c r="AT5" s="1169"/>
      <c r="AU5" s="1171"/>
      <c r="AV5" s="1172"/>
      <c r="AW5" s="1173"/>
    </row>
    <row r="6" spans="1:49" s="1174" customFormat="1" ht="13.5" customHeight="1">
      <c r="A6" s="1184">
        <v>1</v>
      </c>
      <c r="B6" s="1185" t="s">
        <v>338</v>
      </c>
      <c r="C6" s="1186">
        <v>60</v>
      </c>
      <c r="D6" s="1186">
        <v>60</v>
      </c>
      <c r="E6" s="1186">
        <v>3</v>
      </c>
      <c r="F6" s="1186">
        <v>3</v>
      </c>
      <c r="G6" s="1187">
        <f>(D6*C6-(D6-2*E6)*(C6-2*F6))/100</f>
        <v>6.84</v>
      </c>
      <c r="H6" s="1187">
        <f>G6*0.785</f>
        <v>5.3693999999999997</v>
      </c>
      <c r="I6" s="1187">
        <f>(D6*C6*C6*C6-(D6-2*E6)*(C6-2*F6)*(C6-2*F6)*(C6-2*F6))/12/10000</f>
        <v>37.141199999999998</v>
      </c>
      <c r="J6" s="1187">
        <f>2*10*I6/C6</f>
        <v>12.3804</v>
      </c>
      <c r="K6" s="1187">
        <f>SQRT(I6/G6)</f>
        <v>2.3302360395462087</v>
      </c>
      <c r="L6" s="1187">
        <f>(C6*D6*D6*D6-(C6-2*F6)*(D6-2*E6)*(D6-2*E6)*(D6-2*E6))/12/10000</f>
        <v>37.141199999999998</v>
      </c>
      <c r="M6" s="1187">
        <f>2*10*L6/D6</f>
        <v>12.3804</v>
      </c>
      <c r="N6" s="1187">
        <f>SQRT(L6/G6)</f>
        <v>2.3302360395462087</v>
      </c>
      <c r="O6" s="1188"/>
      <c r="P6" s="1165"/>
      <c r="Q6" s="1165"/>
      <c r="R6" s="1189"/>
      <c r="S6" s="1165"/>
      <c r="T6" s="1189"/>
      <c r="U6" s="1167"/>
      <c r="V6" s="1167"/>
      <c r="W6" s="1167"/>
      <c r="X6" s="1167"/>
      <c r="Y6" s="1167"/>
      <c r="Z6" s="1167"/>
      <c r="AA6" s="1167"/>
      <c r="AB6" s="1167"/>
      <c r="AC6" s="1167"/>
      <c r="AD6" s="1167"/>
      <c r="AE6" s="1167"/>
      <c r="AF6" s="1167"/>
      <c r="AG6" s="1167"/>
      <c r="AH6" s="1167"/>
      <c r="AI6" s="1167"/>
      <c r="AJ6" s="1167"/>
      <c r="AK6" s="1167"/>
      <c r="AL6" s="1167"/>
      <c r="AM6" s="1167"/>
      <c r="AN6" s="1167"/>
      <c r="AO6" s="1168"/>
      <c r="AP6" s="1169"/>
      <c r="AQ6" s="1170"/>
      <c r="AR6" s="1169"/>
      <c r="AS6" s="1169"/>
      <c r="AT6" s="1169"/>
      <c r="AU6" s="1171"/>
      <c r="AV6" s="1172"/>
      <c r="AW6" s="1173"/>
    </row>
    <row r="7" spans="1:49" s="1174" customFormat="1" ht="13.5" customHeight="1">
      <c r="A7" s="1184">
        <v>2</v>
      </c>
      <c r="B7" s="1185" t="s">
        <v>339</v>
      </c>
      <c r="C7" s="1186">
        <v>40</v>
      </c>
      <c r="D7" s="1186">
        <v>20</v>
      </c>
      <c r="E7" s="1186">
        <v>3</v>
      </c>
      <c r="F7" s="1186">
        <v>3</v>
      </c>
      <c r="G7" s="1187">
        <f>(D7*C7-(D7-2*E7)*(C7-2*F7))/100</f>
        <v>3.24</v>
      </c>
      <c r="H7" s="1187">
        <f>G7*0.785</f>
        <v>2.5434000000000001</v>
      </c>
      <c r="I7" s="1187">
        <f>(D7*C7*C7*C7-(D7-2*E7)*(C7-2*F7)*(C7-2*F7)*(C7-2*F7))/12/10000</f>
        <v>6.0811999999999999</v>
      </c>
      <c r="J7" s="1187">
        <f>2*10*I7/C7</f>
        <v>3.0406</v>
      </c>
      <c r="K7" s="1187">
        <f>SQRT(I7/G7)</f>
        <v>1.3700049562855288</v>
      </c>
      <c r="L7" s="1187">
        <f>(C7*D7*D7*D7-(C7-2*F7)*(D7-2*E7)*(D7-2*E7)*(D7-2*E7))/12/10000</f>
        <v>1.8892</v>
      </c>
      <c r="M7" s="1187">
        <f>2*10*L7/D7</f>
        <v>1.8892</v>
      </c>
      <c r="N7" s="1187">
        <f>SQRT(L7/G7)</f>
        <v>0.76360095583562915</v>
      </c>
      <c r="O7" s="1188"/>
      <c r="P7" s="1165"/>
      <c r="Q7" s="1190" t="s">
        <v>570</v>
      </c>
      <c r="R7" s="1191">
        <v>2</v>
      </c>
      <c r="S7" s="1192">
        <v>3</v>
      </c>
      <c r="T7" s="1191">
        <v>1</v>
      </c>
      <c r="U7" s="1193"/>
      <c r="V7" s="1193" t="s">
        <v>340</v>
      </c>
      <c r="W7" s="1193" t="s">
        <v>1939</v>
      </c>
      <c r="X7" s="1167"/>
      <c r="Y7" s="1167"/>
      <c r="Z7" s="1167"/>
      <c r="AA7" s="1167"/>
      <c r="AB7" s="1167"/>
      <c r="AC7" s="1167"/>
      <c r="AD7" s="1167"/>
      <c r="AE7" s="1167"/>
      <c r="AF7" s="1167"/>
      <c r="AG7" s="1167"/>
      <c r="AH7" s="1167"/>
      <c r="AI7" s="1167"/>
      <c r="AJ7" s="1167"/>
      <c r="AK7" s="1167"/>
      <c r="AL7" s="1167"/>
      <c r="AM7" s="1167"/>
      <c r="AN7" s="1167"/>
      <c r="AO7" s="1168"/>
      <c r="AP7" s="1169"/>
      <c r="AQ7" s="1170"/>
      <c r="AR7" s="1169"/>
      <c r="AS7" s="1169"/>
      <c r="AT7" s="1169"/>
      <c r="AU7" s="1171"/>
      <c r="AV7" s="1172"/>
      <c r="AW7" s="1173"/>
    </row>
    <row r="8" spans="1:49" s="1174" customFormat="1" ht="14.25" customHeight="1">
      <c r="A8" s="1184">
        <v>3</v>
      </c>
      <c r="B8" s="1185" t="s">
        <v>341</v>
      </c>
      <c r="C8" s="1186">
        <v>40</v>
      </c>
      <c r="D8" s="1186">
        <v>30</v>
      </c>
      <c r="E8" s="1186">
        <v>3</v>
      </c>
      <c r="F8" s="1186">
        <v>3</v>
      </c>
      <c r="G8" s="1187">
        <f>(D8*C8-(D8-2*E8)*(C8-2*F8))/100</f>
        <v>3.84</v>
      </c>
      <c r="H8" s="1187">
        <f>G8*0.785</f>
        <v>3.0144000000000002</v>
      </c>
      <c r="I8" s="1187">
        <f>(D8*C8*C8*C8-(D8-2*E8)*(C8-2*F8)*(C8-2*F8)*(C8-2*F8))/12/10000</f>
        <v>8.1392000000000007</v>
      </c>
      <c r="J8" s="1187">
        <f>2*10*I8/C8</f>
        <v>4.0696000000000003</v>
      </c>
      <c r="K8" s="1187">
        <f>SQRT(I8/G8)</f>
        <v>1.4558788869041728</v>
      </c>
      <c r="L8" s="1187">
        <f>(C8*D8*D8*D8-(C8-2*F8)*(D8-2*E8)*(D8-2*E8)*(D8-2*E8))/12/10000</f>
        <v>5.0831999999999997</v>
      </c>
      <c r="M8" s="1187">
        <f>2*10*L8/D8</f>
        <v>3.3887999999999994</v>
      </c>
      <c r="N8" s="1187">
        <f>SQRT(L8/G8)</f>
        <v>1.1505433499003852</v>
      </c>
      <c r="O8" s="1188"/>
      <c r="P8" s="1165"/>
      <c r="Q8" s="1165"/>
      <c r="R8" s="1194"/>
      <c r="S8" s="1165"/>
      <c r="T8" s="1194"/>
      <c r="U8" s="1167"/>
      <c r="V8" s="1167"/>
      <c r="W8" s="1167"/>
      <c r="X8" s="1167"/>
      <c r="Y8" s="1167"/>
      <c r="Z8" s="1167"/>
      <c r="AA8" s="1167"/>
      <c r="AB8" s="1167"/>
      <c r="AC8" s="1167"/>
      <c r="AD8" s="1167"/>
      <c r="AE8" s="1167"/>
      <c r="AF8" s="1167"/>
      <c r="AG8" s="1167"/>
      <c r="AH8" s="1167"/>
      <c r="AI8" s="1167"/>
      <c r="AJ8" s="1167"/>
      <c r="AK8" s="1167"/>
      <c r="AL8" s="1167"/>
      <c r="AM8" s="1167"/>
      <c r="AN8" s="1167"/>
      <c r="AO8" s="1168"/>
      <c r="AP8" s="1169"/>
      <c r="AQ8" s="1170"/>
      <c r="AR8" s="1169"/>
      <c r="AS8" s="1169"/>
      <c r="AT8" s="1169"/>
      <c r="AU8" s="1171"/>
      <c r="AV8" s="1172"/>
      <c r="AW8" s="1173"/>
    </row>
    <row r="9" spans="1:49" s="1174" customFormat="1" ht="15" customHeight="1">
      <c r="A9" s="1184">
        <v>4</v>
      </c>
      <c r="B9" s="1185" t="s">
        <v>342</v>
      </c>
      <c r="C9" s="1186">
        <v>30</v>
      </c>
      <c r="D9" s="1186">
        <v>30</v>
      </c>
      <c r="E9" s="1186">
        <v>3</v>
      </c>
      <c r="F9" s="1186">
        <v>3</v>
      </c>
      <c r="G9" s="1187">
        <f>(D9*C9-(D9-2*E9)*(C9-2*F9))/100</f>
        <v>3.24</v>
      </c>
      <c r="H9" s="1187">
        <f>G9*0.785</f>
        <v>2.5434000000000001</v>
      </c>
      <c r="I9" s="1187">
        <f>(D9*C9*C9*C9-(D9-2*E9)*(C9-2*F9)*(C9-2*F9)*(C9-2*F9))/12/10000</f>
        <v>3.9851999999999999</v>
      </c>
      <c r="J9" s="1187">
        <f>2*10*I9/C9</f>
        <v>2.6567999999999996</v>
      </c>
      <c r="K9" s="1187">
        <f>SQRT(I9/G9)</f>
        <v>1.1090536506409416</v>
      </c>
      <c r="L9" s="1187">
        <f>(C9*D9*D9*D9-(C9-2*F9)*(D9-2*E9)*(D9-2*E9)*(D9-2*E9))/12/10000</f>
        <v>3.9851999999999999</v>
      </c>
      <c r="M9" s="1187">
        <f>2*10*L9/D9</f>
        <v>2.6567999999999996</v>
      </c>
      <c r="N9" s="1187">
        <f>SQRT(L9/G9)</f>
        <v>1.1090536506409416</v>
      </c>
      <c r="O9" s="1167"/>
      <c r="P9" s="1195"/>
      <c r="Q9" s="1195"/>
      <c r="R9" s="1195"/>
      <c r="S9" s="1196" t="s">
        <v>573</v>
      </c>
      <c r="T9" s="1197"/>
      <c r="U9" s="1167"/>
      <c r="V9" s="1167"/>
      <c r="W9" s="1167"/>
      <c r="X9" s="1167"/>
      <c r="Y9" s="1167"/>
      <c r="Z9" s="1167"/>
      <c r="AA9" s="1167"/>
      <c r="AB9" s="1167"/>
      <c r="AC9" s="1167"/>
      <c r="AD9" s="1167"/>
      <c r="AE9" s="1167"/>
      <c r="AF9" s="1167"/>
      <c r="AG9" s="1167"/>
      <c r="AH9" s="1167"/>
      <c r="AI9" s="1167"/>
      <c r="AJ9" s="1167"/>
      <c r="AK9" s="1167"/>
      <c r="AL9" s="1167"/>
      <c r="AM9" s="1167"/>
      <c r="AN9" s="1167"/>
      <c r="AO9" s="1168"/>
      <c r="AP9" s="1169"/>
      <c r="AQ9" s="1170"/>
      <c r="AR9" s="1169"/>
      <c r="AS9" s="1169"/>
      <c r="AT9" s="1169"/>
      <c r="AU9" s="1171"/>
      <c r="AV9" s="1172"/>
      <c r="AW9" s="1173"/>
    </row>
    <row r="10" spans="1:49" s="1174" customFormat="1" ht="20.25" customHeight="1">
      <c r="B10" s="1198"/>
      <c r="C10" s="1167"/>
      <c r="D10" s="1167"/>
      <c r="E10" s="1167"/>
      <c r="F10" s="1197"/>
      <c r="G10" s="1197"/>
      <c r="H10" s="1167"/>
      <c r="I10" s="1184"/>
      <c r="J10" s="1198"/>
      <c r="K10" s="1167"/>
      <c r="L10" s="1167"/>
      <c r="M10" s="1167"/>
      <c r="N10" s="1167"/>
      <c r="O10" s="1167"/>
      <c r="P10" s="1195"/>
      <c r="Q10" s="1195"/>
      <c r="R10" s="1195"/>
      <c r="S10" s="1196"/>
      <c r="T10" s="1197"/>
      <c r="U10" s="1167"/>
      <c r="V10" s="1167"/>
      <c r="W10" s="1167"/>
      <c r="X10" s="1167"/>
      <c r="Y10" s="1167"/>
      <c r="Z10" s="1167"/>
      <c r="AA10" s="1167"/>
      <c r="AB10" s="1167"/>
      <c r="AC10" s="1167"/>
      <c r="AD10" s="1167"/>
      <c r="AE10" s="1167"/>
      <c r="AF10" s="1167"/>
      <c r="AG10" s="1167"/>
      <c r="AH10" s="1167"/>
      <c r="AI10" s="1167"/>
      <c r="AJ10" s="1167"/>
      <c r="AK10" s="1167"/>
      <c r="AL10" s="1167"/>
      <c r="AM10" s="1167"/>
      <c r="AN10" s="1167"/>
      <c r="AO10" s="1168"/>
      <c r="AP10" s="1169"/>
      <c r="AQ10" s="1170"/>
      <c r="AR10" s="1169"/>
      <c r="AS10" s="1169"/>
      <c r="AT10" s="1169"/>
      <c r="AU10" s="1171"/>
      <c r="AV10" s="1172"/>
      <c r="AW10" s="1173"/>
    </row>
    <row r="11" spans="1:49" s="1174" customFormat="1" ht="20.25" customHeight="1">
      <c r="B11" s="1184" t="s">
        <v>343</v>
      </c>
      <c r="C11" s="1199">
        <v>960</v>
      </c>
      <c r="D11" s="1200">
        <f t="shared" ref="D11:I11" si="0">C11</f>
        <v>960</v>
      </c>
      <c r="E11" s="1200">
        <f t="shared" si="0"/>
        <v>960</v>
      </c>
      <c r="F11" s="1200">
        <f t="shared" si="0"/>
        <v>960</v>
      </c>
      <c r="G11" s="1200">
        <f t="shared" si="0"/>
        <v>960</v>
      </c>
      <c r="H11" s="1200">
        <f t="shared" si="0"/>
        <v>960</v>
      </c>
      <c r="I11" s="1201">
        <f t="shared" si="0"/>
        <v>960</v>
      </c>
      <c r="J11" s="1193"/>
      <c r="K11" s="1193"/>
      <c r="L11" s="1193"/>
      <c r="M11" s="1193"/>
      <c r="N11" s="1193"/>
      <c r="O11" s="1193"/>
      <c r="P11" s="1193"/>
      <c r="Q11" s="1193"/>
      <c r="R11" s="1193"/>
      <c r="S11" s="1193"/>
      <c r="T11" s="1202"/>
      <c r="U11" s="1193"/>
      <c r="V11" s="1167"/>
      <c r="W11" s="1167"/>
      <c r="X11" s="1167"/>
      <c r="Y11" s="1167"/>
      <c r="Z11" s="1167"/>
      <c r="AA11" s="1167"/>
      <c r="AB11" s="1167"/>
      <c r="AC11" s="1167"/>
      <c r="AD11" s="1167"/>
      <c r="AE11" s="1167"/>
      <c r="AF11" s="1167"/>
      <c r="AG11" s="1167"/>
      <c r="AH11" s="1167"/>
      <c r="AI11" s="1167"/>
      <c r="AJ11" s="1167"/>
      <c r="AK11" s="1167"/>
      <c r="AL11" s="1167"/>
      <c r="AM11" s="1167"/>
      <c r="AN11" s="1167"/>
      <c r="AO11" s="1168"/>
      <c r="AP11" s="1169"/>
      <c r="AQ11" s="1170"/>
      <c r="AR11" s="1169"/>
      <c r="AS11" s="1169"/>
      <c r="AT11" s="1169"/>
      <c r="AU11" s="1171"/>
      <c r="AV11" s="1172"/>
      <c r="AW11" s="1173"/>
    </row>
    <row r="12" spans="1:49" s="1174" customFormat="1" ht="20.25" customHeight="1">
      <c r="B12" s="1184" t="s">
        <v>1881</v>
      </c>
      <c r="C12" s="1203">
        <f>C11</f>
        <v>960</v>
      </c>
      <c r="D12" s="1167">
        <f>D11+C11</f>
        <v>1920</v>
      </c>
      <c r="E12" s="1167">
        <f>+D12+E11</f>
        <v>2880</v>
      </c>
      <c r="F12" s="1167">
        <f>+E12+F11</f>
        <v>3840</v>
      </c>
      <c r="G12" s="1167">
        <f>+F12+G11</f>
        <v>4800</v>
      </c>
      <c r="H12" s="1167">
        <f>+G12+H11</f>
        <v>5760</v>
      </c>
      <c r="I12" s="1204">
        <f>+H12+I11</f>
        <v>6720</v>
      </c>
      <c r="J12" s="1193"/>
      <c r="K12" s="1193"/>
      <c r="L12" s="1193"/>
      <c r="M12" s="1193"/>
      <c r="N12" s="1193"/>
      <c r="O12" s="1193"/>
      <c r="P12" s="1205"/>
      <c r="Q12" s="1205"/>
      <c r="R12" s="1205"/>
      <c r="S12" s="1196"/>
      <c r="T12" s="1197"/>
      <c r="U12" s="1167"/>
      <c r="V12" s="1167"/>
      <c r="W12" s="1167"/>
      <c r="X12" s="1167"/>
      <c r="Y12" s="1167"/>
      <c r="Z12" s="1167"/>
      <c r="AA12" s="1167"/>
      <c r="AB12" s="1167"/>
      <c r="AC12" s="1167"/>
      <c r="AD12" s="1167"/>
      <c r="AE12" s="1167"/>
      <c r="AF12" s="1167"/>
      <c r="AG12" s="1167"/>
      <c r="AH12" s="1167"/>
      <c r="AI12" s="1167"/>
      <c r="AJ12" s="1167"/>
      <c r="AK12" s="1167"/>
      <c r="AL12" s="1167"/>
      <c r="AM12" s="1167"/>
      <c r="AN12" s="1167"/>
      <c r="AO12" s="1168"/>
      <c r="AP12" s="1169"/>
      <c r="AQ12" s="1170"/>
      <c r="AR12" s="1169"/>
      <c r="AS12" s="1169"/>
      <c r="AT12" s="1169"/>
      <c r="AU12" s="1171"/>
      <c r="AV12" s="1172"/>
      <c r="AW12" s="1173"/>
    </row>
    <row r="13" spans="1:49" s="1174" customFormat="1" ht="20.25" customHeight="1">
      <c r="B13" s="1184" t="s">
        <v>344</v>
      </c>
      <c r="C13" s="1203">
        <v>275</v>
      </c>
      <c r="D13" s="1167">
        <v>200</v>
      </c>
      <c r="E13" s="1167">
        <v>125</v>
      </c>
      <c r="F13" s="1167">
        <v>100</v>
      </c>
      <c r="G13" s="1167">
        <f>-E13</f>
        <v>-125</v>
      </c>
      <c r="H13" s="1167">
        <f>-D13</f>
        <v>-200</v>
      </c>
      <c r="I13" s="1204">
        <f>-C13</f>
        <v>-275</v>
      </c>
      <c r="J13" s="1193"/>
      <c r="K13" s="1193"/>
      <c r="L13" s="1193"/>
      <c r="M13" s="1193"/>
      <c r="N13" s="1193"/>
      <c r="O13" s="1193"/>
      <c r="P13" s="1205"/>
      <c r="Q13" s="1205"/>
      <c r="R13" s="1205"/>
      <c r="S13" s="1196"/>
      <c r="T13" s="1197"/>
      <c r="U13" s="1167"/>
      <c r="V13" s="1167"/>
      <c r="W13" s="1167"/>
      <c r="X13" s="1167"/>
      <c r="Y13" s="1167"/>
      <c r="Z13" s="1167"/>
      <c r="AA13" s="1167"/>
      <c r="AB13" s="1167"/>
      <c r="AC13" s="1167"/>
      <c r="AD13" s="1167"/>
      <c r="AE13" s="1167"/>
      <c r="AF13" s="1167"/>
      <c r="AG13" s="1167"/>
      <c r="AH13" s="1167"/>
      <c r="AI13" s="1167"/>
      <c r="AJ13" s="1167"/>
      <c r="AK13" s="1167"/>
      <c r="AL13" s="1167"/>
      <c r="AM13" s="1167"/>
      <c r="AN13" s="1167"/>
      <c r="AO13" s="1168"/>
      <c r="AP13" s="1169"/>
      <c r="AQ13" s="1170"/>
      <c r="AR13" s="1169"/>
      <c r="AS13" s="1169"/>
      <c r="AT13" s="1169"/>
      <c r="AU13" s="1171"/>
      <c r="AV13" s="1172"/>
      <c r="AW13" s="1173"/>
    </row>
    <row r="14" spans="1:49" s="1174" customFormat="1" ht="20.25" customHeight="1">
      <c r="B14" s="1184" t="s">
        <v>573</v>
      </c>
      <c r="C14" s="1206">
        <f>C13</f>
        <v>275</v>
      </c>
      <c r="D14" s="1207">
        <f>+C14+D13</f>
        <v>475</v>
      </c>
      <c r="E14" s="1207">
        <f>+D14+E13</f>
        <v>600</v>
      </c>
      <c r="F14" s="1207">
        <f>+E14+F13</f>
        <v>700</v>
      </c>
      <c r="G14" s="1207">
        <f>E14</f>
        <v>600</v>
      </c>
      <c r="H14" s="1207">
        <f>D14</f>
        <v>475</v>
      </c>
      <c r="I14" s="1208">
        <f>C14</f>
        <v>275</v>
      </c>
      <c r="J14" s="1209"/>
      <c r="K14" s="1193"/>
      <c r="L14" s="1193"/>
      <c r="M14" s="1193"/>
      <c r="N14" s="1167"/>
      <c r="O14" s="1167"/>
      <c r="P14" s="1195"/>
      <c r="Q14" s="1195"/>
      <c r="R14" s="1195"/>
      <c r="S14" s="1196"/>
      <c r="T14" s="1197"/>
      <c r="U14" s="1167"/>
      <c r="V14" s="1167"/>
      <c r="W14" s="1167"/>
      <c r="X14" s="1167"/>
      <c r="Y14" s="1167"/>
      <c r="Z14" s="1167"/>
      <c r="AA14" s="1167"/>
      <c r="AB14" s="1167"/>
      <c r="AC14" s="1167"/>
      <c r="AD14" s="1167"/>
      <c r="AE14" s="1167"/>
      <c r="AF14" s="1167"/>
      <c r="AG14" s="1167"/>
      <c r="AH14" s="1167"/>
      <c r="AI14" s="1167"/>
      <c r="AJ14" s="1167"/>
      <c r="AK14" s="1167"/>
      <c r="AL14" s="1167"/>
      <c r="AM14" s="1167"/>
      <c r="AN14" s="1167"/>
      <c r="AO14" s="1168"/>
      <c r="AP14" s="1169"/>
      <c r="AQ14" s="1170"/>
      <c r="AR14" s="1169"/>
      <c r="AS14" s="1169"/>
      <c r="AT14" s="1169"/>
      <c r="AU14" s="1171"/>
      <c r="AV14" s="1172"/>
      <c r="AW14" s="1173"/>
    </row>
    <row r="15" spans="1:49" s="1188" customFormat="1" ht="20.25" customHeight="1">
      <c r="A15" s="1210"/>
      <c r="B15" s="1210"/>
      <c r="C15" s="1210"/>
      <c r="D15" s="1210"/>
      <c r="E15" s="1210"/>
      <c r="F15" s="1210"/>
      <c r="G15" s="1210"/>
      <c r="H15" s="1210"/>
      <c r="I15" s="1211" t="s">
        <v>345</v>
      </c>
      <c r="J15" s="1212"/>
      <c r="K15" s="1212"/>
      <c r="L15" s="1212"/>
      <c r="M15" s="1212"/>
      <c r="N15" s="1212"/>
      <c r="O15" s="1212"/>
      <c r="P15" s="1212"/>
      <c r="Q15" s="1212"/>
      <c r="R15" s="1212"/>
      <c r="S15" s="1212"/>
      <c r="T15" s="1212"/>
      <c r="U15" s="1212"/>
      <c r="V15" s="1212"/>
      <c r="W15" s="1212"/>
      <c r="X15" s="1212"/>
      <c r="Y15" s="1212"/>
      <c r="Z15" s="1212"/>
      <c r="AA15" s="1212"/>
      <c r="AB15" s="1212"/>
      <c r="AC15" s="1212"/>
      <c r="AD15" s="1212"/>
      <c r="AE15" s="1212"/>
      <c r="AF15" s="1212"/>
      <c r="AG15" s="1212"/>
      <c r="AH15" s="1212"/>
      <c r="AI15" s="1212"/>
      <c r="AJ15" s="1212"/>
      <c r="AK15" s="1212"/>
      <c r="AL15" s="1212"/>
      <c r="AM15" s="1212"/>
      <c r="AO15" s="1213"/>
      <c r="AP15" s="1214"/>
      <c r="AQ15" s="1215"/>
      <c r="AR15" s="1216"/>
      <c r="AS15" s="1217"/>
      <c r="AT15" s="1211"/>
      <c r="AU15" s="1218"/>
      <c r="AV15" s="1218"/>
    </row>
    <row r="16" spans="1:49">
      <c r="A16" s="1219" t="s">
        <v>49</v>
      </c>
      <c r="B16" s="1220" t="s">
        <v>346</v>
      </c>
      <c r="C16" s="1220"/>
      <c r="D16" s="1221" t="s">
        <v>347</v>
      </c>
      <c r="E16" s="1222"/>
      <c r="F16" s="1223" t="s">
        <v>348</v>
      </c>
      <c r="G16" s="1224"/>
      <c r="H16" s="1225" t="s">
        <v>349</v>
      </c>
      <c r="I16" s="1226" t="s">
        <v>332</v>
      </c>
      <c r="J16" s="1227" t="s">
        <v>350</v>
      </c>
      <c r="K16" s="1227" t="s">
        <v>351</v>
      </c>
      <c r="L16" s="1226" t="s">
        <v>352</v>
      </c>
      <c r="M16" s="1226"/>
      <c r="N16" s="1226"/>
      <c r="O16" s="1226" t="s">
        <v>353</v>
      </c>
      <c r="P16" s="1226"/>
      <c r="Q16" s="1226" t="s">
        <v>354</v>
      </c>
      <c r="R16" s="1226"/>
      <c r="S16" s="1226" t="s">
        <v>155</v>
      </c>
      <c r="T16" s="1226" t="s">
        <v>355</v>
      </c>
      <c r="U16" s="1226"/>
      <c r="V16" s="1228"/>
    </row>
    <row r="17" spans="1:49">
      <c r="A17" s="1229"/>
      <c r="B17" s="1230" t="s">
        <v>356</v>
      </c>
      <c r="C17" s="1231" t="s">
        <v>357</v>
      </c>
      <c r="D17" s="1232" t="s">
        <v>358</v>
      </c>
      <c r="E17" s="1231"/>
      <c r="F17" s="1233" t="s">
        <v>359</v>
      </c>
      <c r="G17" s="1234"/>
      <c r="H17" s="1234" t="s">
        <v>360</v>
      </c>
      <c r="I17" s="1231" t="s">
        <v>361</v>
      </c>
      <c r="J17" s="1235" t="s">
        <v>362</v>
      </c>
      <c r="K17" s="1236" t="s">
        <v>360</v>
      </c>
      <c r="L17" s="1231" t="s">
        <v>363</v>
      </c>
      <c r="M17" s="1231" t="s">
        <v>364</v>
      </c>
      <c r="N17" s="1231"/>
      <c r="O17" s="1231" t="s">
        <v>365</v>
      </c>
      <c r="P17" s="1231" t="s">
        <v>366</v>
      </c>
      <c r="Q17" s="1231" t="s">
        <v>1884</v>
      </c>
      <c r="R17" s="1231"/>
      <c r="S17" s="1231" t="s">
        <v>367</v>
      </c>
      <c r="T17" s="1231" t="s">
        <v>368</v>
      </c>
      <c r="U17" s="1231"/>
      <c r="V17" s="1237"/>
    </row>
    <row r="18" spans="1:49">
      <c r="A18" s="1238" t="s">
        <v>57</v>
      </c>
      <c r="B18" s="1239" t="s">
        <v>58</v>
      </c>
      <c r="C18" s="1239" t="s">
        <v>58</v>
      </c>
      <c r="D18" s="1239" t="s">
        <v>369</v>
      </c>
      <c r="E18" s="1239" t="s">
        <v>370</v>
      </c>
      <c r="F18" s="1240" t="s">
        <v>340</v>
      </c>
      <c r="G18" s="1240" t="s">
        <v>334</v>
      </c>
      <c r="H18" s="1241" t="s">
        <v>371</v>
      </c>
      <c r="I18" s="1242" t="s">
        <v>372</v>
      </c>
      <c r="J18" s="1182" t="s">
        <v>371</v>
      </c>
      <c r="K18" s="1182" t="s">
        <v>371</v>
      </c>
      <c r="L18" s="1242" t="s">
        <v>373</v>
      </c>
      <c r="M18" s="1242" t="s">
        <v>1939</v>
      </c>
      <c r="N18" s="1242" t="s">
        <v>1940</v>
      </c>
      <c r="O18" s="1242" t="s">
        <v>607</v>
      </c>
      <c r="P18" s="1242" t="s">
        <v>607</v>
      </c>
      <c r="Q18" s="1242" t="s">
        <v>1705</v>
      </c>
      <c r="R18" s="1242" t="s">
        <v>286</v>
      </c>
      <c r="S18" s="1242" t="s">
        <v>374</v>
      </c>
      <c r="T18" s="1242" t="s">
        <v>375</v>
      </c>
      <c r="U18" s="1242" t="s">
        <v>376</v>
      </c>
      <c r="V18" s="1243" t="s">
        <v>291</v>
      </c>
    </row>
    <row r="19" spans="1:49">
      <c r="A19" s="1244">
        <v>1</v>
      </c>
      <c r="B19" s="1245">
        <v>250</v>
      </c>
      <c r="C19" s="1246">
        <v>50</v>
      </c>
      <c r="D19" s="1247">
        <v>2.7</v>
      </c>
      <c r="E19" s="1247">
        <f>D19</f>
        <v>2.7</v>
      </c>
      <c r="F19" s="1248">
        <f>+B19*(D19+E19)/2</f>
        <v>675</v>
      </c>
      <c r="G19" s="1248">
        <f>+C19*(D19+E19)/2</f>
        <v>135</v>
      </c>
      <c r="H19" s="1246">
        <f>I12/1000</f>
        <v>6.72</v>
      </c>
      <c r="I19" s="1248">
        <f>F19*H19*H19/8</f>
        <v>3810.24</v>
      </c>
      <c r="J19" s="1249">
        <f>+F14/1000</f>
        <v>0.7</v>
      </c>
      <c r="K19" s="1249">
        <f>+C11/1000</f>
        <v>0.96</v>
      </c>
      <c r="L19" s="1250">
        <f>I19/J19</f>
        <v>5443.2</v>
      </c>
      <c r="M19" s="1251">
        <f>F19*K19*K19/10</f>
        <v>62.207999999999991</v>
      </c>
      <c r="N19" s="1252">
        <f>+G19*K19*K19/10</f>
        <v>12.441599999999999</v>
      </c>
      <c r="O19" s="1250">
        <f>+C11/10</f>
        <v>96</v>
      </c>
      <c r="P19" s="1250">
        <f>O19</f>
        <v>96</v>
      </c>
      <c r="Q19" s="1250">
        <f>+O19/N6</f>
        <v>41.197543240595955</v>
      </c>
      <c r="R19" s="1253">
        <f>P19/K6</f>
        <v>41.197543240595955</v>
      </c>
      <c r="S19" s="1254">
        <v>1.1000000000000001</v>
      </c>
      <c r="T19" s="1250">
        <f>S19*L19/G6</f>
        <v>875.36842105263167</v>
      </c>
      <c r="U19" s="1250">
        <f>100*(M19/M6+N19/J6)</f>
        <v>602.96597848211684</v>
      </c>
      <c r="V19" s="1255">
        <f>SUM(T19:U19)</f>
        <v>1478.3343995347486</v>
      </c>
      <c r="W19" s="1256" t="s">
        <v>377</v>
      </c>
    </row>
    <row r="20" spans="1:49">
      <c r="A20" s="1257">
        <v>2</v>
      </c>
      <c r="B20" s="1258">
        <f t="shared" ref="B20:L20" si="1">B19</f>
        <v>250</v>
      </c>
      <c r="C20" s="1258">
        <f t="shared" si="1"/>
        <v>50</v>
      </c>
      <c r="D20" s="1259">
        <f t="shared" si="1"/>
        <v>2.7</v>
      </c>
      <c r="E20" s="1259">
        <f t="shared" si="1"/>
        <v>2.7</v>
      </c>
      <c r="F20" s="1260">
        <f t="shared" si="1"/>
        <v>675</v>
      </c>
      <c r="G20" s="1260">
        <f t="shared" si="1"/>
        <v>135</v>
      </c>
      <c r="H20" s="1261">
        <f t="shared" si="1"/>
        <v>6.72</v>
      </c>
      <c r="I20" s="1260">
        <f t="shared" si="1"/>
        <v>3810.24</v>
      </c>
      <c r="J20" s="1262">
        <f t="shared" si="1"/>
        <v>0.7</v>
      </c>
      <c r="K20" s="1262">
        <f t="shared" si="1"/>
        <v>0.96</v>
      </c>
      <c r="L20" s="1250">
        <f t="shared" si="1"/>
        <v>5443.2</v>
      </c>
      <c r="M20" s="1248">
        <v>0</v>
      </c>
      <c r="N20" s="1248">
        <v>0</v>
      </c>
      <c r="O20" s="1250">
        <f>O19</f>
        <v>96</v>
      </c>
      <c r="P20" s="1250">
        <f>+E12/10</f>
        <v>288</v>
      </c>
      <c r="Q20" s="1250">
        <f>O20/N7</f>
        <v>125.72011502387998</v>
      </c>
      <c r="R20" s="1250">
        <f>+P20/K7</f>
        <v>210.21821759013889</v>
      </c>
      <c r="S20" s="1248">
        <v>1</v>
      </c>
      <c r="T20" s="1250">
        <f>S20*L20/G7</f>
        <v>1679.9999999999998</v>
      </c>
      <c r="U20" s="1263">
        <f>100*(M20/M7+N20/J7)</f>
        <v>0</v>
      </c>
      <c r="V20" s="1255">
        <f>SUM(T20:U20)</f>
        <v>1679.9999999999998</v>
      </c>
      <c r="W20" s="1188" t="s">
        <v>378</v>
      </c>
    </row>
    <row r="21" spans="1:49">
      <c r="A21" s="1257">
        <v>3</v>
      </c>
      <c r="B21" s="1258">
        <f t="shared" ref="B21:K22" si="2">B20</f>
        <v>250</v>
      </c>
      <c r="C21" s="1258">
        <f t="shared" si="2"/>
        <v>50</v>
      </c>
      <c r="D21" s="1259">
        <f t="shared" si="2"/>
        <v>2.7</v>
      </c>
      <c r="E21" s="1259">
        <f t="shared" si="2"/>
        <v>2.7</v>
      </c>
      <c r="F21" s="1260">
        <f t="shared" si="2"/>
        <v>675</v>
      </c>
      <c r="G21" s="1260">
        <f t="shared" si="2"/>
        <v>135</v>
      </c>
      <c r="H21" s="1261">
        <f t="shared" si="2"/>
        <v>6.72</v>
      </c>
      <c r="I21" s="1260">
        <f t="shared" si="2"/>
        <v>3810.24</v>
      </c>
      <c r="J21" s="1262">
        <f t="shared" si="2"/>
        <v>0.7</v>
      </c>
      <c r="K21" s="1262">
        <f t="shared" si="2"/>
        <v>0.96</v>
      </c>
      <c r="L21" s="1264">
        <f>(F21*H21/2)*O21*10/C13</f>
        <v>8235.821686685309</v>
      </c>
      <c r="M21" s="1260">
        <v>0</v>
      </c>
      <c r="N21" s="1260">
        <v>0</v>
      </c>
      <c r="O21" s="1264">
        <f>SQRT(C12*C12+C14*C14)/10</f>
        <v>99.8611536083977</v>
      </c>
      <c r="P21" s="1264">
        <f>O21</f>
        <v>99.8611536083977</v>
      </c>
      <c r="Q21" s="1250">
        <f>O21/N8</f>
        <v>86.794777108610248</v>
      </c>
      <c r="R21" s="1250">
        <f>+P21/K8</f>
        <v>68.591662745206534</v>
      </c>
      <c r="S21" s="1248">
        <v>1</v>
      </c>
      <c r="T21" s="1250">
        <f>S21*L21/G8</f>
        <v>2144.7452309076325</v>
      </c>
      <c r="U21" s="1263">
        <f>100*(M21/M8+N21/J8)</f>
        <v>0</v>
      </c>
      <c r="V21" s="1255">
        <f>SUM(T21:U21)</f>
        <v>2144.7452309076325</v>
      </c>
      <c r="W21" s="1265" t="s">
        <v>378</v>
      </c>
    </row>
    <row r="22" spans="1:49">
      <c r="A22" s="1236">
        <v>4</v>
      </c>
      <c r="B22" s="1258">
        <f t="shared" si="2"/>
        <v>250</v>
      </c>
      <c r="C22" s="1258">
        <f t="shared" si="2"/>
        <v>50</v>
      </c>
      <c r="D22" s="1259">
        <f t="shared" si="2"/>
        <v>2.7</v>
      </c>
      <c r="E22" s="1259">
        <f t="shared" si="2"/>
        <v>2.7</v>
      </c>
      <c r="F22" s="1260">
        <f t="shared" si="2"/>
        <v>675</v>
      </c>
      <c r="G22" s="1260">
        <f t="shared" si="2"/>
        <v>135</v>
      </c>
      <c r="H22" s="1261">
        <f t="shared" si="2"/>
        <v>6.72</v>
      </c>
      <c r="I22" s="1260">
        <f t="shared" si="2"/>
        <v>3810.24</v>
      </c>
      <c r="J22" s="1262">
        <f t="shared" si="2"/>
        <v>0.7</v>
      </c>
      <c r="K22" s="1262">
        <f t="shared" si="2"/>
        <v>0.96</v>
      </c>
      <c r="L22" s="1264">
        <f>+F22*H22/2</f>
        <v>2268</v>
      </c>
      <c r="M22" s="1260">
        <v>0</v>
      </c>
      <c r="N22" s="1260">
        <v>0</v>
      </c>
      <c r="O22" s="1264">
        <f>J22*100</f>
        <v>70</v>
      </c>
      <c r="P22" s="1264">
        <f>O22</f>
        <v>70</v>
      </c>
      <c r="Q22" s="1250">
        <f>O22/N9</f>
        <v>63.116874426720265</v>
      </c>
      <c r="R22" s="1253">
        <f>+P22/K9</f>
        <v>63.116874426720265</v>
      </c>
      <c r="S22" s="1254">
        <v>1.4</v>
      </c>
      <c r="T22" s="1250">
        <f>S22*L22/G9</f>
        <v>979.99999999999989</v>
      </c>
      <c r="U22" s="1263">
        <f>100*(M22/M9+N22/J9)</f>
        <v>0</v>
      </c>
      <c r="V22" s="1255">
        <f>SUM(T22:U22)</f>
        <v>979.99999999999989</v>
      </c>
      <c r="W22" s="1256" t="s">
        <v>377</v>
      </c>
    </row>
    <row r="23" spans="1:49" s="1188" customFormat="1" ht="20.25" customHeight="1">
      <c r="A23" s="1210"/>
      <c r="B23" s="1210"/>
      <c r="C23" s="1210"/>
      <c r="D23" s="1210"/>
      <c r="E23" s="1210"/>
      <c r="F23" s="1210"/>
      <c r="G23" s="1210"/>
      <c r="H23" s="1210"/>
      <c r="I23" s="1211" t="s">
        <v>379</v>
      </c>
      <c r="J23" s="1212"/>
      <c r="K23" s="1212"/>
      <c r="L23" s="1212"/>
      <c r="M23" s="1212"/>
      <c r="N23" s="1212"/>
      <c r="O23" s="1212"/>
      <c r="P23" s="1212"/>
      <c r="Q23" s="1212"/>
      <c r="R23" s="1212"/>
      <c r="S23" s="1212"/>
      <c r="T23" s="1212"/>
      <c r="U23" s="1212"/>
      <c r="V23" s="1212"/>
      <c r="W23" s="1212"/>
      <c r="X23" s="1212"/>
      <c r="Y23" s="1212"/>
      <c r="Z23" s="1212"/>
      <c r="AA23" s="1212"/>
      <c r="AB23" s="1212"/>
      <c r="AC23" s="1212"/>
      <c r="AD23" s="1212"/>
      <c r="AE23" s="1212"/>
      <c r="AF23" s="1212"/>
      <c r="AG23" s="1212"/>
      <c r="AH23" s="1212"/>
      <c r="AI23" s="1212"/>
      <c r="AJ23" s="1212"/>
      <c r="AK23" s="1212"/>
      <c r="AL23" s="1212"/>
      <c r="AM23" s="1212"/>
      <c r="AN23" s="1212"/>
      <c r="AP23" s="1213"/>
      <c r="AQ23" s="1214"/>
      <c r="AR23" s="1215"/>
      <c r="AS23" s="1216"/>
      <c r="AT23" s="1217"/>
      <c r="AU23" s="1211"/>
      <c r="AV23" s="1218"/>
      <c r="AW23" s="1218"/>
    </row>
    <row r="24" spans="1:49">
      <c r="A24" s="1219" t="s">
        <v>49</v>
      </c>
      <c r="B24" s="1266" t="s">
        <v>346</v>
      </c>
      <c r="C24" s="1220"/>
      <c r="D24" s="1221" t="s">
        <v>347</v>
      </c>
      <c r="E24" s="1222"/>
      <c r="F24" s="1223" t="s">
        <v>348</v>
      </c>
      <c r="G24" s="1224"/>
      <c r="H24" s="1224" t="s">
        <v>349</v>
      </c>
      <c r="I24" s="1226" t="s">
        <v>332</v>
      </c>
      <c r="J24" s="1227" t="s">
        <v>350</v>
      </c>
      <c r="K24" s="1227" t="s">
        <v>351</v>
      </c>
      <c r="L24" s="1226" t="s">
        <v>380</v>
      </c>
      <c r="M24" s="1226"/>
      <c r="N24" s="1226"/>
      <c r="O24" s="1226" t="s">
        <v>353</v>
      </c>
      <c r="P24" s="1226"/>
      <c r="Q24" s="1226" t="s">
        <v>354</v>
      </c>
      <c r="R24" s="1226"/>
      <c r="S24" s="1226" t="s">
        <v>155</v>
      </c>
      <c r="T24" s="1226" t="s">
        <v>355</v>
      </c>
      <c r="U24" s="1226"/>
      <c r="V24" s="1228"/>
    </row>
    <row r="25" spans="1:49">
      <c r="A25" s="1229"/>
      <c r="B25" s="1230" t="s">
        <v>356</v>
      </c>
      <c r="C25" s="1231" t="s">
        <v>357</v>
      </c>
      <c r="D25" s="1232" t="s">
        <v>358</v>
      </c>
      <c r="E25" s="1231"/>
      <c r="F25" s="1233" t="s">
        <v>359</v>
      </c>
      <c r="G25" s="1234"/>
      <c r="H25" s="1234" t="s">
        <v>360</v>
      </c>
      <c r="I25" s="1231" t="s">
        <v>361</v>
      </c>
      <c r="J25" s="1235" t="s">
        <v>362</v>
      </c>
      <c r="K25" s="1236" t="s">
        <v>360</v>
      </c>
      <c r="L25" s="1231" t="s">
        <v>377</v>
      </c>
      <c r="M25" s="1231" t="s">
        <v>364</v>
      </c>
      <c r="N25" s="1231"/>
      <c r="O25" s="1231" t="s">
        <v>365</v>
      </c>
      <c r="P25" s="1231" t="s">
        <v>366</v>
      </c>
      <c r="Q25" s="1231" t="s">
        <v>1884</v>
      </c>
      <c r="R25" s="1231"/>
      <c r="S25" s="1231" t="s">
        <v>367</v>
      </c>
      <c r="T25" s="1231" t="s">
        <v>368</v>
      </c>
      <c r="U25" s="1231"/>
      <c r="V25" s="1237"/>
    </row>
    <row r="26" spans="1:49">
      <c r="A26" s="1238" t="s">
        <v>57</v>
      </c>
      <c r="B26" s="1239" t="s">
        <v>58</v>
      </c>
      <c r="C26" s="1239" t="s">
        <v>58</v>
      </c>
      <c r="D26" s="1239" t="s">
        <v>369</v>
      </c>
      <c r="E26" s="1239" t="s">
        <v>370</v>
      </c>
      <c r="F26" s="1240" t="s">
        <v>340</v>
      </c>
      <c r="G26" s="1240" t="s">
        <v>334</v>
      </c>
      <c r="H26" s="1241" t="s">
        <v>371</v>
      </c>
      <c r="I26" s="1242" t="s">
        <v>372</v>
      </c>
      <c r="J26" s="1182" t="s">
        <v>371</v>
      </c>
      <c r="K26" s="1182" t="s">
        <v>371</v>
      </c>
      <c r="L26" s="1242" t="s">
        <v>373</v>
      </c>
      <c r="M26" s="1242" t="s">
        <v>1939</v>
      </c>
      <c r="N26" s="1242" t="s">
        <v>1940</v>
      </c>
      <c r="O26" s="1242" t="s">
        <v>607</v>
      </c>
      <c r="P26" s="1242" t="s">
        <v>607</v>
      </c>
      <c r="Q26" s="1242" t="s">
        <v>1705</v>
      </c>
      <c r="R26" s="1242" t="s">
        <v>286</v>
      </c>
      <c r="S26" s="1242" t="s">
        <v>374</v>
      </c>
      <c r="T26" s="1242" t="s">
        <v>375</v>
      </c>
      <c r="U26" s="1242" t="s">
        <v>376</v>
      </c>
      <c r="V26" s="1243" t="s">
        <v>291</v>
      </c>
    </row>
    <row r="27" spans="1:49">
      <c r="A27" s="1244">
        <v>1</v>
      </c>
      <c r="B27" s="1245">
        <f>0.4*B19</f>
        <v>100</v>
      </c>
      <c r="C27" s="1246">
        <v>50</v>
      </c>
      <c r="D27" s="1246">
        <f>D19</f>
        <v>2.7</v>
      </c>
      <c r="E27" s="1246">
        <f>E19</f>
        <v>2.7</v>
      </c>
      <c r="F27" s="1248">
        <f>+B27*(D27+E27)/2</f>
        <v>270</v>
      </c>
      <c r="G27" s="1248">
        <f>+C27*(D27+E27)/2</f>
        <v>135</v>
      </c>
      <c r="H27" s="1246">
        <f>H19</f>
        <v>6.72</v>
      </c>
      <c r="I27" s="1248">
        <f>F27*H27*H27/8</f>
        <v>1524.0959999999998</v>
      </c>
      <c r="J27" s="1267">
        <f>J19</f>
        <v>0.7</v>
      </c>
      <c r="K27" s="1268">
        <f>K19</f>
        <v>0.96</v>
      </c>
      <c r="L27" s="1250">
        <f>I27/J27</f>
        <v>2177.2799999999997</v>
      </c>
      <c r="M27" s="1251">
        <f>F27*K27*K27/10</f>
        <v>24.883199999999999</v>
      </c>
      <c r="N27" s="1252">
        <f>+G27*K27*K27/10</f>
        <v>12.441599999999999</v>
      </c>
      <c r="O27" s="1250">
        <f t="shared" ref="O27:R30" si="3">O19</f>
        <v>96</v>
      </c>
      <c r="P27" s="1250">
        <f t="shared" si="3"/>
        <v>96</v>
      </c>
      <c r="Q27" s="1250">
        <f t="shared" si="3"/>
        <v>41.197543240595955</v>
      </c>
      <c r="R27" s="1250">
        <f t="shared" si="3"/>
        <v>41.197543240595955</v>
      </c>
      <c r="S27" s="1248">
        <v>1</v>
      </c>
      <c r="T27" s="1250">
        <f>S27*L27/G6</f>
        <v>318.31578947368416</v>
      </c>
      <c r="U27" s="1250">
        <f>100*(M27/M7+N27/J7)</f>
        <v>1726.311341679014</v>
      </c>
      <c r="V27" s="1255">
        <f>SUM(T27:U27)</f>
        <v>2044.6271311526982</v>
      </c>
      <c r="W27" s="1165" t="s">
        <v>378</v>
      </c>
    </row>
    <row r="28" spans="1:49">
      <c r="A28" s="1257">
        <v>2</v>
      </c>
      <c r="B28" s="1258">
        <f t="shared" ref="B28:L28" si="4">B27</f>
        <v>100</v>
      </c>
      <c r="C28" s="1258">
        <f t="shared" si="4"/>
        <v>50</v>
      </c>
      <c r="D28" s="1259">
        <f t="shared" si="4"/>
        <v>2.7</v>
      </c>
      <c r="E28" s="1259">
        <f t="shared" si="4"/>
        <v>2.7</v>
      </c>
      <c r="F28" s="1260">
        <f t="shared" si="4"/>
        <v>270</v>
      </c>
      <c r="G28" s="1260">
        <f t="shared" si="4"/>
        <v>135</v>
      </c>
      <c r="H28" s="1261">
        <f t="shared" si="4"/>
        <v>6.72</v>
      </c>
      <c r="I28" s="1260">
        <f t="shared" si="4"/>
        <v>1524.0959999999998</v>
      </c>
      <c r="J28" s="1262">
        <f t="shared" si="4"/>
        <v>0.7</v>
      </c>
      <c r="K28" s="1262">
        <f t="shared" si="4"/>
        <v>0.96</v>
      </c>
      <c r="L28" s="1264">
        <f t="shared" si="4"/>
        <v>2177.2799999999997</v>
      </c>
      <c r="M28" s="1248">
        <v>0</v>
      </c>
      <c r="N28" s="1248">
        <v>0</v>
      </c>
      <c r="O28" s="1250">
        <f t="shared" si="3"/>
        <v>96</v>
      </c>
      <c r="P28" s="1250">
        <f t="shared" si="3"/>
        <v>288</v>
      </c>
      <c r="Q28" s="1250">
        <f t="shared" si="3"/>
        <v>125.72011502387998</v>
      </c>
      <c r="R28" s="1253">
        <f t="shared" si="3"/>
        <v>210.21821759013889</v>
      </c>
      <c r="S28" s="1254">
        <v>5</v>
      </c>
      <c r="T28" s="1250">
        <f>S28*L28/G7</f>
        <v>3359.9999999999991</v>
      </c>
      <c r="U28" s="1263">
        <f>100*(M28/M19+N28/J19)</f>
        <v>0</v>
      </c>
      <c r="V28" s="1255">
        <f>SUM(T28:U28)</f>
        <v>3359.9999999999991</v>
      </c>
      <c r="W28" s="1269" t="s">
        <v>377</v>
      </c>
    </row>
    <row r="29" spans="1:49">
      <c r="A29" s="1257">
        <v>3</v>
      </c>
      <c r="B29" s="1258">
        <f t="shared" ref="B29:K30" si="5">B28</f>
        <v>100</v>
      </c>
      <c r="C29" s="1258">
        <f t="shared" si="5"/>
        <v>50</v>
      </c>
      <c r="D29" s="1259">
        <f t="shared" si="5"/>
        <v>2.7</v>
      </c>
      <c r="E29" s="1259">
        <f t="shared" si="5"/>
        <v>2.7</v>
      </c>
      <c r="F29" s="1260">
        <f t="shared" si="5"/>
        <v>270</v>
      </c>
      <c r="G29" s="1260">
        <f t="shared" si="5"/>
        <v>135</v>
      </c>
      <c r="H29" s="1261">
        <f t="shared" si="5"/>
        <v>6.72</v>
      </c>
      <c r="I29" s="1260">
        <f t="shared" si="5"/>
        <v>1524.0959999999998</v>
      </c>
      <c r="J29" s="1262">
        <f t="shared" si="5"/>
        <v>0.7</v>
      </c>
      <c r="K29" s="1262">
        <f t="shared" si="5"/>
        <v>0.96</v>
      </c>
      <c r="L29" s="1264">
        <f>+F29*H29/(2*0.2)</f>
        <v>4535.9999999999991</v>
      </c>
      <c r="M29" s="1248">
        <v>0</v>
      </c>
      <c r="N29" s="1248">
        <v>0</v>
      </c>
      <c r="O29" s="1250">
        <f t="shared" si="3"/>
        <v>99.8611536083977</v>
      </c>
      <c r="P29" s="1250">
        <f t="shared" si="3"/>
        <v>99.8611536083977</v>
      </c>
      <c r="Q29" s="1250">
        <f t="shared" si="3"/>
        <v>86.794777108610248</v>
      </c>
      <c r="R29" s="1253">
        <f t="shared" si="3"/>
        <v>68.591662745206534</v>
      </c>
      <c r="S29" s="1270">
        <v>2.8</v>
      </c>
      <c r="T29" s="1250">
        <f>S29*L29/G8</f>
        <v>3307.4999999999995</v>
      </c>
      <c r="U29" s="1271">
        <v>0</v>
      </c>
      <c r="V29" s="1255">
        <f>SUM(T29:U29)</f>
        <v>3307.4999999999995</v>
      </c>
      <c r="W29" s="1269" t="s">
        <v>377</v>
      </c>
    </row>
    <row r="30" spans="1:49">
      <c r="A30" s="1257">
        <v>4</v>
      </c>
      <c r="B30" s="1258">
        <f t="shared" si="5"/>
        <v>100</v>
      </c>
      <c r="C30" s="1258">
        <f t="shared" si="5"/>
        <v>50</v>
      </c>
      <c r="D30" s="1259">
        <f t="shared" si="5"/>
        <v>2.7</v>
      </c>
      <c r="E30" s="1259">
        <f t="shared" si="5"/>
        <v>2.7</v>
      </c>
      <c r="F30" s="1260">
        <f t="shared" si="5"/>
        <v>270</v>
      </c>
      <c r="G30" s="1260">
        <f t="shared" si="5"/>
        <v>135</v>
      </c>
      <c r="H30" s="1261">
        <f t="shared" si="5"/>
        <v>6.72</v>
      </c>
      <c r="I30" s="1260">
        <f t="shared" si="5"/>
        <v>1524.0959999999998</v>
      </c>
      <c r="J30" s="1262">
        <f t="shared" si="5"/>
        <v>0.7</v>
      </c>
      <c r="K30" s="1262">
        <f t="shared" si="5"/>
        <v>0.96</v>
      </c>
      <c r="L30" s="1264">
        <f>+K30*F30</f>
        <v>259.2</v>
      </c>
      <c r="M30" s="1248">
        <v>0</v>
      </c>
      <c r="N30" s="1248">
        <v>0</v>
      </c>
      <c r="O30" s="1250">
        <f t="shared" si="3"/>
        <v>70</v>
      </c>
      <c r="P30" s="1250">
        <f t="shared" si="3"/>
        <v>70</v>
      </c>
      <c r="Q30" s="1250">
        <f t="shared" si="3"/>
        <v>63.116874426720265</v>
      </c>
      <c r="R30" s="1250">
        <f t="shared" si="3"/>
        <v>63.116874426720265</v>
      </c>
      <c r="S30" s="1260">
        <v>1</v>
      </c>
      <c r="T30" s="1250">
        <f>S30*L30/G9</f>
        <v>79.999999999999986</v>
      </c>
      <c r="U30" s="1271">
        <v>1</v>
      </c>
      <c r="V30" s="1255">
        <f>SUM(T30:U30)</f>
        <v>80.999999999999986</v>
      </c>
      <c r="W30" s="1165" t="s">
        <v>378</v>
      </c>
    </row>
  </sheetData>
  <phoneticPr fontId="68" type="noConversion"/>
  <pageMargins left="0.75" right="0.75" top="1" bottom="1" header="0.5" footer="0.5"/>
  <headerFooter alignWithMargins="0">
    <oddHeader>&amp;A</oddHeader>
    <oddFooter>Sayfa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0"/>
  <sheetViews>
    <sheetView workbookViewId="0">
      <pane ySplit="2" topLeftCell="A3" activePane="bottomLeft" state="frozen"/>
      <selection pane="bottomLeft" activeCell="N17" sqref="N17"/>
    </sheetView>
  </sheetViews>
  <sheetFormatPr defaultColWidth="9.140625" defaultRowHeight="12.75"/>
  <cols>
    <col min="1" max="1" width="11.28515625" style="1016" bestFit="1" customWidth="1"/>
    <col min="2" max="16384" width="9.140625" style="1016"/>
  </cols>
  <sheetData>
    <row r="1" spans="1:19" ht="21" thickBot="1">
      <c r="A1" s="1759" t="s">
        <v>437</v>
      </c>
      <c r="B1" s="1760"/>
      <c r="C1" s="1760"/>
      <c r="D1" s="1760"/>
      <c r="E1" s="1760"/>
      <c r="F1" s="1760"/>
      <c r="G1" s="1760"/>
      <c r="H1" s="1760"/>
      <c r="I1" s="1761"/>
      <c r="K1" s="1759" t="s">
        <v>438</v>
      </c>
      <c r="L1" s="1760"/>
      <c r="M1" s="1760"/>
      <c r="N1" s="1760"/>
      <c r="O1" s="1760"/>
      <c r="P1" s="1760"/>
      <c r="Q1" s="1760"/>
      <c r="R1" s="1760"/>
      <c r="S1" s="1761"/>
    </row>
    <row r="2" spans="1:19" ht="20.25" customHeight="1" thickBot="1">
      <c r="A2" s="1326" t="s">
        <v>439</v>
      </c>
      <c r="B2" s="1327" t="s">
        <v>632</v>
      </c>
      <c r="C2" s="1328" t="s">
        <v>639</v>
      </c>
      <c r="D2" s="1328" t="s">
        <v>689</v>
      </c>
      <c r="E2" s="1328" t="s">
        <v>649</v>
      </c>
      <c r="F2" s="1328" t="s">
        <v>656</v>
      </c>
      <c r="G2" s="1328" t="s">
        <v>667</v>
      </c>
      <c r="H2" s="1328" t="s">
        <v>440</v>
      </c>
      <c r="I2" s="1329"/>
      <c r="K2" s="1326" t="s">
        <v>441</v>
      </c>
      <c r="L2" s="1327" t="s">
        <v>632</v>
      </c>
      <c r="M2" s="1328" t="s">
        <v>639</v>
      </c>
      <c r="N2" s="1328" t="s">
        <v>689</v>
      </c>
      <c r="O2" s="1328" t="s">
        <v>649</v>
      </c>
      <c r="P2" s="1328" t="s">
        <v>656</v>
      </c>
      <c r="Q2" s="1328" t="s">
        <v>667</v>
      </c>
      <c r="R2" s="1328" t="s">
        <v>440</v>
      </c>
      <c r="S2" s="1329" t="s">
        <v>442</v>
      </c>
    </row>
    <row r="3" spans="1:19" ht="18" customHeight="1" thickTop="1">
      <c r="A3" s="1330">
        <v>30</v>
      </c>
      <c r="B3" s="1331">
        <v>42.9</v>
      </c>
      <c r="C3" s="1332"/>
      <c r="D3" s="1332"/>
      <c r="E3" s="1332"/>
      <c r="F3" s="1332"/>
      <c r="G3" s="1332"/>
      <c r="H3" s="1332"/>
      <c r="I3" s="1333"/>
      <c r="K3" s="1330">
        <v>30</v>
      </c>
      <c r="L3" s="1331">
        <v>49.1</v>
      </c>
      <c r="M3" s="1332"/>
      <c r="N3" s="1332"/>
      <c r="O3" s="1332"/>
      <c r="P3" s="1332"/>
      <c r="Q3" s="1332"/>
      <c r="R3" s="1332"/>
      <c r="S3" s="1333"/>
    </row>
    <row r="4" spans="1:19" ht="18" customHeight="1">
      <c r="A4" s="1334">
        <v>35</v>
      </c>
      <c r="B4" s="1335">
        <v>47.3</v>
      </c>
      <c r="C4" s="1336">
        <v>88.2</v>
      </c>
      <c r="D4" s="1336"/>
      <c r="E4" s="1336"/>
      <c r="F4" s="1336"/>
      <c r="G4" s="1336"/>
      <c r="H4" s="1336"/>
      <c r="I4" s="1337"/>
      <c r="K4" s="1334">
        <v>35</v>
      </c>
      <c r="L4" s="1335">
        <v>53.6</v>
      </c>
      <c r="M4" s="1336"/>
      <c r="N4" s="1336"/>
      <c r="O4" s="1336"/>
      <c r="P4" s="1336"/>
      <c r="Q4" s="1336"/>
      <c r="R4" s="1336"/>
      <c r="S4" s="1337"/>
    </row>
    <row r="5" spans="1:19" ht="18" customHeight="1">
      <c r="A5" s="1334">
        <v>40</v>
      </c>
      <c r="B5" s="1335">
        <v>51.7</v>
      </c>
      <c r="C5" s="1336">
        <v>96.2</v>
      </c>
      <c r="D5" s="1336">
        <v>179.7</v>
      </c>
      <c r="E5" s="1336">
        <v>203.8</v>
      </c>
      <c r="F5" s="1336"/>
      <c r="G5" s="1336"/>
      <c r="H5" s="1336"/>
      <c r="I5" s="1337"/>
      <c r="K5" s="1334">
        <v>40</v>
      </c>
      <c r="L5" s="1335">
        <v>58</v>
      </c>
      <c r="M5" s="1336">
        <v>105</v>
      </c>
      <c r="N5" s="1336"/>
      <c r="O5" s="1336"/>
      <c r="P5" s="1336"/>
      <c r="Q5" s="1336"/>
      <c r="R5" s="1336"/>
      <c r="S5" s="1337"/>
    </row>
    <row r="6" spans="1:19" ht="18" customHeight="1">
      <c r="A6" s="1334">
        <v>45</v>
      </c>
      <c r="B6" s="1335">
        <v>56.1</v>
      </c>
      <c r="C6" s="1336">
        <v>104.2</v>
      </c>
      <c r="D6" s="1336">
        <v>191.7</v>
      </c>
      <c r="E6" s="1336">
        <v>218.8</v>
      </c>
      <c r="F6" s="1336">
        <v>274</v>
      </c>
      <c r="G6" s="1336"/>
      <c r="H6" s="1336"/>
      <c r="I6" s="1337"/>
      <c r="K6" s="1334">
        <v>45</v>
      </c>
      <c r="L6" s="1335">
        <v>62.1</v>
      </c>
      <c r="M6" s="1336">
        <v>113</v>
      </c>
      <c r="N6" s="1336">
        <v>188</v>
      </c>
      <c r="O6" s="1336"/>
      <c r="P6" s="1336"/>
      <c r="Q6" s="1336"/>
      <c r="R6" s="1336"/>
      <c r="S6" s="1337"/>
    </row>
    <row r="7" spans="1:19" ht="18" customHeight="1">
      <c r="A7" s="1334">
        <v>50</v>
      </c>
      <c r="B7" s="1335">
        <v>60.5</v>
      </c>
      <c r="C7" s="1336">
        <v>112.2</v>
      </c>
      <c r="D7" s="1336">
        <v>203.7</v>
      </c>
      <c r="E7" s="1336">
        <v>233.8</v>
      </c>
      <c r="F7" s="1336">
        <v>292</v>
      </c>
      <c r="G7" s="1336"/>
      <c r="H7" s="1336"/>
      <c r="I7" s="1337"/>
      <c r="K7" s="1334">
        <v>50</v>
      </c>
      <c r="L7" s="1335">
        <v>66.599999999999994</v>
      </c>
      <c r="M7" s="1336">
        <v>121</v>
      </c>
      <c r="N7" s="1336">
        <v>200</v>
      </c>
      <c r="O7" s="1336">
        <v>257</v>
      </c>
      <c r="P7" s="1336">
        <v>326</v>
      </c>
      <c r="Q7" s="1336"/>
      <c r="R7" s="1336"/>
      <c r="S7" s="1337"/>
    </row>
    <row r="8" spans="1:19" ht="18" customHeight="1">
      <c r="A8" s="1334">
        <v>55</v>
      </c>
      <c r="B8" s="1335">
        <v>64.900000000000006</v>
      </c>
      <c r="C8" s="1336">
        <v>120.2</v>
      </c>
      <c r="D8" s="1336">
        <v>215.7</v>
      </c>
      <c r="E8" s="1336">
        <v>248.8</v>
      </c>
      <c r="F8" s="1336">
        <v>310</v>
      </c>
      <c r="G8" s="1336"/>
      <c r="H8" s="1336"/>
      <c r="I8" s="1337"/>
      <c r="K8" s="1334">
        <v>55</v>
      </c>
      <c r="L8" s="1335">
        <v>71</v>
      </c>
      <c r="M8" s="1336">
        <v>129</v>
      </c>
      <c r="N8" s="1336">
        <v>212</v>
      </c>
      <c r="O8" s="1336">
        <v>272</v>
      </c>
      <c r="P8" s="1336">
        <v>344</v>
      </c>
      <c r="Q8" s="1336"/>
      <c r="R8" s="1336"/>
      <c r="S8" s="1337"/>
    </row>
    <row r="9" spans="1:19" ht="18" customHeight="1">
      <c r="A9" s="1334">
        <v>60</v>
      </c>
      <c r="B9" s="1335">
        <v>69.3</v>
      </c>
      <c r="C9" s="1336">
        <v>128.19999999999999</v>
      </c>
      <c r="D9" s="1336">
        <v>227.7</v>
      </c>
      <c r="E9" s="1336">
        <v>263.8</v>
      </c>
      <c r="F9" s="1336">
        <v>328</v>
      </c>
      <c r="G9" s="1336">
        <v>441</v>
      </c>
      <c r="H9" s="1336"/>
      <c r="I9" s="1337"/>
      <c r="K9" s="1334">
        <v>60</v>
      </c>
      <c r="L9" s="1335">
        <v>75.400000000000006</v>
      </c>
      <c r="M9" s="1336">
        <v>137</v>
      </c>
      <c r="N9" s="1336">
        <v>225</v>
      </c>
      <c r="O9" s="1336">
        <v>286</v>
      </c>
      <c r="P9" s="1336">
        <v>362</v>
      </c>
      <c r="Q9" s="1336"/>
      <c r="R9" s="1336"/>
      <c r="S9" s="1337"/>
    </row>
    <row r="10" spans="1:19" ht="18" customHeight="1">
      <c r="A10" s="1334">
        <v>65</v>
      </c>
      <c r="B10" s="1335">
        <v>73.7</v>
      </c>
      <c r="C10" s="1336">
        <v>136.19999999999999</v>
      </c>
      <c r="D10" s="1336">
        <v>239.7</v>
      </c>
      <c r="E10" s="1336">
        <v>278.8</v>
      </c>
      <c r="F10" s="1336">
        <v>346</v>
      </c>
      <c r="G10" s="1336">
        <v>463</v>
      </c>
      <c r="H10" s="1336"/>
      <c r="I10" s="1337"/>
      <c r="K10" s="1334">
        <v>65</v>
      </c>
      <c r="L10" s="1335">
        <v>79.900000000000006</v>
      </c>
      <c r="M10" s="1336">
        <v>145</v>
      </c>
      <c r="N10" s="1336">
        <v>237</v>
      </c>
      <c r="O10" s="1336">
        <v>301</v>
      </c>
      <c r="P10" s="1336">
        <v>380</v>
      </c>
      <c r="Q10" s="1336"/>
      <c r="R10" s="1336"/>
      <c r="S10" s="1337"/>
    </row>
    <row r="11" spans="1:19" ht="18" customHeight="1">
      <c r="A11" s="1334">
        <v>70</v>
      </c>
      <c r="B11" s="1335">
        <v>78.099999999999994</v>
      </c>
      <c r="C11" s="1336">
        <v>144.19999999999999</v>
      </c>
      <c r="D11" s="1336">
        <v>251.7</v>
      </c>
      <c r="E11" s="1336">
        <v>293.8</v>
      </c>
      <c r="F11" s="1336">
        <v>364</v>
      </c>
      <c r="G11" s="1336">
        <v>485</v>
      </c>
      <c r="H11" s="1336"/>
      <c r="I11" s="1337"/>
      <c r="K11" s="1334">
        <v>70</v>
      </c>
      <c r="L11" s="1335">
        <v>84.3</v>
      </c>
      <c r="M11" s="1336">
        <v>153</v>
      </c>
      <c r="N11" s="1336">
        <v>249</v>
      </c>
      <c r="O11" s="1336">
        <v>316</v>
      </c>
      <c r="P11" s="1336">
        <v>398</v>
      </c>
      <c r="Q11" s="1336">
        <v>532</v>
      </c>
      <c r="R11" s="1336"/>
      <c r="S11" s="1337"/>
    </row>
    <row r="12" spans="1:19" ht="18" customHeight="1">
      <c r="A12" s="1334">
        <v>75</v>
      </c>
      <c r="B12" s="1335">
        <v>82.5</v>
      </c>
      <c r="C12" s="1336">
        <v>152.19999999999999</v>
      </c>
      <c r="D12" s="1336">
        <v>263.7</v>
      </c>
      <c r="E12" s="1336">
        <v>308.8</v>
      </c>
      <c r="F12" s="1336">
        <v>382</v>
      </c>
      <c r="G12" s="1336">
        <v>507</v>
      </c>
      <c r="H12" s="1336"/>
      <c r="I12" s="1337"/>
      <c r="K12" s="1334">
        <v>75</v>
      </c>
      <c r="L12" s="1335">
        <v>88.8</v>
      </c>
      <c r="M12" s="1336">
        <v>160</v>
      </c>
      <c r="N12" s="1336">
        <v>262</v>
      </c>
      <c r="O12" s="1336">
        <v>331</v>
      </c>
      <c r="P12" s="1336">
        <v>415</v>
      </c>
      <c r="Q12" s="1336">
        <v>554</v>
      </c>
      <c r="R12" s="1336">
        <v>701</v>
      </c>
      <c r="S12" s="1337"/>
    </row>
    <row r="13" spans="1:19" ht="18" customHeight="1">
      <c r="A13" s="1334">
        <v>80</v>
      </c>
      <c r="B13" s="1335">
        <v>86.1</v>
      </c>
      <c r="C13" s="1336">
        <v>160.19999999999999</v>
      </c>
      <c r="D13" s="1336">
        <v>275.7</v>
      </c>
      <c r="E13" s="1336">
        <v>323.8</v>
      </c>
      <c r="F13" s="1336">
        <v>400</v>
      </c>
      <c r="G13" s="1336">
        <v>529</v>
      </c>
      <c r="H13" s="1336">
        <v>686</v>
      </c>
      <c r="I13" s="1337"/>
      <c r="K13" s="1334">
        <v>80</v>
      </c>
      <c r="L13" s="1335">
        <v>93.2</v>
      </c>
      <c r="M13" s="1336">
        <v>168</v>
      </c>
      <c r="N13" s="1336">
        <v>274</v>
      </c>
      <c r="O13" s="1336">
        <v>346</v>
      </c>
      <c r="P13" s="1336">
        <v>433</v>
      </c>
      <c r="Q13" s="1336">
        <v>576</v>
      </c>
      <c r="R13" s="1336">
        <v>728</v>
      </c>
      <c r="S13" s="1337"/>
    </row>
    <row r="14" spans="1:19" ht="18" customHeight="1">
      <c r="A14" s="1334">
        <v>85</v>
      </c>
      <c r="B14" s="1335">
        <v>90.1</v>
      </c>
      <c r="C14" s="1336">
        <v>168.2</v>
      </c>
      <c r="D14" s="1336">
        <v>287.7</v>
      </c>
      <c r="E14" s="1336">
        <v>338.8</v>
      </c>
      <c r="F14" s="1336">
        <v>418</v>
      </c>
      <c r="G14" s="1336">
        <v>551</v>
      </c>
      <c r="H14" s="1336">
        <v>714</v>
      </c>
      <c r="I14" s="1337"/>
      <c r="K14" s="1334">
        <v>85</v>
      </c>
      <c r="L14" s="1335">
        <v>97.6</v>
      </c>
      <c r="M14" s="1336">
        <v>176</v>
      </c>
      <c r="N14" s="1336">
        <v>286</v>
      </c>
      <c r="O14" s="1336">
        <v>361</v>
      </c>
      <c r="P14" s="1336">
        <v>451</v>
      </c>
      <c r="Q14" s="1336">
        <v>599</v>
      </c>
      <c r="R14" s="1336">
        <v>756</v>
      </c>
      <c r="S14" s="1337">
        <v>1184</v>
      </c>
    </row>
    <row r="15" spans="1:19" ht="18" customHeight="1">
      <c r="A15" s="1334">
        <v>90</v>
      </c>
      <c r="B15" s="1335">
        <v>94.1</v>
      </c>
      <c r="C15" s="1336">
        <v>176.2</v>
      </c>
      <c r="D15" s="1336">
        <v>299.7</v>
      </c>
      <c r="E15" s="1336">
        <v>353.8</v>
      </c>
      <c r="F15" s="1336">
        <v>436</v>
      </c>
      <c r="G15" s="1336">
        <v>573</v>
      </c>
      <c r="H15" s="1336">
        <v>742</v>
      </c>
      <c r="I15" s="1337"/>
      <c r="K15" s="1334">
        <v>90</v>
      </c>
      <c r="L15" s="1335">
        <v>102</v>
      </c>
      <c r="M15" s="1336">
        <v>184</v>
      </c>
      <c r="N15" s="1336">
        <v>298</v>
      </c>
      <c r="O15" s="1336">
        <v>375</v>
      </c>
      <c r="P15" s="1336">
        <v>467</v>
      </c>
      <c r="Q15" s="1336">
        <v>624</v>
      </c>
      <c r="R15" s="1336">
        <v>784</v>
      </c>
      <c r="S15" s="1337">
        <v>1224</v>
      </c>
    </row>
    <row r="16" spans="1:19" ht="18" customHeight="1">
      <c r="A16" s="1334">
        <v>95</v>
      </c>
      <c r="B16" s="1335">
        <v>98.1</v>
      </c>
      <c r="C16" s="1336">
        <v>184.2</v>
      </c>
      <c r="D16" s="1336">
        <v>311.7</v>
      </c>
      <c r="E16" s="1336">
        <v>368.8</v>
      </c>
      <c r="F16" s="1336">
        <v>454</v>
      </c>
      <c r="G16" s="1336">
        <v>595</v>
      </c>
      <c r="H16" s="1336">
        <v>770</v>
      </c>
      <c r="I16" s="1337"/>
      <c r="K16" s="1334">
        <v>95</v>
      </c>
      <c r="L16" s="1335">
        <v>107</v>
      </c>
      <c r="M16" s="1336">
        <v>192</v>
      </c>
      <c r="N16" s="1336">
        <v>310</v>
      </c>
      <c r="O16" s="1336">
        <v>390</v>
      </c>
      <c r="P16" s="1336">
        <v>485</v>
      </c>
      <c r="Q16" s="1336">
        <v>644</v>
      </c>
      <c r="R16" s="1336">
        <v>812</v>
      </c>
      <c r="S16" s="1337">
        <v>1264</v>
      </c>
    </row>
    <row r="17" spans="1:19" ht="18" customHeight="1">
      <c r="A17" s="1334">
        <v>100</v>
      </c>
      <c r="B17" s="1335">
        <v>102.1</v>
      </c>
      <c r="C17" s="1336">
        <v>192.2</v>
      </c>
      <c r="D17" s="1336">
        <v>323.7</v>
      </c>
      <c r="E17" s="1336">
        <v>383.8</v>
      </c>
      <c r="F17" s="1336">
        <v>472</v>
      </c>
      <c r="G17" s="1336">
        <v>617</v>
      </c>
      <c r="H17" s="1336">
        <v>798</v>
      </c>
      <c r="I17" s="1337"/>
      <c r="K17" s="1334">
        <v>100</v>
      </c>
      <c r="L17" s="1335">
        <v>109</v>
      </c>
      <c r="M17" s="1336">
        <v>199</v>
      </c>
      <c r="N17" s="1336">
        <v>322</v>
      </c>
      <c r="O17" s="1336">
        <v>405</v>
      </c>
      <c r="P17" s="1336">
        <v>503</v>
      </c>
      <c r="Q17" s="1336">
        <v>665</v>
      </c>
      <c r="R17" s="1336">
        <v>838</v>
      </c>
      <c r="S17" s="1337">
        <v>1304</v>
      </c>
    </row>
    <row r="18" spans="1:19" ht="18" customHeight="1">
      <c r="A18" s="1334">
        <v>105</v>
      </c>
      <c r="B18" s="1335">
        <v>106.1</v>
      </c>
      <c r="C18" s="1336">
        <v>200.2</v>
      </c>
      <c r="D18" s="1336">
        <v>335.7</v>
      </c>
      <c r="E18" s="1336">
        <v>398.8</v>
      </c>
      <c r="F18" s="1336">
        <v>490</v>
      </c>
      <c r="G18" s="1336">
        <v>639</v>
      </c>
      <c r="H18" s="1336">
        <v>826</v>
      </c>
      <c r="I18" s="1337"/>
      <c r="K18" s="1334">
        <v>105</v>
      </c>
      <c r="L18" s="1335">
        <v>111</v>
      </c>
      <c r="M18" s="1336">
        <v>207</v>
      </c>
      <c r="N18" s="1336">
        <v>335</v>
      </c>
      <c r="O18" s="1336">
        <v>420</v>
      </c>
      <c r="P18" s="1336">
        <v>520</v>
      </c>
      <c r="Q18" s="1336">
        <v>688</v>
      </c>
      <c r="R18" s="1336">
        <v>865</v>
      </c>
      <c r="S18" s="1337">
        <v>1336</v>
      </c>
    </row>
    <row r="19" spans="1:19" ht="18" customHeight="1">
      <c r="A19" s="1334">
        <v>110</v>
      </c>
      <c r="B19" s="1335">
        <v>110.1</v>
      </c>
      <c r="C19" s="1336">
        <v>208.2</v>
      </c>
      <c r="D19" s="1336">
        <v>347.7</v>
      </c>
      <c r="E19" s="1336">
        <v>413.8</v>
      </c>
      <c r="F19" s="1336">
        <v>508</v>
      </c>
      <c r="G19" s="1336">
        <v>661</v>
      </c>
      <c r="H19" s="1336">
        <v>854</v>
      </c>
      <c r="I19" s="1337"/>
      <c r="K19" s="1334">
        <v>110</v>
      </c>
      <c r="L19" s="1335"/>
      <c r="M19" s="1336">
        <v>215</v>
      </c>
      <c r="N19" s="1336">
        <v>347</v>
      </c>
      <c r="O19" s="1336">
        <v>435</v>
      </c>
      <c r="P19" s="1336">
        <v>538</v>
      </c>
      <c r="Q19" s="1336">
        <v>710</v>
      </c>
      <c r="R19" s="1336">
        <v>893</v>
      </c>
      <c r="S19" s="1337">
        <v>1376</v>
      </c>
    </row>
    <row r="20" spans="1:19" ht="18" customHeight="1">
      <c r="A20" s="1334">
        <v>115</v>
      </c>
      <c r="B20" s="1335">
        <v>114.1</v>
      </c>
      <c r="C20" s="1336">
        <v>216.2</v>
      </c>
      <c r="D20" s="1336">
        <v>359.7</v>
      </c>
      <c r="E20" s="1336">
        <v>428.8</v>
      </c>
      <c r="F20" s="1336">
        <v>526</v>
      </c>
      <c r="G20" s="1336">
        <v>683</v>
      </c>
      <c r="H20" s="1336">
        <v>882</v>
      </c>
      <c r="I20" s="1337"/>
      <c r="K20" s="1334">
        <v>115</v>
      </c>
      <c r="L20" s="1335"/>
      <c r="M20" s="1336">
        <v>223</v>
      </c>
      <c r="N20" s="1336">
        <v>359</v>
      </c>
      <c r="O20" s="1336">
        <v>450</v>
      </c>
      <c r="P20" s="1336">
        <v>556</v>
      </c>
      <c r="Q20" s="1336">
        <v>732</v>
      </c>
      <c r="R20" s="1336">
        <v>921</v>
      </c>
      <c r="S20" s="1337">
        <v>1415</v>
      </c>
    </row>
    <row r="21" spans="1:19" ht="18" customHeight="1">
      <c r="A21" s="1334">
        <v>120</v>
      </c>
      <c r="B21" s="1335">
        <v>118.1</v>
      </c>
      <c r="C21" s="1336">
        <v>224.2</v>
      </c>
      <c r="D21" s="1336">
        <v>371.7</v>
      </c>
      <c r="E21" s="1336">
        <v>443.8</v>
      </c>
      <c r="F21" s="1336">
        <v>544</v>
      </c>
      <c r="G21" s="1336">
        <v>705</v>
      </c>
      <c r="H21" s="1336">
        <v>910</v>
      </c>
      <c r="I21" s="1337"/>
      <c r="K21" s="1334">
        <v>120</v>
      </c>
      <c r="L21" s="1335"/>
      <c r="M21" s="1336">
        <v>231</v>
      </c>
      <c r="N21" s="1336">
        <v>372</v>
      </c>
      <c r="O21" s="1336">
        <v>465</v>
      </c>
      <c r="P21" s="1336">
        <v>574</v>
      </c>
      <c r="Q21" s="1336">
        <v>755</v>
      </c>
      <c r="R21" s="1336">
        <v>949</v>
      </c>
      <c r="S21" s="1337">
        <v>1455</v>
      </c>
    </row>
    <row r="22" spans="1:19" ht="18" customHeight="1">
      <c r="A22" s="1334">
        <v>125</v>
      </c>
      <c r="B22" s="1335"/>
      <c r="C22" s="1336">
        <v>232.2</v>
      </c>
      <c r="D22" s="1336">
        <v>383.7</v>
      </c>
      <c r="E22" s="1336">
        <v>458.8</v>
      </c>
      <c r="F22" s="1336">
        <v>562</v>
      </c>
      <c r="G22" s="1336">
        <v>727</v>
      </c>
      <c r="H22" s="1336">
        <v>938</v>
      </c>
      <c r="I22" s="1337"/>
      <c r="K22" s="1334">
        <v>125</v>
      </c>
      <c r="L22" s="1335"/>
      <c r="M22" s="1336">
        <v>239</v>
      </c>
      <c r="N22" s="1336">
        <v>384</v>
      </c>
      <c r="O22" s="1336">
        <v>479</v>
      </c>
      <c r="P22" s="1336">
        <v>591</v>
      </c>
      <c r="Q22" s="1336">
        <v>777</v>
      </c>
      <c r="R22" s="1336">
        <v>976</v>
      </c>
      <c r="S22" s="1337">
        <v>1495</v>
      </c>
    </row>
    <row r="23" spans="1:19" ht="18" customHeight="1">
      <c r="A23" s="1334">
        <v>130</v>
      </c>
      <c r="B23" s="1335"/>
      <c r="C23" s="1336">
        <v>240.2</v>
      </c>
      <c r="D23" s="1336">
        <v>395.7</v>
      </c>
      <c r="E23" s="1336">
        <v>473.8</v>
      </c>
      <c r="F23" s="1336">
        <v>580</v>
      </c>
      <c r="G23" s="1336">
        <v>749</v>
      </c>
      <c r="H23" s="1336">
        <v>966</v>
      </c>
      <c r="I23" s="1337"/>
      <c r="K23" s="1334">
        <v>130</v>
      </c>
      <c r="L23" s="1335"/>
      <c r="M23" s="1336">
        <v>247</v>
      </c>
      <c r="N23" s="1336">
        <v>396</v>
      </c>
      <c r="O23" s="1336">
        <v>494</v>
      </c>
      <c r="P23" s="1336">
        <v>609</v>
      </c>
      <c r="Q23" s="1336">
        <v>800</v>
      </c>
      <c r="R23" s="1336">
        <v>1004</v>
      </c>
      <c r="S23" s="1337">
        <v>1535</v>
      </c>
    </row>
    <row r="24" spans="1:19" ht="18" customHeight="1">
      <c r="A24" s="1334">
        <v>135</v>
      </c>
      <c r="B24" s="1335"/>
      <c r="C24" s="1336">
        <v>248.2</v>
      </c>
      <c r="D24" s="1336">
        <v>407.7</v>
      </c>
      <c r="E24" s="1336">
        <v>488.8</v>
      </c>
      <c r="F24" s="1336">
        <v>598</v>
      </c>
      <c r="G24" s="1336">
        <v>771</v>
      </c>
      <c r="H24" s="1336">
        <v>994</v>
      </c>
      <c r="I24" s="1337"/>
      <c r="K24" s="1334">
        <v>135</v>
      </c>
      <c r="L24" s="1335"/>
      <c r="M24" s="1336"/>
      <c r="N24" s="1336">
        <v>409</v>
      </c>
      <c r="O24" s="1336">
        <v>509</v>
      </c>
      <c r="P24" s="1336">
        <v>627</v>
      </c>
      <c r="Q24" s="1336">
        <v>822</v>
      </c>
      <c r="R24" s="1336">
        <v>1032</v>
      </c>
      <c r="S24" s="1337">
        <v>1575</v>
      </c>
    </row>
    <row r="25" spans="1:19" ht="18" customHeight="1">
      <c r="A25" s="1334">
        <v>140</v>
      </c>
      <c r="B25" s="1335"/>
      <c r="C25" s="1336">
        <v>256.2</v>
      </c>
      <c r="D25" s="1336">
        <v>419.7</v>
      </c>
      <c r="E25" s="1336">
        <v>503.8</v>
      </c>
      <c r="F25" s="1336">
        <v>616</v>
      </c>
      <c r="G25" s="1336">
        <v>793</v>
      </c>
      <c r="H25" s="1336">
        <v>1022</v>
      </c>
      <c r="I25" s="1337"/>
      <c r="K25" s="1334">
        <v>140</v>
      </c>
      <c r="L25" s="1335"/>
      <c r="M25" s="1336"/>
      <c r="N25" s="1336">
        <v>421</v>
      </c>
      <c r="O25" s="1336">
        <v>524</v>
      </c>
      <c r="P25" s="1336">
        <v>645</v>
      </c>
      <c r="Q25" s="1336">
        <v>845</v>
      </c>
      <c r="R25" s="1336">
        <v>1059</v>
      </c>
      <c r="S25" s="1337">
        <v>1615</v>
      </c>
    </row>
    <row r="26" spans="1:19" ht="18" customHeight="1">
      <c r="A26" s="1334">
        <v>145</v>
      </c>
      <c r="B26" s="1335"/>
      <c r="C26" s="1336">
        <v>264.2</v>
      </c>
      <c r="D26" s="1336">
        <v>431.7</v>
      </c>
      <c r="E26" s="1336">
        <v>518.79999999999995</v>
      </c>
      <c r="F26" s="1336">
        <v>634</v>
      </c>
      <c r="G26" s="1336">
        <v>815</v>
      </c>
      <c r="H26" s="1336">
        <v>1050</v>
      </c>
      <c r="I26" s="1337"/>
      <c r="K26" s="1334">
        <v>145</v>
      </c>
      <c r="L26" s="1335"/>
      <c r="M26" s="1336"/>
      <c r="N26" s="1336">
        <v>433</v>
      </c>
      <c r="O26" s="1336">
        <v>539</v>
      </c>
      <c r="P26" s="1336">
        <v>662</v>
      </c>
      <c r="Q26" s="1336">
        <v>867</v>
      </c>
      <c r="R26" s="1336">
        <v>1087</v>
      </c>
      <c r="S26" s="1337">
        <v>1655</v>
      </c>
    </row>
    <row r="27" spans="1:19" ht="18" customHeight="1">
      <c r="A27" s="1334">
        <v>150</v>
      </c>
      <c r="B27" s="1335"/>
      <c r="C27" s="1336">
        <v>272.2</v>
      </c>
      <c r="D27" s="1336">
        <v>443.7</v>
      </c>
      <c r="E27" s="1336">
        <v>533.79999999999995</v>
      </c>
      <c r="F27" s="1336">
        <v>652</v>
      </c>
      <c r="G27" s="1336">
        <v>837</v>
      </c>
      <c r="H27" s="1336">
        <v>1078</v>
      </c>
      <c r="I27" s="1337"/>
      <c r="K27" s="1334">
        <v>150</v>
      </c>
      <c r="L27" s="1335"/>
      <c r="M27" s="1336"/>
      <c r="N27" s="1336">
        <v>446</v>
      </c>
      <c r="O27" s="1336">
        <v>554</v>
      </c>
      <c r="P27" s="1336">
        <v>680</v>
      </c>
      <c r="Q27" s="1336">
        <v>890</v>
      </c>
      <c r="R27" s="1336">
        <v>1115</v>
      </c>
      <c r="S27" s="1337">
        <v>1695</v>
      </c>
    </row>
    <row r="28" spans="1:19" ht="18" customHeight="1">
      <c r="A28" s="1334">
        <v>155</v>
      </c>
      <c r="B28" s="1335"/>
      <c r="C28" s="1336"/>
      <c r="D28" s="1336">
        <v>455.7</v>
      </c>
      <c r="E28" s="1336">
        <v>548.79999999999995</v>
      </c>
      <c r="F28" s="1336">
        <v>670</v>
      </c>
      <c r="G28" s="1336">
        <v>859</v>
      </c>
      <c r="H28" s="1336">
        <v>1106</v>
      </c>
      <c r="I28" s="1337"/>
      <c r="K28" s="1334">
        <v>155</v>
      </c>
      <c r="L28" s="1335"/>
      <c r="M28" s="1336"/>
      <c r="N28" s="1336">
        <v>458</v>
      </c>
      <c r="O28" s="1336">
        <v>569</v>
      </c>
      <c r="P28" s="1336">
        <v>698</v>
      </c>
      <c r="Q28" s="1336">
        <v>912</v>
      </c>
      <c r="R28" s="1336">
        <v>1143</v>
      </c>
      <c r="S28" s="1337">
        <v>1735</v>
      </c>
    </row>
    <row r="29" spans="1:19" ht="18" customHeight="1">
      <c r="A29" s="1334">
        <v>160</v>
      </c>
      <c r="B29" s="1335"/>
      <c r="C29" s="1336"/>
      <c r="D29" s="1336">
        <v>467.7</v>
      </c>
      <c r="E29" s="1336">
        <v>563.79999999999995</v>
      </c>
      <c r="F29" s="1336">
        <v>688</v>
      </c>
      <c r="G29" s="1336">
        <v>881</v>
      </c>
      <c r="H29" s="1336">
        <v>1134</v>
      </c>
      <c r="I29" s="1337"/>
      <c r="K29" s="1334">
        <v>160</v>
      </c>
      <c r="L29" s="1335"/>
      <c r="M29" s="1336"/>
      <c r="N29" s="1336"/>
      <c r="O29" s="1336">
        <v>584</v>
      </c>
      <c r="P29" s="1336">
        <v>716</v>
      </c>
      <c r="Q29" s="1336">
        <v>935</v>
      </c>
      <c r="R29" s="1336">
        <v>1170</v>
      </c>
      <c r="S29" s="1337">
        <v>1775</v>
      </c>
    </row>
    <row r="30" spans="1:19" ht="18" customHeight="1">
      <c r="A30" s="1334">
        <v>165</v>
      </c>
      <c r="B30" s="1335"/>
      <c r="C30" s="1336"/>
      <c r="D30" s="1336">
        <v>479.7</v>
      </c>
      <c r="E30" s="1336">
        <v>578.79999999999995</v>
      </c>
      <c r="F30" s="1336">
        <v>706</v>
      </c>
      <c r="G30" s="1336">
        <v>903</v>
      </c>
      <c r="H30" s="1336">
        <v>1162</v>
      </c>
      <c r="I30" s="1337"/>
      <c r="K30" s="1334">
        <v>165</v>
      </c>
      <c r="L30" s="1335"/>
      <c r="M30" s="1336"/>
      <c r="N30" s="1336"/>
      <c r="O30" s="1336">
        <v>599</v>
      </c>
      <c r="P30" s="1336">
        <v>733</v>
      </c>
      <c r="Q30" s="1336">
        <v>957</v>
      </c>
      <c r="R30" s="1336">
        <v>1198</v>
      </c>
      <c r="S30" s="1337">
        <v>1815</v>
      </c>
    </row>
    <row r="31" spans="1:19" ht="18" customHeight="1">
      <c r="A31" s="1334">
        <v>170</v>
      </c>
      <c r="B31" s="1335"/>
      <c r="C31" s="1336"/>
      <c r="D31" s="1336">
        <v>491.7</v>
      </c>
      <c r="E31" s="1336">
        <v>593.79999999999995</v>
      </c>
      <c r="F31" s="1336">
        <v>724</v>
      </c>
      <c r="G31" s="1336">
        <v>925</v>
      </c>
      <c r="H31" s="1336">
        <v>1190</v>
      </c>
      <c r="I31" s="1337"/>
      <c r="K31" s="1334">
        <v>170</v>
      </c>
      <c r="L31" s="1335"/>
      <c r="M31" s="1336"/>
      <c r="N31" s="1336"/>
      <c r="O31" s="1336">
        <v>614</v>
      </c>
      <c r="P31" s="1336">
        <v>754</v>
      </c>
      <c r="Q31" s="1336">
        <v>979</v>
      </c>
      <c r="R31" s="1336">
        <v>1226</v>
      </c>
      <c r="S31" s="1337">
        <v>1855</v>
      </c>
    </row>
    <row r="32" spans="1:19" ht="18" customHeight="1">
      <c r="A32" s="1334">
        <v>175</v>
      </c>
      <c r="B32" s="1335"/>
      <c r="C32" s="1336"/>
      <c r="D32" s="1336">
        <v>503.7</v>
      </c>
      <c r="E32" s="1336">
        <v>608.79999999999995</v>
      </c>
      <c r="F32" s="1336">
        <v>742</v>
      </c>
      <c r="G32" s="1336">
        <v>947</v>
      </c>
      <c r="H32" s="1336">
        <v>1218</v>
      </c>
      <c r="I32" s="1337"/>
      <c r="K32" s="1334">
        <v>175</v>
      </c>
      <c r="L32" s="1335"/>
      <c r="M32" s="1336"/>
      <c r="N32" s="1336"/>
      <c r="O32" s="1336"/>
      <c r="P32" s="1336">
        <v>769</v>
      </c>
      <c r="Q32" s="1336">
        <v>1002</v>
      </c>
      <c r="R32" s="1336">
        <v>1254</v>
      </c>
      <c r="S32" s="1337">
        <v>1895</v>
      </c>
    </row>
    <row r="33" spans="1:19" ht="18" customHeight="1">
      <c r="A33" s="1334">
        <v>180</v>
      </c>
      <c r="B33" s="1335"/>
      <c r="C33" s="1336"/>
      <c r="D33" s="1336"/>
      <c r="E33" s="1336">
        <v>623.79999999999995</v>
      </c>
      <c r="F33" s="1336">
        <v>760</v>
      </c>
      <c r="G33" s="1336">
        <v>969</v>
      </c>
      <c r="H33" s="1336">
        <v>1246</v>
      </c>
      <c r="I33" s="1337"/>
      <c r="K33" s="1334">
        <v>180</v>
      </c>
      <c r="L33" s="1335"/>
      <c r="M33" s="1336"/>
      <c r="N33" s="1336"/>
      <c r="O33" s="1336"/>
      <c r="P33" s="1336">
        <v>787</v>
      </c>
      <c r="Q33" s="1336">
        <v>1024</v>
      </c>
      <c r="R33" s="1336">
        <v>1281</v>
      </c>
      <c r="S33" s="1337">
        <v>1935</v>
      </c>
    </row>
    <row r="34" spans="1:19" ht="18" customHeight="1">
      <c r="A34" s="1334">
        <v>185</v>
      </c>
      <c r="B34" s="1335"/>
      <c r="C34" s="1336"/>
      <c r="D34" s="1336"/>
      <c r="E34" s="1336">
        <v>638.79999999999995</v>
      </c>
      <c r="F34" s="1336">
        <v>778</v>
      </c>
      <c r="G34" s="1336">
        <v>991</v>
      </c>
      <c r="H34" s="1336">
        <v>1274</v>
      </c>
      <c r="I34" s="1337"/>
      <c r="K34" s="1334">
        <v>185</v>
      </c>
      <c r="L34" s="1335"/>
      <c r="M34" s="1336"/>
      <c r="N34" s="1336"/>
      <c r="O34" s="1336"/>
      <c r="P34" s="1336">
        <v>804</v>
      </c>
      <c r="Q34" s="1336">
        <v>1047</v>
      </c>
      <c r="R34" s="1336">
        <v>1309</v>
      </c>
      <c r="S34" s="1337">
        <v>1974</v>
      </c>
    </row>
    <row r="35" spans="1:19" ht="18" customHeight="1">
      <c r="A35" s="1334">
        <v>190</v>
      </c>
      <c r="B35" s="1335"/>
      <c r="C35" s="1336"/>
      <c r="D35" s="1336"/>
      <c r="E35" s="1336">
        <v>653.79999999999995</v>
      </c>
      <c r="F35" s="1336">
        <v>796</v>
      </c>
      <c r="G35" s="1336">
        <v>1013</v>
      </c>
      <c r="H35" s="1336">
        <v>1302</v>
      </c>
      <c r="I35" s="1337"/>
      <c r="K35" s="1334">
        <v>190</v>
      </c>
      <c r="L35" s="1335"/>
      <c r="M35" s="1336"/>
      <c r="N35" s="1336"/>
      <c r="O35" s="1336"/>
      <c r="P35" s="1336">
        <v>822</v>
      </c>
      <c r="Q35" s="1336">
        <v>1069</v>
      </c>
      <c r="R35" s="1336">
        <v>1337</v>
      </c>
      <c r="S35" s="1337">
        <v>2014</v>
      </c>
    </row>
    <row r="36" spans="1:19" ht="18" customHeight="1">
      <c r="A36" s="1334">
        <v>195</v>
      </c>
      <c r="B36" s="1335"/>
      <c r="C36" s="1336"/>
      <c r="D36" s="1336"/>
      <c r="E36" s="1336">
        <v>668.8</v>
      </c>
      <c r="F36" s="1336">
        <v>814</v>
      </c>
      <c r="G36" s="1336">
        <v>1035</v>
      </c>
      <c r="H36" s="1336">
        <v>1330</v>
      </c>
      <c r="I36" s="1337"/>
      <c r="K36" s="1334">
        <v>195</v>
      </c>
      <c r="L36" s="1335"/>
      <c r="M36" s="1336"/>
      <c r="N36" s="1336"/>
      <c r="O36" s="1336"/>
      <c r="P36" s="1336">
        <v>840</v>
      </c>
      <c r="Q36" s="1336">
        <v>1092</v>
      </c>
      <c r="R36" s="1336">
        <v>1365</v>
      </c>
      <c r="S36" s="1337">
        <v>2054</v>
      </c>
    </row>
    <row r="37" spans="1:19" ht="18" customHeight="1" thickBot="1">
      <c r="A37" s="1338">
        <v>200</v>
      </c>
      <c r="B37" s="1339"/>
      <c r="C37" s="1340"/>
      <c r="D37" s="1340"/>
      <c r="E37" s="1340">
        <v>683.8</v>
      </c>
      <c r="F37" s="1340">
        <v>832</v>
      </c>
      <c r="G37" s="1340">
        <v>1057</v>
      </c>
      <c r="H37" s="1340">
        <v>1358</v>
      </c>
      <c r="I37" s="1341"/>
      <c r="K37" s="1338">
        <v>200</v>
      </c>
      <c r="L37" s="1339"/>
      <c r="M37" s="1340"/>
      <c r="N37" s="1340"/>
      <c r="O37" s="1340"/>
      <c r="P37" s="1340"/>
      <c r="Q37" s="1340">
        <v>1114</v>
      </c>
      <c r="R37" s="1340">
        <v>1392</v>
      </c>
      <c r="S37" s="1341">
        <v>2094</v>
      </c>
    </row>
    <row r="38" spans="1:19" ht="7.5" customHeight="1" thickBot="1">
      <c r="A38" s="1342"/>
      <c r="B38" s="1342"/>
      <c r="C38" s="1342"/>
      <c r="D38" s="1342"/>
      <c r="E38" s="1342"/>
      <c r="F38" s="1342"/>
      <c r="G38" s="1342"/>
      <c r="H38" s="1342"/>
      <c r="I38" s="1342"/>
      <c r="K38" s="1342"/>
      <c r="L38" s="1342"/>
      <c r="M38" s="1342"/>
      <c r="N38" s="1342"/>
      <c r="O38" s="1342"/>
      <c r="P38" s="1342"/>
      <c r="Q38" s="1342"/>
      <c r="R38" s="1342"/>
      <c r="S38" s="1342"/>
    </row>
    <row r="39" spans="1:19" ht="21" thickBot="1">
      <c r="A39" s="1759" t="s">
        <v>443</v>
      </c>
      <c r="B39" s="1760"/>
      <c r="C39" s="1760"/>
      <c r="D39" s="1760"/>
      <c r="E39" s="1760"/>
      <c r="F39" s="1760"/>
      <c r="G39" s="1760"/>
      <c r="H39" s="1760"/>
      <c r="I39" s="1761"/>
      <c r="K39" s="1759" t="s">
        <v>444</v>
      </c>
      <c r="L39" s="1760"/>
      <c r="M39" s="1760"/>
      <c r="N39" s="1760"/>
      <c r="O39" s="1760"/>
      <c r="P39" s="1760"/>
      <c r="Q39" s="1760"/>
      <c r="R39" s="1760"/>
      <c r="S39" s="1761"/>
    </row>
    <row r="40" spans="1:19" ht="18.75" customHeight="1" thickBot="1">
      <c r="A40" s="1343" t="s">
        <v>445</v>
      </c>
      <c r="B40" s="1327" t="s">
        <v>632</v>
      </c>
      <c r="C40" s="1328" t="s">
        <v>639</v>
      </c>
      <c r="D40" s="1328" t="s">
        <v>689</v>
      </c>
      <c r="E40" s="1328" t="s">
        <v>649</v>
      </c>
      <c r="F40" s="1328" t="s">
        <v>656</v>
      </c>
      <c r="G40" s="1328" t="s">
        <v>667</v>
      </c>
      <c r="H40" s="1328" t="s">
        <v>440</v>
      </c>
      <c r="I40" s="1329"/>
      <c r="K40" s="1343" t="s">
        <v>445</v>
      </c>
      <c r="L40" s="1327" t="s">
        <v>632</v>
      </c>
      <c r="M40" s="1328" t="s">
        <v>639</v>
      </c>
      <c r="N40" s="1328" t="s">
        <v>689</v>
      </c>
      <c r="O40" s="1328" t="s">
        <v>649</v>
      </c>
      <c r="P40" s="1328" t="s">
        <v>656</v>
      </c>
      <c r="Q40" s="1328" t="s">
        <v>667</v>
      </c>
      <c r="R40" s="1328" t="s">
        <v>440</v>
      </c>
      <c r="S40" s="1329" t="s">
        <v>442</v>
      </c>
    </row>
    <row r="41" spans="1:19" ht="18.75" customHeight="1" thickTop="1" thickBot="1">
      <c r="A41" s="1344" t="s">
        <v>446</v>
      </c>
      <c r="B41" s="1345">
        <v>15.9</v>
      </c>
      <c r="C41" s="1346">
        <v>30.8</v>
      </c>
      <c r="D41" s="1346">
        <v>60.3</v>
      </c>
      <c r="E41" s="1346">
        <v>80.2</v>
      </c>
      <c r="F41" s="1346">
        <v>103</v>
      </c>
      <c r="G41" s="1346">
        <v>154</v>
      </c>
      <c r="H41" s="1346">
        <v>216</v>
      </c>
      <c r="I41" s="1347"/>
      <c r="K41" s="1344" t="s">
        <v>446</v>
      </c>
      <c r="L41" s="1345">
        <v>23.3</v>
      </c>
      <c r="M41" s="1346">
        <v>44.8</v>
      </c>
      <c r="N41" s="1346">
        <v>73.900000000000006</v>
      </c>
      <c r="O41" s="1346">
        <v>104</v>
      </c>
      <c r="P41" s="1346">
        <v>155</v>
      </c>
      <c r="Q41" s="1346">
        <v>224</v>
      </c>
      <c r="R41" s="1346">
        <v>300</v>
      </c>
      <c r="S41" s="1347">
        <v>515</v>
      </c>
    </row>
    <row r="42" spans="1:19" ht="8.25" customHeight="1" thickBot="1">
      <c r="A42" s="1342"/>
      <c r="B42" s="1348"/>
      <c r="C42" s="1348"/>
      <c r="D42" s="1348"/>
      <c r="E42" s="1348"/>
      <c r="F42" s="1348"/>
      <c r="G42" s="1348"/>
      <c r="H42" s="1348"/>
      <c r="I42" s="1348"/>
      <c r="K42" s="1342"/>
      <c r="L42" s="1348"/>
      <c r="M42" s="1348"/>
      <c r="N42" s="1348"/>
      <c r="O42" s="1348"/>
      <c r="P42" s="1348"/>
      <c r="Q42" s="1348"/>
      <c r="R42" s="1348"/>
      <c r="S42" s="1348"/>
    </row>
    <row r="43" spans="1:19" ht="21" thickBot="1">
      <c r="A43" s="1759" t="s">
        <v>447</v>
      </c>
      <c r="B43" s="1760"/>
      <c r="C43" s="1760"/>
      <c r="D43" s="1760"/>
      <c r="E43" s="1760"/>
      <c r="F43" s="1760"/>
      <c r="G43" s="1760"/>
      <c r="H43" s="1760"/>
      <c r="I43" s="1761"/>
      <c r="K43" s="1759" t="s">
        <v>448</v>
      </c>
      <c r="L43" s="1760"/>
      <c r="M43" s="1760"/>
      <c r="N43" s="1760"/>
      <c r="O43" s="1760"/>
      <c r="P43" s="1760"/>
      <c r="Q43" s="1760"/>
      <c r="R43" s="1760"/>
      <c r="S43" s="1761"/>
    </row>
    <row r="44" spans="1:19" ht="15.75" thickBot="1">
      <c r="A44" s="1349" t="s">
        <v>445</v>
      </c>
      <c r="B44" s="1350" t="s">
        <v>449</v>
      </c>
      <c r="C44" s="1351" t="s">
        <v>450</v>
      </c>
      <c r="D44" s="1351" t="s">
        <v>451</v>
      </c>
      <c r="E44" s="1351" t="s">
        <v>452</v>
      </c>
      <c r="F44" s="1351" t="s">
        <v>453</v>
      </c>
      <c r="G44" s="1352" t="s">
        <v>454</v>
      </c>
      <c r="H44" s="1351" t="s">
        <v>455</v>
      </c>
      <c r="I44" s="1353"/>
      <c r="K44" s="1343" t="s">
        <v>445</v>
      </c>
      <c r="L44" s="1327">
        <v>13</v>
      </c>
      <c r="M44" s="1328">
        <v>17</v>
      </c>
      <c r="N44" s="1328">
        <v>21</v>
      </c>
      <c r="O44" s="1328">
        <v>23</v>
      </c>
      <c r="P44" s="1328">
        <v>25</v>
      </c>
      <c r="Q44" s="1328">
        <v>28</v>
      </c>
      <c r="R44" s="1328">
        <v>31</v>
      </c>
      <c r="S44" s="1329">
        <v>37</v>
      </c>
    </row>
    <row r="45" spans="1:19" ht="16.5" thickTop="1" thickBot="1">
      <c r="A45" s="1354"/>
      <c r="B45" s="1355" t="s">
        <v>632</v>
      </c>
      <c r="C45" s="1356" t="s">
        <v>639</v>
      </c>
      <c r="D45" s="1356" t="s">
        <v>689</v>
      </c>
      <c r="E45" s="1356" t="s">
        <v>649</v>
      </c>
      <c r="F45" s="1356" t="s">
        <v>656</v>
      </c>
      <c r="G45" s="1356" t="s">
        <v>667</v>
      </c>
      <c r="H45" s="1356" t="s">
        <v>440</v>
      </c>
      <c r="I45" s="1357"/>
      <c r="K45" s="1344" t="s">
        <v>446</v>
      </c>
      <c r="L45" s="1345">
        <v>7.03</v>
      </c>
      <c r="M45" s="1346">
        <v>14.6</v>
      </c>
      <c r="N45" s="1346">
        <v>19.600000000000001</v>
      </c>
      <c r="O45" s="1346">
        <v>24.3</v>
      </c>
      <c r="P45" s="1346">
        <v>30.6</v>
      </c>
      <c r="Q45" s="1346">
        <v>50.2</v>
      </c>
      <c r="R45" s="1346">
        <v>63.2</v>
      </c>
      <c r="S45" s="1347">
        <v>115</v>
      </c>
    </row>
    <row r="46" spans="1:19" ht="19.5" customHeight="1" thickTop="1" thickBot="1">
      <c r="A46" s="1344" t="s">
        <v>446</v>
      </c>
      <c r="B46" s="1345">
        <v>18.8</v>
      </c>
      <c r="C46" s="1346">
        <v>28.3</v>
      </c>
      <c r="D46" s="1346">
        <v>43.6</v>
      </c>
      <c r="E46" s="1346">
        <v>46.2</v>
      </c>
      <c r="F46" s="1346">
        <v>61.5</v>
      </c>
      <c r="G46" s="1346">
        <v>79</v>
      </c>
      <c r="H46" s="1346">
        <v>101</v>
      </c>
      <c r="I46" s="1347"/>
    </row>
    <row r="47" spans="1:19">
      <c r="Q47" s="1016">
        <f>Q17</f>
        <v>665</v>
      </c>
    </row>
    <row r="48" spans="1:19">
      <c r="D48" s="1016">
        <f>D46+D41</f>
        <v>103.9</v>
      </c>
      <c r="E48" s="1016">
        <f>E46+E41</f>
        <v>126.4</v>
      </c>
      <c r="G48" s="1016">
        <f>G46+G41</f>
        <v>233</v>
      </c>
      <c r="Q48" s="1016">
        <f>Q41</f>
        <v>224</v>
      </c>
    </row>
    <row r="49" spans="5:17">
      <c r="E49" s="1016">
        <f>E13</f>
        <v>323.8</v>
      </c>
      <c r="G49" s="1016">
        <f>G17</f>
        <v>617</v>
      </c>
      <c r="Q49" s="1016">
        <f>O41</f>
        <v>104</v>
      </c>
    </row>
    <row r="50" spans="5:17">
      <c r="E50" s="1016">
        <f>SUM(E48:E49)</f>
        <v>450.20000000000005</v>
      </c>
      <c r="G50" s="1016">
        <f>SUM(G48:G49)</f>
        <v>850</v>
      </c>
      <c r="Q50" s="1016">
        <f>SUM(Q47:Q49)</f>
        <v>993</v>
      </c>
    </row>
  </sheetData>
  <mergeCells count="6">
    <mergeCell ref="A1:I1"/>
    <mergeCell ref="A39:I39"/>
    <mergeCell ref="A43:I43"/>
    <mergeCell ref="K1:S1"/>
    <mergeCell ref="K39:S39"/>
    <mergeCell ref="K43:S43"/>
  </mergeCells>
  <phoneticPr fontId="96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/>
  <dimension ref="A1:Y37"/>
  <sheetViews>
    <sheetView tabSelected="1" topLeftCell="A7" workbookViewId="0">
      <selection activeCell="C7" sqref="C7"/>
    </sheetView>
  </sheetViews>
  <sheetFormatPr defaultColWidth="6.42578125" defaultRowHeight="12.75"/>
  <cols>
    <col min="1" max="1" width="10.140625" style="866" customWidth="1"/>
    <col min="2" max="2" width="8.140625" style="866" customWidth="1"/>
    <col min="3" max="9" width="6.42578125" style="866" customWidth="1"/>
    <col min="10" max="10" width="10.140625" style="866" customWidth="1"/>
    <col min="11" max="12" width="6.42578125" style="866" customWidth="1"/>
    <col min="13" max="13" width="9.5703125" style="866" customWidth="1"/>
    <col min="14" max="14" width="9.140625" style="866" customWidth="1"/>
    <col min="15" max="15" width="9.85546875" style="866" customWidth="1"/>
    <col min="16" max="16" width="10.42578125" style="866" customWidth="1"/>
    <col min="17" max="16384" width="6.42578125" style="866"/>
  </cols>
  <sheetData>
    <row r="1" spans="1:25" ht="18">
      <c r="A1" s="1402" t="s">
        <v>149</v>
      </c>
      <c r="B1" s="878" t="s">
        <v>1787</v>
      </c>
      <c r="C1" s="1403" t="s">
        <v>150</v>
      </c>
      <c r="D1" s="879"/>
      <c r="E1" s="879"/>
      <c r="F1" s="879"/>
      <c r="G1" s="879"/>
      <c r="H1" s="879"/>
      <c r="I1" s="879"/>
      <c r="J1" s="879"/>
      <c r="K1" s="879"/>
      <c r="L1" s="879"/>
      <c r="M1" s="879"/>
      <c r="N1" s="879"/>
      <c r="O1" s="879"/>
      <c r="P1" s="879"/>
      <c r="Q1" s="1404"/>
      <c r="R1" s="1404"/>
    </row>
    <row r="2" spans="1:25" s="1405" customFormat="1">
      <c r="A2" s="831" t="s">
        <v>132</v>
      </c>
      <c r="B2" s="831"/>
      <c r="C2" s="880"/>
      <c r="D2" s="882"/>
      <c r="E2" s="882"/>
      <c r="F2" s="881" t="s">
        <v>151</v>
      </c>
      <c r="G2" s="882" t="s">
        <v>94</v>
      </c>
      <c r="H2" s="881" t="s">
        <v>578</v>
      </c>
      <c r="I2" s="881" t="s">
        <v>572</v>
      </c>
      <c r="J2" s="881" t="s">
        <v>56</v>
      </c>
      <c r="K2" s="881" t="s">
        <v>1952</v>
      </c>
      <c r="L2" s="881" t="s">
        <v>105</v>
      </c>
      <c r="M2" s="883" t="s">
        <v>152</v>
      </c>
      <c r="N2" s="881" t="s">
        <v>106</v>
      </c>
      <c r="O2" s="881" t="s">
        <v>0</v>
      </c>
      <c r="P2" s="884" t="s">
        <v>107</v>
      </c>
    </row>
    <row r="3" spans="1:25" s="1405" customFormat="1" ht="15">
      <c r="A3" s="836" t="s">
        <v>570</v>
      </c>
      <c r="B3" s="885" t="s">
        <v>1746</v>
      </c>
      <c r="C3" s="885" t="s">
        <v>1507</v>
      </c>
      <c r="D3" s="885"/>
      <c r="E3" s="885"/>
      <c r="F3" s="885" t="s">
        <v>601</v>
      </c>
      <c r="G3" s="885" t="s">
        <v>601</v>
      </c>
      <c r="H3" s="885" t="s">
        <v>110</v>
      </c>
      <c r="I3" s="885" t="s">
        <v>599</v>
      </c>
      <c r="J3" s="885" t="s">
        <v>111</v>
      </c>
      <c r="K3" s="885" t="s">
        <v>72</v>
      </c>
      <c r="L3" s="885" t="s">
        <v>607</v>
      </c>
      <c r="M3" s="886" t="s">
        <v>160</v>
      </c>
      <c r="N3" s="885" t="s">
        <v>111</v>
      </c>
      <c r="O3" s="885" t="s">
        <v>72</v>
      </c>
      <c r="P3" s="887" t="s">
        <v>607</v>
      </c>
      <c r="Q3" s="1405">
        <f>Q4/P4</f>
        <v>28.697013638744064</v>
      </c>
      <c r="R3" s="1405">
        <v>1.64</v>
      </c>
      <c r="S3" s="1405">
        <v>4.5999999999999996</v>
      </c>
    </row>
    <row r="4" spans="1:25">
      <c r="A4" s="841">
        <v>300</v>
      </c>
      <c r="B4" s="841">
        <v>150</v>
      </c>
      <c r="C4" s="841">
        <v>30</v>
      </c>
      <c r="E4" s="841"/>
      <c r="F4" s="848">
        <f>C4*1.5</f>
        <v>45</v>
      </c>
      <c r="G4" s="1406">
        <f>H4/C4*100</f>
        <v>488.49539999999996</v>
      </c>
      <c r="H4" s="1407">
        <f>2*(B4-F4-C4)*C4/100+(A4-2*F4-2*C4)*C4/100+3.14159*((F4+C4)*(F4+C4)-F4*F4)/200</f>
        <v>146.54862</v>
      </c>
      <c r="I4" s="842">
        <f>H4*7.85/10</f>
        <v>115.0406667</v>
      </c>
      <c r="J4" s="846">
        <f>(B4*A4*A4*A4-(B4-C4)*(A4-2*C4)*(A4-2*C4)*(A4-2*C4))/12/10000</f>
        <v>19926</v>
      </c>
      <c r="K4" s="846">
        <f>2*10*J4/A4</f>
        <v>1328.4</v>
      </c>
      <c r="L4" s="842">
        <f>SQRT(J4/H4)</f>
        <v>11.660554319250396</v>
      </c>
      <c r="M4" s="842">
        <f>((2*(B4-C4)*C4*((B4-C4)/2+C4))+((A4-2*C4)*C4*C4/2))/((2*(B4-C4)*C4)+((A4-2*C4)*C4))/10</f>
        <v>5.25</v>
      </c>
      <c r="N4" s="842">
        <f>((A4-2*C4)*C4*C4*C4/12+(A4-2*C4)*C4*(M4*10-C4/2)*(M4*10-C4/2)+2*C4*(B4-C4)*(B4-C4)*(B4-C4)/12+2*C4*(B4-C4)*((B4-C4)/2+C4-M4*10)*((B4-C4)/2+C4-M4*10))/10000</f>
        <v>2943</v>
      </c>
      <c r="O4" s="844">
        <f>N4/(B4/10-M4)</f>
        <v>301.84615384615387</v>
      </c>
      <c r="P4" s="842">
        <f>SQRT(N4/H4)</f>
        <v>4.4813025361766607</v>
      </c>
      <c r="Q4" s="866">
        <v>128.6</v>
      </c>
      <c r="R4" s="866">
        <v>200</v>
      </c>
      <c r="S4" s="866">
        <f>R4/P4</f>
        <v>44.629881242214722</v>
      </c>
      <c r="T4" s="866">
        <v>450</v>
      </c>
      <c r="U4" s="866">
        <f>T4/L4</f>
        <v>38.591647333360086</v>
      </c>
      <c r="W4" s="866">
        <v>145</v>
      </c>
      <c r="X4" s="866">
        <f>W4/P4</f>
        <v>32.356663900605675</v>
      </c>
      <c r="Y4" s="866">
        <v>2</v>
      </c>
    </row>
    <row r="5" spans="1:25">
      <c r="A5" s="841">
        <v>182</v>
      </c>
      <c r="B5" s="841">
        <v>70</v>
      </c>
      <c r="C5" s="841">
        <v>4</v>
      </c>
      <c r="E5" s="841"/>
      <c r="F5" s="848">
        <f>C5*1.5</f>
        <v>6</v>
      </c>
      <c r="G5" s="1406">
        <f>H5/C5*100</f>
        <v>307.13272000000001</v>
      </c>
      <c r="H5" s="1407">
        <f>2*(B5-F5-C5)*C5/100+(A5-2*F5-2*C5)*C5/100+3.14159*((F5+C5)*(F5+C5)-F5*F5)/200</f>
        <v>12.285308800000001</v>
      </c>
      <c r="I5" s="842">
        <f>H5*7.85/10</f>
        <v>9.643967408</v>
      </c>
      <c r="J5" s="846">
        <f>(B5*A5*A5*A5-(B5-C5)*(A5-2*C5)*(A5-2*C5)*(A5-2*C5))/12/10000</f>
        <v>619.25146666666672</v>
      </c>
      <c r="K5" s="842">
        <f>2*10*J5/A5</f>
        <v>68.049611721611726</v>
      </c>
      <c r="L5" s="842">
        <f>SQRT(J5/H5)</f>
        <v>7.0997079358854069</v>
      </c>
      <c r="M5" s="842">
        <f>((2*(B5-C5)*C5*((B5-C5)/2+C5))+((A5-2*C5)*C5*C5/2))/((2*(B5-C5)*C5)+((A5-2*C5)*C5))/10</f>
        <v>1.7098039215686274</v>
      </c>
      <c r="N5" s="842">
        <f>((A5-2*C5)*C5*C5*C5/12+(A5-2*C5)*C5*(M5*10-C5/2)*(M5*10-C5/2)+2*C5*(B5-C5)*(B5-C5)*(B5-C5)/12+2*C5*(B5-C5)*((B5-C5)/2+C5-M5*10)*((B5-C5)/2+C5-M5*10))/10000</f>
        <v>56.03802352941176</v>
      </c>
      <c r="O5" s="846">
        <f>N5/(B5/10-M5)</f>
        <v>10.59280652335063</v>
      </c>
      <c r="P5" s="842">
        <f>SQRT(N5/H5)</f>
        <v>2.1357399233627734</v>
      </c>
      <c r="R5" s="866">
        <v>400</v>
      </c>
      <c r="S5" s="866">
        <f>R5/L4</f>
        <v>34.3036865185423</v>
      </c>
      <c r="T5" s="866">
        <v>150</v>
      </c>
      <c r="U5" s="866">
        <f>T5/P4</f>
        <v>33.472410931661038</v>
      </c>
      <c r="V5" s="866">
        <f>A5/C5</f>
        <v>45.5</v>
      </c>
    </row>
    <row r="6" spans="1:25">
      <c r="A6" s="1408"/>
      <c r="B6" s="1408"/>
      <c r="C6" s="1408"/>
      <c r="D6" s="1408"/>
      <c r="E6" s="1408"/>
      <c r="F6" s="1408"/>
      <c r="G6" s="1408"/>
      <c r="H6" s="849"/>
      <c r="I6" s="849"/>
      <c r="J6" s="849"/>
      <c r="K6" s="849"/>
      <c r="L6" s="1409"/>
      <c r="M6" s="1409"/>
      <c r="N6" s="849"/>
      <c r="O6" s="849"/>
      <c r="P6" s="1409"/>
    </row>
    <row r="7" spans="1:25" s="830" customFormat="1" ht="18">
      <c r="A7" s="1402" t="s">
        <v>149</v>
      </c>
      <c r="B7" s="878" t="s">
        <v>153</v>
      </c>
      <c r="C7" s="1403" t="s">
        <v>150</v>
      </c>
      <c r="D7" s="1410"/>
      <c r="E7" s="1410"/>
      <c r="F7" s="1410"/>
      <c r="G7" s="1410"/>
      <c r="H7" s="1410"/>
      <c r="I7" s="1410"/>
      <c r="J7" s="1410"/>
      <c r="K7" s="1410"/>
      <c r="L7" s="1410"/>
      <c r="M7" s="1410"/>
      <c r="N7" s="1410"/>
      <c r="O7" s="1410"/>
    </row>
    <row r="8" spans="1:25" s="835" customFormat="1">
      <c r="A8" s="831" t="s">
        <v>132</v>
      </c>
      <c r="B8" s="832"/>
      <c r="C8" s="832"/>
      <c r="D8" s="832"/>
      <c r="E8" s="1411"/>
      <c r="F8" s="881" t="s">
        <v>151</v>
      </c>
      <c r="G8" s="882" t="s">
        <v>94</v>
      </c>
      <c r="H8" s="833" t="s">
        <v>578</v>
      </c>
      <c r="I8" s="833" t="s">
        <v>572</v>
      </c>
      <c r="J8" s="833" t="s">
        <v>56</v>
      </c>
      <c r="K8" s="833" t="s">
        <v>1952</v>
      </c>
      <c r="L8" s="833" t="s">
        <v>105</v>
      </c>
      <c r="M8" s="883" t="s">
        <v>152</v>
      </c>
      <c r="N8" s="833" t="s">
        <v>106</v>
      </c>
      <c r="O8" s="833" t="s">
        <v>0</v>
      </c>
      <c r="P8" s="834" t="s">
        <v>107</v>
      </c>
      <c r="Q8" s="864" t="s">
        <v>154</v>
      </c>
      <c r="R8" s="864" t="s">
        <v>1884</v>
      </c>
      <c r="S8" s="864" t="s">
        <v>155</v>
      </c>
    </row>
    <row r="9" spans="1:25" s="835" customFormat="1" ht="15">
      <c r="A9" s="836" t="s">
        <v>570</v>
      </c>
      <c r="B9" s="837" t="s">
        <v>1746</v>
      </c>
      <c r="C9" s="837" t="s">
        <v>1507</v>
      </c>
      <c r="D9" s="837" t="s">
        <v>153</v>
      </c>
      <c r="E9" s="838" t="s">
        <v>598</v>
      </c>
      <c r="F9" s="885" t="s">
        <v>601</v>
      </c>
      <c r="G9" s="885" t="s">
        <v>601</v>
      </c>
      <c r="H9" s="838" t="s">
        <v>110</v>
      </c>
      <c r="I9" s="838" t="s">
        <v>599</v>
      </c>
      <c r="J9" s="838" t="s">
        <v>111</v>
      </c>
      <c r="K9" s="838" t="s">
        <v>72</v>
      </c>
      <c r="L9" s="838" t="s">
        <v>607</v>
      </c>
      <c r="M9" s="886" t="s">
        <v>160</v>
      </c>
      <c r="N9" s="838" t="s">
        <v>111</v>
      </c>
      <c r="O9" s="838" t="s">
        <v>72</v>
      </c>
      <c r="P9" s="839" t="s">
        <v>607</v>
      </c>
      <c r="S9" s="835" t="s">
        <v>156</v>
      </c>
    </row>
    <row r="10" spans="1:25" s="830" customFormat="1">
      <c r="A10" s="873">
        <v>180</v>
      </c>
      <c r="B10" s="873">
        <v>70</v>
      </c>
      <c r="C10" s="873">
        <v>3</v>
      </c>
      <c r="D10" s="873">
        <v>20</v>
      </c>
      <c r="E10" s="854">
        <f>A10-2*D10</f>
        <v>140</v>
      </c>
      <c r="F10" s="848">
        <f>C10</f>
        <v>3</v>
      </c>
      <c r="G10" s="1406">
        <f>H10/C10*100</f>
        <v>340.27431000000001</v>
      </c>
      <c r="H10" s="1407">
        <f>2*(B10-2*(F10+C10))*C10/100+2*(A10-2*(F10+C10))*C10/100+3.14159*((F10+C10)*(F10+C10)-F10*F10)/100-E10*C10/100</f>
        <v>10.208229299999999</v>
      </c>
      <c r="I10" s="842">
        <f>H10*7.85/10</f>
        <v>8.0134600005000003</v>
      </c>
      <c r="J10" s="855">
        <f>(B10*A10*A10*A10-(B10-2*C10)*(A10-2*C10)*(A10-2*C10)*(A10-2*C10)-C10*E10*E10*E10)/12/10000</f>
        <v>523.78719999999998</v>
      </c>
      <c r="K10" s="855">
        <f>2*10*J10/A10</f>
        <v>58.198577777777771</v>
      </c>
      <c r="L10" s="855">
        <f>SQRT(J10/H10)</f>
        <v>7.1631200907718293</v>
      </c>
      <c r="M10" s="842">
        <f>((C10*(E10+G10)*B10/2-E10*C10*(B10-C10/2))/(H10*100))/10</f>
        <v>2.1217002394332973</v>
      </c>
      <c r="N10" s="842">
        <f>((A10-2*C10)*C10*C10*C10/12+(A10-2*C10)*C10*(M10*10-C10/2)*(M10*10-C10/2)+2*C10*(B10-2*C10)*(B10-2*C10)*(B10-2*C10)/12+2*C10*(B10-2*C10)*(B10/2-M10*10)*(B10/2-M10*10)+2*C10*(D10-C10-F10)*(D10-C10-F10)*(D10-C10-F10)+2*C10*(D10-C10-F10)*(B10-C10/2-M10)*(B10-C10/2-M10))/10000</f>
        <v>79.391979762013563</v>
      </c>
      <c r="O10" s="842">
        <f>N10/(B10/10-M10)</f>
        <v>16.274518512325027</v>
      </c>
      <c r="P10" s="842">
        <f>SQRT(N10/H10)</f>
        <v>2.7887726307193477</v>
      </c>
      <c r="Q10" s="868">
        <v>40</v>
      </c>
      <c r="R10" s="869">
        <f>Q10/P10</f>
        <v>14.343227396663826</v>
      </c>
      <c r="S10" s="1412">
        <v>1.06</v>
      </c>
      <c r="T10" s="843"/>
      <c r="U10" s="843"/>
      <c r="V10" s="843"/>
      <c r="W10" s="843"/>
    </row>
    <row r="11" spans="1:25" s="830" customFormat="1">
      <c r="A11" s="873">
        <v>250</v>
      </c>
      <c r="B11" s="873">
        <v>75</v>
      </c>
      <c r="C11" s="1413">
        <v>2</v>
      </c>
      <c r="D11" s="873">
        <v>15</v>
      </c>
      <c r="E11" s="854">
        <f>A11-2*D11</f>
        <v>220</v>
      </c>
      <c r="F11" s="848">
        <f>C11</f>
        <v>2</v>
      </c>
      <c r="G11" s="1406">
        <f>H11/C11*100</f>
        <v>416.84953999999993</v>
      </c>
      <c r="H11" s="1407">
        <f>2*(B11-2*(F11+C11))*C11/100+2*(A11-2*(F11+C11))*C11/100+3.14159*((F11+C11)*(F11+C11)-F11*F11)/100-E11*C11/100</f>
        <v>8.3369907999999988</v>
      </c>
      <c r="I11" s="842">
        <f>H11*7.85/10</f>
        <v>6.5445377779999987</v>
      </c>
      <c r="J11" s="855">
        <f>(B11*A11*A11*A11-(B11-2*C11)*(A11-2*C11)*(A11-2*C11)*(A11-2*C11)-C11*E11*E11*E11)/12/10000</f>
        <v>780.05453333333332</v>
      </c>
      <c r="K11" s="855">
        <f>2*10*J11/A11</f>
        <v>62.404362666666671</v>
      </c>
      <c r="L11" s="855">
        <f>SQRT(J11/H11)</f>
        <v>9.6729250222336844</v>
      </c>
      <c r="M11" s="842">
        <f>((C11*(E11+G11)*B11/2-E11*C11*(B11-C11/2))/(H11*100))/10</f>
        <v>1.823645469298107</v>
      </c>
      <c r="N11" s="842">
        <f>((A11-2*C11)*C11*C11*C11/12+(A11-2*C11)*C11*(M11*10-C11/2)*(M11*10-C11/2)+2*C11*(B11-2*C11)*(B11-2*C11)*(B11-2*C11)/12+2*C11*(B11-2*C11)*(B11/2-M11*10)*(B11/2-M11*10)+2*C11*(D11-C11-F11)*(D11-C11-F11)*(D11-C11-F11)+2*C11*(D11-C11-F11)*(B11-C11/2-M11)*(B11-C11/2-M11))/10000</f>
        <v>60.556524613616709</v>
      </c>
      <c r="O11" s="842">
        <f>N11/(B11/10-M11)</f>
        <v>10.668206907458398</v>
      </c>
      <c r="P11" s="842">
        <f>SQRT(N11/H11)</f>
        <v>2.6951057476186167</v>
      </c>
      <c r="Q11" s="868">
        <v>40</v>
      </c>
      <c r="R11" s="869">
        <f>Q11/P11</f>
        <v>14.841718190591898</v>
      </c>
      <c r="S11" s="1412">
        <v>1.06</v>
      </c>
      <c r="T11" s="843"/>
      <c r="U11" s="843"/>
      <c r="V11" s="843"/>
      <c r="W11" s="843"/>
    </row>
    <row r="12" spans="1:25">
      <c r="A12" s="1414" t="s">
        <v>157</v>
      </c>
      <c r="B12" s="1414" t="s">
        <v>158</v>
      </c>
      <c r="C12" s="1408"/>
      <c r="D12" s="1408"/>
      <c r="E12" s="1408"/>
      <c r="F12" s="1408"/>
      <c r="G12" s="1408"/>
      <c r="H12" s="1408"/>
      <c r="I12" s="849">
        <f>I11/0.6</f>
        <v>10.907562963333332</v>
      </c>
      <c r="J12" s="1408"/>
      <c r="K12" s="1408"/>
      <c r="L12" s="1408"/>
      <c r="M12" s="1408"/>
      <c r="N12" s="1408"/>
      <c r="O12" s="1408"/>
      <c r="P12" s="1408"/>
    </row>
    <row r="13" spans="1:25">
      <c r="A13" s="848">
        <v>15</v>
      </c>
      <c r="B13" s="1415">
        <f>TAN(3.14159*A13/180)</f>
        <v>0.26794895542205599</v>
      </c>
      <c r="C13" s="1408"/>
      <c r="D13" s="1408"/>
      <c r="E13" s="1408"/>
      <c r="F13" s="1408"/>
      <c r="G13" s="1408"/>
      <c r="H13" s="1408"/>
      <c r="I13" s="1408"/>
      <c r="J13" s="1408"/>
      <c r="K13" s="1408"/>
      <c r="L13" s="1408"/>
      <c r="M13" s="1408"/>
      <c r="N13" s="1408"/>
      <c r="O13" s="1408"/>
      <c r="P13" s="1408"/>
    </row>
    <row r="14" spans="1:25">
      <c r="A14" s="1416"/>
      <c r="B14" s="1408"/>
      <c r="C14" s="1408"/>
      <c r="D14" s="1408"/>
      <c r="E14" s="1408"/>
      <c r="F14" s="1408"/>
      <c r="G14" s="1408"/>
      <c r="H14" s="1408"/>
      <c r="I14" s="1408"/>
      <c r="J14" s="1408"/>
      <c r="K14" s="1408"/>
      <c r="L14" s="1408"/>
      <c r="M14" s="1408"/>
      <c r="N14" s="1408"/>
      <c r="O14" s="1408"/>
      <c r="P14" s="1408"/>
    </row>
    <row r="15" spans="1:25" ht="18">
      <c r="A15" s="1402" t="s">
        <v>149</v>
      </c>
      <c r="B15" s="878" t="s">
        <v>94</v>
      </c>
      <c r="C15" s="1403" t="s">
        <v>150</v>
      </c>
      <c r="D15" s="879"/>
      <c r="E15" s="879"/>
      <c r="P15" s="1408"/>
    </row>
    <row r="16" spans="1:25">
      <c r="A16" s="831" t="s">
        <v>132</v>
      </c>
      <c r="B16" s="831"/>
      <c r="C16" s="880"/>
      <c r="D16" s="882"/>
      <c r="E16" s="882"/>
      <c r="F16" s="881" t="s">
        <v>151</v>
      </c>
      <c r="G16" s="882" t="s">
        <v>94</v>
      </c>
      <c r="H16" s="881" t="s">
        <v>578</v>
      </c>
      <c r="I16" s="881" t="s">
        <v>572</v>
      </c>
      <c r="J16" s="883" t="s">
        <v>152</v>
      </c>
      <c r="K16" s="881" t="s">
        <v>56</v>
      </c>
      <c r="L16" s="884" t="s">
        <v>1952</v>
      </c>
      <c r="M16" s="881" t="s">
        <v>105</v>
      </c>
      <c r="N16" s="883" t="s">
        <v>152</v>
      </c>
      <c r="O16" s="881" t="s">
        <v>106</v>
      </c>
      <c r="P16" s="881" t="s">
        <v>0</v>
      </c>
      <c r="Q16" s="884" t="s">
        <v>107</v>
      </c>
    </row>
    <row r="17" spans="1:18" ht="15">
      <c r="A17" s="836" t="s">
        <v>570</v>
      </c>
      <c r="B17" s="885" t="s">
        <v>1746</v>
      </c>
      <c r="C17" s="885" t="s">
        <v>1507</v>
      </c>
      <c r="D17" s="885"/>
      <c r="E17" s="885"/>
      <c r="F17" s="885" t="s">
        <v>601</v>
      </c>
      <c r="G17" s="885" t="s">
        <v>601</v>
      </c>
      <c r="H17" s="885" t="s">
        <v>110</v>
      </c>
      <c r="I17" s="885" t="s">
        <v>599</v>
      </c>
      <c r="J17" s="886" t="s">
        <v>159</v>
      </c>
      <c r="K17" s="885" t="s">
        <v>111</v>
      </c>
      <c r="L17" s="839" t="s">
        <v>72</v>
      </c>
      <c r="M17" s="885" t="s">
        <v>607</v>
      </c>
      <c r="N17" s="886" t="s">
        <v>160</v>
      </c>
      <c r="O17" s="885" t="s">
        <v>111</v>
      </c>
      <c r="P17" s="885" t="s">
        <v>72</v>
      </c>
      <c r="Q17" s="887" t="s">
        <v>607</v>
      </c>
    </row>
    <row r="18" spans="1:18">
      <c r="A18" s="841">
        <v>170</v>
      </c>
      <c r="B18" s="888">
        <v>70</v>
      </c>
      <c r="C18" s="841">
        <v>4</v>
      </c>
      <c r="E18" s="841"/>
      <c r="F18" s="848">
        <f>C18</f>
        <v>4</v>
      </c>
      <c r="G18" s="889">
        <f>H18/C18*100</f>
        <v>239.70795000000004</v>
      </c>
      <c r="H18" s="890">
        <f>C18*(A18+B18-4*C18+3.14159*(F18+C18+2)/2)/100</f>
        <v>9.588318000000001</v>
      </c>
      <c r="I18" s="891">
        <f>H18*7.85/10</f>
        <v>7.5268296299999999</v>
      </c>
      <c r="J18" s="890">
        <f>(C18*B18*C18/2+A18*C18*A18/2)/(H18*1000)</f>
        <v>6.0865732655091325</v>
      </c>
      <c r="K18" s="890">
        <f>(C18*A18*A18*A18+B18*C18*C18*C18)/120000+A18*C18*(A18/20-J18)*(A18/20-J18)/100+B18*C18*C18*C18/40000</f>
        <v>203.52347449873571</v>
      </c>
      <c r="L18" s="890">
        <f>K18/(A18/10-J18)</f>
        <v>18.648906475499462</v>
      </c>
      <c r="M18" s="842">
        <f>SQRT(K18/H18)</f>
        <v>4.6071891158050553</v>
      </c>
      <c r="N18" s="890">
        <f>(A18*C18*C18/2+C18*B18*B18/2)/(G18*C18*10)</f>
        <v>1.1639163406970856</v>
      </c>
      <c r="O18" s="842">
        <f>(C18*B18*B18*B18+A18*C18*C18*C18)/120000+B18*C18*(B18/2-N18*10)*(B18/2-N18*10)/10000+A18*C18*(N18*10-C18/2)*(N18*10-C18/2)/10000</f>
        <v>33.122519257801315</v>
      </c>
      <c r="P18" s="870">
        <f>O18/(B18/10-N18)</f>
        <v>5.6754702624940787</v>
      </c>
      <c r="Q18" s="842">
        <f>SQRT(O18/H18)</f>
        <v>1.8586194005481551</v>
      </c>
    </row>
    <row r="19" spans="1:18">
      <c r="A19" s="841">
        <v>30</v>
      </c>
      <c r="B19" s="888">
        <v>30</v>
      </c>
      <c r="C19" s="841">
        <v>4</v>
      </c>
      <c r="E19" s="841"/>
      <c r="F19" s="848">
        <f>C19</f>
        <v>4</v>
      </c>
      <c r="G19" s="889">
        <f>H19/C19*100</f>
        <v>59.707949999999997</v>
      </c>
      <c r="H19" s="890">
        <f>C19*(A19+B19-4*C19+3.14159*(F19+C19+2)/2)/100</f>
        <v>2.3883179999999999</v>
      </c>
      <c r="I19" s="891">
        <f>H19*7.85/10</f>
        <v>1.87482963</v>
      </c>
      <c r="J19" s="890">
        <f>(C19*B19*C19/2+A19*C19*A19/2)/(H19*1000)</f>
        <v>0.85415761217727293</v>
      </c>
      <c r="K19" s="890">
        <f>(C19*A19*A19*A19+B19*C19*C19*C19)/120000+A19*C19*(A19/20-J19)*(A19/20-J19)/100+B19*C19*C19*C19/40000</f>
        <v>1.4645348678902743</v>
      </c>
      <c r="L19" s="890">
        <f>K19/(A19/10-J19)</f>
        <v>0.68249880615708247</v>
      </c>
      <c r="M19" s="842">
        <f>SQRT(K19/H19)</f>
        <v>0.7830757625266056</v>
      </c>
      <c r="N19" s="890">
        <f>(A19*C19*C19/2+C19*B19*B19/2)/(G19*C19*10)</f>
        <v>0.85415761217727293</v>
      </c>
      <c r="O19" s="842">
        <f>(C19*B19*B19*B19+A19*C19*C19*C19)/120000+B19*C19*(B19/2-N19*10)*(B19/2-N19*10)/10000+A19*C19*(N19*10-C19/2)*(N19*10-C19/2)/10000</f>
        <v>1.9300414857736401</v>
      </c>
      <c r="P19" s="870">
        <f>O19/(B19/10-N19)</f>
        <v>0.89943301368557238</v>
      </c>
      <c r="Q19" s="842">
        <f>SQRT(O19/H19)</f>
        <v>0.89895353837809344</v>
      </c>
    </row>
    <row r="20" spans="1:18">
      <c r="A20" s="841">
        <v>40</v>
      </c>
      <c r="B20" s="888">
        <v>40</v>
      </c>
      <c r="C20" s="841">
        <v>4</v>
      </c>
      <c r="E20" s="841"/>
      <c r="F20" s="848">
        <f>C20</f>
        <v>4</v>
      </c>
      <c r="G20" s="889">
        <f>H20/C20*100</f>
        <v>79.707949999999997</v>
      </c>
      <c r="H20" s="890">
        <f>C20*(A20+B20-4*C20+3.14159*(F20+C20+2)/2)/100</f>
        <v>3.1883179999999998</v>
      </c>
      <c r="I20" s="891">
        <f>H20*7.85/10</f>
        <v>2.5028296299999999</v>
      </c>
      <c r="J20" s="890">
        <f>(C20*B20*C20/2+A20*C20*A20/2)/(H20*1000)</f>
        <v>1.1040304009825872</v>
      </c>
      <c r="K20" s="890">
        <f>(C20*A20*A20*A20+B20*C20*C20*C20)/120000+A20*C20*(A20/20-J20)*(A20/20-J20)/100+B20*C20*C20*C20/40000</f>
        <v>3.5030851024481438</v>
      </c>
      <c r="L20" s="890">
        <f>K20/(A20/10-J20)</f>
        <v>1.2096415320232374</v>
      </c>
      <c r="M20" s="842">
        <f>SQRT(K20/H20)</f>
        <v>1.0482009005601995</v>
      </c>
      <c r="N20" s="890">
        <f>(A20*C20*C20/2+C20*B20*B20/2)/(G20*C20*10)</f>
        <v>1.1040304009825872</v>
      </c>
      <c r="O20" s="842">
        <f>(C20*B20*B20*B20+A20*C20*C20*C20)/120000+B20*C20*(B20/2-N20*10)*(B20/2-N20*10)/10000+A20*C20*(N20*10-C20/2)*(N20*10-C20/2)/10000</f>
        <v>4.746718647889324</v>
      </c>
      <c r="P20" s="870">
        <f>O20/(B20/10-N20)</f>
        <v>1.6390775129337893</v>
      </c>
      <c r="Q20" s="842">
        <f>SQRT(O20/H20)</f>
        <v>1.220157601149239</v>
      </c>
    </row>
    <row r="21" spans="1:18">
      <c r="A21" s="841">
        <v>50</v>
      </c>
      <c r="B21" s="888">
        <v>50</v>
      </c>
      <c r="C21" s="841">
        <v>5</v>
      </c>
      <c r="E21" s="841"/>
      <c r="F21" s="848">
        <f>C21</f>
        <v>5</v>
      </c>
      <c r="G21" s="889">
        <f>H21/C21*100</f>
        <v>98.84953999999999</v>
      </c>
      <c r="H21" s="890">
        <f>C21*(A21+B21-4*C21+3.14159*(F21+C21+2)/2)/100</f>
        <v>4.9424769999999993</v>
      </c>
      <c r="I21" s="891">
        <f>H21*7.85/10</f>
        <v>3.8798444449999989</v>
      </c>
      <c r="J21" s="890">
        <f>(C21*B21*C21/2+A21*C21*A21/2)/(H21*1000)</f>
        <v>1.3910029323353454</v>
      </c>
      <c r="K21" s="890">
        <f>(C21*A21*A21*A21+B21*C21*C21*C21)/120000+A21*C21*(A21/20-J21)*(A21/20-J21)/100+B21*C21*C21*C21/40000</f>
        <v>8.4913529068886735</v>
      </c>
      <c r="L21" s="890">
        <f>K21/(A21/10-J21)</f>
        <v>2.3528289848080539</v>
      </c>
      <c r="M21" s="842">
        <f>SQRT(K21/H21)</f>
        <v>1.3107386837810975</v>
      </c>
      <c r="N21" s="890">
        <f>(A21*C21*C21/2+C21*B21*B21/2)/(G21*C21*10)</f>
        <v>1.3910029323353452</v>
      </c>
      <c r="O21" s="842">
        <f>(C21*B21*B21*B21+A21*C21*C21*C21)/120000+B21*C21*(B21/2-N21*10)*(B21/2-N21*10)/10000+A21*C21*(N21*10-C21/2)*(N21*10-C21/2)/10000</f>
        <v>11.589822135883313</v>
      </c>
      <c r="P21" s="870">
        <f>O21/(B21/10-N21)</f>
        <v>3.2113692304502117</v>
      </c>
      <c r="Q21" s="842">
        <f>SQRT(O21/H21)</f>
        <v>1.5313203608180175</v>
      </c>
    </row>
    <row r="22" spans="1:18">
      <c r="A22" s="841">
        <v>60</v>
      </c>
      <c r="B22" s="888">
        <v>60</v>
      </c>
      <c r="C22" s="841">
        <v>6</v>
      </c>
      <c r="E22" s="841"/>
      <c r="F22" s="848">
        <f>C22</f>
        <v>6</v>
      </c>
      <c r="G22" s="889">
        <f>H22/C22*100</f>
        <v>117.99112999999998</v>
      </c>
      <c r="H22" s="890">
        <f>C22*(A22+B22-4*C22+3.14159*(F22+C22+2)/2)/100</f>
        <v>7.0794677999999998</v>
      </c>
      <c r="I22" s="891">
        <f>H22*7.85/10</f>
        <v>5.5573822229999994</v>
      </c>
      <c r="J22" s="890">
        <f>(C22*B22*C22/2+A22*C22*A22/2)/(H22*1000)</f>
        <v>1.6780922430355572</v>
      </c>
      <c r="K22" s="890">
        <f>(C22*A22*A22*A22+B22*C22*C22*C22)/120000+A22*C22*(A22/20-J22)*(A22/20-J22)/100+B22*C22*C22*C22/40000</f>
        <v>17.522784424521955</v>
      </c>
      <c r="L22" s="890">
        <f>K22/(A22/10-J22)</f>
        <v>4.054409628776841</v>
      </c>
      <c r="M22" s="842">
        <f>SQRT(K22/H22)</f>
        <v>1.573262726843367</v>
      </c>
      <c r="N22" s="890">
        <f>(A22*C22*C22/2+C22*B22*B22/2)/(G22*C22*10)</f>
        <v>1.6780922430355574</v>
      </c>
      <c r="O22" s="842">
        <f>(C22*B22*B22*B22+A22*C22*C22*C22)/120000+B22*C22*(B22/2-N22*10)*(B22/2-N22*10)/10000+A22*C22*(N22*10-C22/2)*(N22*10-C22/2)/10000</f>
        <v>24.035682053655137</v>
      </c>
      <c r="P22" s="870">
        <f>O22/(B22/10-N22)</f>
        <v>5.5613593360301055</v>
      </c>
      <c r="Q22" s="842">
        <f>SQRT(O22/H22)</f>
        <v>1.8425866482809434</v>
      </c>
    </row>
    <row r="25" spans="1:18" ht="18">
      <c r="A25" s="1402" t="s">
        <v>480</v>
      </c>
      <c r="B25" s="878"/>
      <c r="C25" s="1403"/>
      <c r="D25" s="879"/>
      <c r="E25" s="879"/>
      <c r="F25" s="879"/>
      <c r="G25" s="879"/>
      <c r="H25" s="879"/>
      <c r="I25" s="879"/>
      <c r="J25" s="879"/>
      <c r="K25" s="879"/>
      <c r="L25" s="879"/>
      <c r="M25" s="879"/>
      <c r="N25" s="879"/>
      <c r="O25" s="879"/>
      <c r="P25" s="879"/>
      <c r="Q25" s="1404"/>
      <c r="R25" s="1404"/>
    </row>
    <row r="26" spans="1:18" s="1405" customFormat="1">
      <c r="A26" s="831" t="s">
        <v>132</v>
      </c>
      <c r="B26" s="831"/>
      <c r="C26" s="880"/>
      <c r="D26" s="882"/>
      <c r="E26" s="882"/>
      <c r="F26" s="881"/>
      <c r="G26" s="882" t="s">
        <v>94</v>
      </c>
      <c r="H26" s="881" t="s">
        <v>578</v>
      </c>
      <c r="I26" s="881" t="s">
        <v>572</v>
      </c>
      <c r="J26" s="881" t="s">
        <v>56</v>
      </c>
      <c r="K26" s="881" t="s">
        <v>1952</v>
      </c>
      <c r="L26" s="881" t="s">
        <v>105</v>
      </c>
      <c r="M26" s="883" t="s">
        <v>486</v>
      </c>
      <c r="N26" s="883" t="s">
        <v>487</v>
      </c>
      <c r="O26" s="883" t="s">
        <v>488</v>
      </c>
      <c r="P26" s="881" t="s">
        <v>106</v>
      </c>
      <c r="Q26" s="881" t="s">
        <v>0</v>
      </c>
      <c r="R26" s="884" t="s">
        <v>107</v>
      </c>
    </row>
    <row r="27" spans="1:18" s="1405" customFormat="1" ht="15">
      <c r="A27" s="1419" t="s">
        <v>483</v>
      </c>
      <c r="B27" s="1417" t="s">
        <v>484</v>
      </c>
      <c r="C27" s="885" t="s">
        <v>482</v>
      </c>
      <c r="D27" s="885" t="s">
        <v>481</v>
      </c>
      <c r="E27" s="1417" t="s">
        <v>485</v>
      </c>
      <c r="F27" s="885"/>
      <c r="G27" s="885" t="s">
        <v>601</v>
      </c>
      <c r="H27" s="885" t="s">
        <v>110</v>
      </c>
      <c r="I27" s="885" t="s">
        <v>599</v>
      </c>
      <c r="J27" s="885" t="s">
        <v>111</v>
      </c>
      <c r="K27" s="885" t="s">
        <v>72</v>
      </c>
      <c r="L27" s="885" t="s">
        <v>607</v>
      </c>
      <c r="M27" s="886" t="s">
        <v>490</v>
      </c>
      <c r="N27" s="886" t="s">
        <v>491</v>
      </c>
      <c r="O27" s="886" t="s">
        <v>489</v>
      </c>
      <c r="P27" s="885" t="s">
        <v>111</v>
      </c>
      <c r="Q27" s="885" t="s">
        <v>72</v>
      </c>
      <c r="R27" s="887" t="s">
        <v>607</v>
      </c>
    </row>
    <row r="28" spans="1:18">
      <c r="A28" s="847">
        <v>800</v>
      </c>
      <c r="B28" s="847">
        <v>750</v>
      </c>
      <c r="C28" s="847">
        <v>10</v>
      </c>
      <c r="D28" s="847">
        <v>10</v>
      </c>
      <c r="E28" s="847">
        <f>SQRT(B28/2*B28/2+A28*A28)</f>
        <v>883.52985235361461</v>
      </c>
      <c r="F28" s="847"/>
      <c r="G28" s="847">
        <f>2*E28+B28</f>
        <v>2517.0597047072292</v>
      </c>
      <c r="H28" s="847">
        <f>(2*E28*D28+B28*C28)/100</f>
        <v>251.70597047072295</v>
      </c>
      <c r="I28" s="847">
        <f>H28*0.785</f>
        <v>197.58918681951752</v>
      </c>
      <c r="J28" s="847">
        <f>(B28*C28*C28*C28/12+B28*C28*(M28-C28/2)*(M28-C28/2))/10000+2*((D28*E28/A28)*A28*A28*A28/12+D28*E28*(A28/2-M28)*(A28/2-M28))/1000</f>
        <v>1244893.6750996718</v>
      </c>
      <c r="K28" s="847">
        <f>J28/(O28/10)</f>
        <v>24046.769333681455</v>
      </c>
      <c r="L28" s="844">
        <f>SQRT(J28/H28)</f>
        <v>70.326559527365831</v>
      </c>
      <c r="M28" s="889">
        <f>(B28*C28*C28/2+2*E28*D28*A28/2)/(H28*100)</f>
        <v>282.30314940643882</v>
      </c>
      <c r="N28" s="889">
        <f>A28-M28</f>
        <v>517.69685059356118</v>
      </c>
      <c r="O28" s="889">
        <f>IF(N28&gt;M28,N28)</f>
        <v>517.69685059356118</v>
      </c>
      <c r="P28" s="847">
        <f>C28*A28*A28*A28/(12*1000)+2*(C28*E28/(A28/2)*(A28/2)*(A28/2)*(A28/2)/(12*1000)+E28*D28*(B28/4)*(B28/4)/1000)</f>
        <v>1283506.5547304326</v>
      </c>
      <c r="Q28" s="847">
        <f>P28/((B28/10)/2)</f>
        <v>34226.841459478201</v>
      </c>
      <c r="R28" s="844">
        <f>SQRT(P28/N28)</f>
        <v>49.792196396378436</v>
      </c>
    </row>
    <row r="32" spans="1:18">
      <c r="I32" s="1418"/>
    </row>
    <row r="33" spans="9:9">
      <c r="I33" s="1418"/>
    </row>
    <row r="34" spans="9:9">
      <c r="I34" s="1418"/>
    </row>
    <row r="35" spans="9:9">
      <c r="I35" s="1418"/>
    </row>
    <row r="36" spans="9:9">
      <c r="I36" s="1418"/>
    </row>
    <row r="37" spans="9:9">
      <c r="I37" s="1418"/>
    </row>
  </sheetData>
  <phoneticPr fontId="68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horizontalDpi="200" verticalDpi="20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21"/>
  <sheetViews>
    <sheetView workbookViewId="0">
      <selection activeCell="B15" sqref="B15"/>
    </sheetView>
  </sheetViews>
  <sheetFormatPr defaultColWidth="9.140625" defaultRowHeight="12.75"/>
  <cols>
    <col min="1" max="1" width="34.85546875" style="1273" customWidth="1"/>
    <col min="2" max="2" width="11.85546875" style="1273" bestFit="1" customWidth="1"/>
    <col min="3" max="3" width="13.140625" style="1273" customWidth="1"/>
    <col min="4" max="16384" width="9.140625" style="1273"/>
  </cols>
  <sheetData>
    <row r="1" spans="1:4" ht="38.25" customHeight="1">
      <c r="A1" s="1762" t="s">
        <v>381</v>
      </c>
      <c r="B1" s="1762"/>
      <c r="C1" s="1762"/>
      <c r="D1" s="1272"/>
    </row>
    <row r="2" spans="1:4" ht="13.5" customHeight="1" thickBot="1">
      <c r="A2" s="1272"/>
      <c r="B2" s="1272"/>
      <c r="C2" s="1272"/>
      <c r="D2" s="1272"/>
    </row>
    <row r="3" spans="1:4" ht="13.5" thickBot="1">
      <c r="A3" s="1274" t="s">
        <v>382</v>
      </c>
      <c r="B3" s="1275">
        <v>12000</v>
      </c>
      <c r="C3" s="1276"/>
    </row>
    <row r="4" spans="1:4" ht="13.5" thickBot="1">
      <c r="A4" s="1274" t="s">
        <v>383</v>
      </c>
      <c r="B4" s="1275">
        <v>2000</v>
      </c>
      <c r="C4" s="1276"/>
    </row>
    <row r="6" spans="1:4">
      <c r="A6" s="1277" t="s">
        <v>384</v>
      </c>
      <c r="B6" s="1273">
        <v>11</v>
      </c>
    </row>
    <row r="7" spans="1:4">
      <c r="A7" s="1277"/>
    </row>
    <row r="8" spans="1:4">
      <c r="A8" s="1277" t="s">
        <v>385</v>
      </c>
      <c r="B8" s="1273">
        <v>6</v>
      </c>
    </row>
    <row r="9" spans="1:4">
      <c r="A9" s="1277"/>
    </row>
    <row r="10" spans="1:4">
      <c r="A10" s="1277" t="s">
        <v>386</v>
      </c>
      <c r="B10" s="1273">
        <v>16</v>
      </c>
    </row>
    <row r="11" spans="1:4">
      <c r="A11" s="1277"/>
    </row>
    <row r="12" spans="1:4">
      <c r="A12" s="1277" t="s">
        <v>387</v>
      </c>
    </row>
    <row r="13" spans="1:4">
      <c r="A13" s="1277" t="s">
        <v>388</v>
      </c>
      <c r="B13" s="1278">
        <f>((INDEX(CIVATA,$B$6,2)/100)*INDEX('Bolts Resistances'!$K$5:$M$11,$B$8,3))</f>
        <v>17981.65137614679</v>
      </c>
    </row>
    <row r="14" spans="1:4">
      <c r="A14" s="1277" t="s">
        <v>389</v>
      </c>
      <c r="B14" s="1278">
        <f>((INDEX(CIVATA,$B$6,2)/100)*INDEX('Bolts Resistances'!$K$5:$M$11,$B$8,2))</f>
        <v>11987.767584097859</v>
      </c>
    </row>
    <row r="15" spans="1:4">
      <c r="A15" s="1277" t="s">
        <v>390</v>
      </c>
      <c r="B15" s="1279">
        <f>INDEX(Countries,$B$10,2)</f>
        <v>1.35</v>
      </c>
    </row>
    <row r="16" spans="1:4">
      <c r="A16" s="1277"/>
      <c r="B16" s="1278"/>
    </row>
    <row r="18" spans="1:3">
      <c r="A18" s="1274" t="s">
        <v>391</v>
      </c>
    </row>
    <row r="19" spans="1:3">
      <c r="A19" s="1280" t="s">
        <v>392</v>
      </c>
      <c r="B19" s="1281">
        <f>(B3*B15)/B13</f>
        <v>0.90091836734693875</v>
      </c>
      <c r="C19" s="1282" t="str">
        <f>IF(B19&lt;1,"OK","PROBLEM!!!")</f>
        <v>OK</v>
      </c>
    </row>
    <row r="20" spans="1:3">
      <c r="A20" s="1280" t="s">
        <v>393</v>
      </c>
      <c r="B20" s="1281">
        <f>(B15*B4)/B14</f>
        <v>0.22522959183673469</v>
      </c>
      <c r="C20" s="1282" t="str">
        <f>IF(B20&lt;1,"OK","PROBLEM!!!")</f>
        <v>OK</v>
      </c>
    </row>
    <row r="21" spans="1:3">
      <c r="A21" s="1280" t="s">
        <v>394</v>
      </c>
      <c r="B21" s="1281">
        <f>IF(B20=0,B19,(B4*B15)/B14+(B15*B3)/(1.4*B13))</f>
        <v>0.86874271137026238</v>
      </c>
      <c r="C21" s="1282" t="str">
        <f>IF(B21&lt;1,"OK","PROBLEM!!!")</f>
        <v>OK</v>
      </c>
    </row>
  </sheetData>
  <mergeCells count="1">
    <mergeCell ref="A1:C1"/>
  </mergeCells>
  <phoneticPr fontId="138" type="noConversion"/>
  <conditionalFormatting sqref="B19:B21">
    <cfRule type="cellIs" dxfId="0" priority="1" stopIfTrue="1" operator="greaterThan">
      <formula>1</formula>
    </cfRule>
  </conditionalFormatting>
  <pageMargins left="0.75" right="0.75" top="1" bottom="1" header="0.5" footer="0.5"/>
  <pageSetup paperSize="9" orientation="portrait" horizontalDpi="1200" verticalDpi="120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21" r:id="rId4" name="Drop Down 1">
              <controlPr defaultSize="0" autoLine="0" autoPict="0">
                <anchor moveWithCells="1">
                  <from>
                    <xdr:col>1</xdr:col>
                    <xdr:colOff>9525</xdr:colOff>
                    <xdr:row>4</xdr:row>
                    <xdr:rowOff>142875</xdr:rowOff>
                  </from>
                  <to>
                    <xdr:col>2</xdr:col>
                    <xdr:colOff>0</xdr:colOff>
                    <xdr:row>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2" r:id="rId5" name="Drop Down 2">
              <controlPr defaultSize="0" autoLine="0" autoPict="0">
                <anchor moveWithCells="1">
                  <from>
                    <xdr:col>1</xdr:col>
                    <xdr:colOff>0</xdr:colOff>
                    <xdr:row>6</xdr:row>
                    <xdr:rowOff>152400</xdr:rowOff>
                  </from>
                  <to>
                    <xdr:col>2</xdr:col>
                    <xdr:colOff>0</xdr:colOff>
                    <xdr:row>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3" r:id="rId6" name="Drop Down 3">
              <controlPr defaultSize="0" autoLine="0" autoPict="0">
                <anchor moveWithCells="1">
                  <from>
                    <xdr:col>1</xdr:col>
                    <xdr:colOff>9525</xdr:colOff>
                    <xdr:row>8</xdr:row>
                    <xdr:rowOff>114300</xdr:rowOff>
                  </from>
                  <to>
                    <xdr:col>2</xdr:col>
                    <xdr:colOff>0</xdr:colOff>
                    <xdr:row>9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84"/>
  <sheetViews>
    <sheetView zoomScale="93" zoomScaleNormal="93" workbookViewId="0">
      <selection activeCell="D24" sqref="D24"/>
    </sheetView>
  </sheetViews>
  <sheetFormatPr defaultColWidth="9.140625" defaultRowHeight="12.75"/>
  <cols>
    <col min="1" max="1" width="17.85546875" style="1283" customWidth="1"/>
    <col min="2" max="2" width="12.28515625" style="1283" bestFit="1" customWidth="1"/>
    <col min="3" max="3" width="11.28515625" style="1283" bestFit="1" customWidth="1"/>
    <col min="4" max="4" width="10.5703125" style="1273" bestFit="1" customWidth="1"/>
    <col min="5" max="9" width="10.5703125" style="1273" customWidth="1"/>
    <col min="10" max="16" width="11.5703125" style="1273" customWidth="1"/>
    <col min="17" max="17" width="9.140625" style="1273"/>
    <col min="18" max="18" width="12.5703125" style="1283" bestFit="1" customWidth="1"/>
    <col min="19" max="19" width="9.140625" style="1283"/>
    <col min="20" max="16384" width="9.140625" style="1273"/>
  </cols>
  <sheetData>
    <row r="1" spans="1:20" ht="12.75" customHeight="1">
      <c r="A1" s="1763" t="s">
        <v>395</v>
      </c>
      <c r="B1" s="1763"/>
      <c r="C1" s="1763"/>
      <c r="D1" s="1763"/>
      <c r="E1" s="1763"/>
      <c r="F1" s="1763"/>
      <c r="G1" s="1763"/>
      <c r="H1" s="1763"/>
      <c r="I1" s="1763"/>
      <c r="J1" s="1763"/>
      <c r="K1" s="1763"/>
      <c r="L1" s="1763"/>
      <c r="M1" s="1763"/>
      <c r="N1" s="1763"/>
      <c r="O1" s="1763"/>
      <c r="P1" s="1763"/>
      <c r="Q1" s="1763"/>
      <c r="R1" s="1763"/>
      <c r="S1" s="1763"/>
      <c r="T1" s="1763"/>
    </row>
    <row r="2" spans="1:20" ht="12.75" customHeight="1">
      <c r="A2" s="1763"/>
      <c r="B2" s="1763"/>
      <c r="C2" s="1763"/>
      <c r="D2" s="1763"/>
      <c r="E2" s="1763"/>
      <c r="F2" s="1763"/>
      <c r="G2" s="1763"/>
      <c r="H2" s="1763"/>
      <c r="I2" s="1763"/>
      <c r="J2" s="1763"/>
      <c r="K2" s="1763"/>
      <c r="L2" s="1763"/>
      <c r="M2" s="1763"/>
      <c r="N2" s="1763"/>
      <c r="O2" s="1763"/>
      <c r="P2" s="1763"/>
      <c r="Q2" s="1763"/>
      <c r="R2" s="1763"/>
      <c r="S2" s="1763"/>
      <c r="T2" s="1763"/>
    </row>
    <row r="3" spans="1:20" ht="13.5" thickBot="1">
      <c r="A3" s="1273"/>
      <c r="D3" s="1283"/>
    </row>
    <row r="4" spans="1:20" s="1283" customFormat="1" ht="13.5" thickBot="1">
      <c r="A4" s="1770" t="s">
        <v>396</v>
      </c>
      <c r="B4" s="1771"/>
      <c r="C4" s="1774" t="s">
        <v>397</v>
      </c>
      <c r="D4" s="1768" t="s">
        <v>398</v>
      </c>
      <c r="E4" s="1774" t="s">
        <v>399</v>
      </c>
      <c r="F4" s="1768" t="s">
        <v>400</v>
      </c>
      <c r="G4" s="1774" t="s">
        <v>401</v>
      </c>
      <c r="H4" s="1768" t="s">
        <v>402</v>
      </c>
      <c r="I4" s="1774" t="s">
        <v>403</v>
      </c>
      <c r="K4" s="1284" t="s">
        <v>404</v>
      </c>
      <c r="L4" s="1285" t="s">
        <v>405</v>
      </c>
      <c r="M4" s="1286" t="s">
        <v>406</v>
      </c>
    </row>
    <row r="5" spans="1:20">
      <c r="A5" s="1772"/>
      <c r="B5" s="1773"/>
      <c r="C5" s="1775"/>
      <c r="D5" s="1769"/>
      <c r="E5" s="1775"/>
      <c r="F5" s="1769"/>
      <c r="G5" s="1775"/>
      <c r="H5" s="1769"/>
      <c r="I5" s="1775"/>
      <c r="K5" s="1287" t="s">
        <v>397</v>
      </c>
      <c r="L5" s="1288">
        <f>E13*C8</f>
        <v>2446.4831804281343</v>
      </c>
      <c r="M5" s="1289">
        <f>E12*C8</f>
        <v>3669.7247706422017</v>
      </c>
    </row>
    <row r="6" spans="1:20">
      <c r="A6" s="1290" t="s">
        <v>407</v>
      </c>
      <c r="B6" s="1291" t="s">
        <v>408</v>
      </c>
      <c r="C6" s="1668">
        <v>400</v>
      </c>
      <c r="D6" s="1292">
        <v>400</v>
      </c>
      <c r="E6" s="1668">
        <v>500</v>
      </c>
      <c r="F6" s="1292">
        <v>500</v>
      </c>
      <c r="G6" s="1668">
        <v>600</v>
      </c>
      <c r="H6" s="1293">
        <v>800</v>
      </c>
      <c r="I6" s="1672">
        <v>1000</v>
      </c>
      <c r="K6" s="1287" t="s">
        <v>398</v>
      </c>
      <c r="L6" s="1288">
        <f>E14*D8</f>
        <v>2038.7359836901121</v>
      </c>
      <c r="M6" s="1289">
        <f>E12*D8</f>
        <v>3669.7247706422017</v>
      </c>
    </row>
    <row r="7" spans="1:20">
      <c r="A7" s="1290" t="s">
        <v>409</v>
      </c>
      <c r="B7" s="1291" t="s">
        <v>408</v>
      </c>
      <c r="C7" s="1669">
        <f>0.6*C6</f>
        <v>240</v>
      </c>
      <c r="D7" s="1294">
        <f>0.8*D6</f>
        <v>320</v>
      </c>
      <c r="E7" s="1669">
        <f>0.6*E6</f>
        <v>300</v>
      </c>
      <c r="F7" s="1294">
        <f>0.8*F6</f>
        <v>400</v>
      </c>
      <c r="G7" s="1671">
        <f>0.8*G6</f>
        <v>480</v>
      </c>
      <c r="H7" s="1294">
        <f>0.8*H6</f>
        <v>640</v>
      </c>
      <c r="I7" s="1673">
        <f>0.9*I6</f>
        <v>900</v>
      </c>
      <c r="K7" s="1287" t="s">
        <v>399</v>
      </c>
      <c r="L7" s="1288">
        <f>E13*E8</f>
        <v>3058.103975535168</v>
      </c>
      <c r="M7" s="1289">
        <f>E12*E8</f>
        <v>4587.1559633027518</v>
      </c>
    </row>
    <row r="8" spans="1:20">
      <c r="A8" s="1290" t="s">
        <v>407</v>
      </c>
      <c r="B8" s="1291" t="s">
        <v>1948</v>
      </c>
      <c r="C8" s="1668">
        <f t="shared" ref="C8:I9" si="0">C6*100/9.81</f>
        <v>4077.4719673802242</v>
      </c>
      <c r="D8" s="1292">
        <f t="shared" si="0"/>
        <v>4077.4719673802242</v>
      </c>
      <c r="E8" s="1668">
        <f t="shared" si="0"/>
        <v>5096.8399592252799</v>
      </c>
      <c r="F8" s="1292">
        <f t="shared" si="0"/>
        <v>5096.8399592252799</v>
      </c>
      <c r="G8" s="1668">
        <f t="shared" si="0"/>
        <v>6116.2079510703361</v>
      </c>
      <c r="H8" s="1292">
        <f t="shared" si="0"/>
        <v>8154.9439347604484</v>
      </c>
      <c r="I8" s="1668">
        <f t="shared" si="0"/>
        <v>10193.67991845056</v>
      </c>
      <c r="K8" s="1287" t="s">
        <v>400</v>
      </c>
      <c r="L8" s="1288">
        <f>E14*F8</f>
        <v>2548.41997961264</v>
      </c>
      <c r="M8" s="1289">
        <f>E12*F8</f>
        <v>4587.1559633027518</v>
      </c>
    </row>
    <row r="9" spans="1:20" ht="13.5" thickBot="1">
      <c r="A9" s="1295" t="s">
        <v>409</v>
      </c>
      <c r="B9" s="1296" t="s">
        <v>1948</v>
      </c>
      <c r="C9" s="1670">
        <f>C7*100/9.81</f>
        <v>2446.4831804281343</v>
      </c>
      <c r="D9" s="1297">
        <f t="shared" si="0"/>
        <v>3261.9775739041793</v>
      </c>
      <c r="E9" s="1670">
        <f t="shared" si="0"/>
        <v>3058.103975535168</v>
      </c>
      <c r="F9" s="1297">
        <f t="shared" si="0"/>
        <v>4077.4719673802242</v>
      </c>
      <c r="G9" s="1670">
        <f t="shared" si="0"/>
        <v>4892.9663608562687</v>
      </c>
      <c r="H9" s="1297">
        <f t="shared" si="0"/>
        <v>6523.9551478083586</v>
      </c>
      <c r="I9" s="1670">
        <f t="shared" si="0"/>
        <v>9174.3119266055037</v>
      </c>
      <c r="K9" s="1287" t="s">
        <v>401</v>
      </c>
      <c r="L9" s="1288">
        <f>E14*G8</f>
        <v>3058.103975535168</v>
      </c>
      <c r="M9" s="1289">
        <f>E12*G8</f>
        <v>5504.5871559633024</v>
      </c>
    </row>
    <row r="10" spans="1:20">
      <c r="A10" s="1291"/>
      <c r="B10" s="1292"/>
      <c r="C10" s="1292"/>
      <c r="D10" s="1292"/>
      <c r="E10" s="1292"/>
      <c r="F10" s="1292"/>
      <c r="G10" s="1292"/>
      <c r="H10" s="1292"/>
      <c r="I10" s="1292"/>
      <c r="J10" s="1292"/>
      <c r="K10" s="1287" t="s">
        <v>402</v>
      </c>
      <c r="L10" s="1288">
        <f>E13*H8</f>
        <v>4892.9663608562687</v>
      </c>
      <c r="M10" s="1289">
        <f>E12*H8</f>
        <v>7339.4495412844035</v>
      </c>
    </row>
    <row r="11" spans="1:20" ht="13.5" thickBot="1">
      <c r="A11" s="1298"/>
      <c r="B11" s="1298"/>
      <c r="C11" s="1298"/>
      <c r="D11" s="1292"/>
      <c r="E11" s="1299"/>
      <c r="F11" s="1292"/>
      <c r="G11" s="1292"/>
      <c r="H11" s="1292"/>
      <c r="I11" s="1292"/>
      <c r="J11" s="1292"/>
      <c r="K11" s="1300" t="s">
        <v>403</v>
      </c>
      <c r="L11" s="1301">
        <f>E14*I8</f>
        <v>5096.8399592252799</v>
      </c>
      <c r="M11" s="1302">
        <f>E12*I8</f>
        <v>9174.3119266055037</v>
      </c>
    </row>
    <row r="12" spans="1:20">
      <c r="A12" s="1784" t="s">
        <v>410</v>
      </c>
      <c r="B12" s="1785"/>
      <c r="C12" s="1785"/>
      <c r="D12" s="1785"/>
      <c r="E12" s="1303">
        <v>0.9</v>
      </c>
      <c r="F12" s="1292"/>
      <c r="G12" s="1292"/>
      <c r="H12" s="1292"/>
      <c r="I12" s="1292"/>
      <c r="J12" s="1292"/>
      <c r="K12" s="1292"/>
      <c r="L12" s="1292"/>
    </row>
    <row r="13" spans="1:20">
      <c r="A13" s="1786" t="s">
        <v>411</v>
      </c>
      <c r="B13" s="1787"/>
      <c r="C13" s="1787"/>
      <c r="D13" s="1787"/>
      <c r="E13" s="1304">
        <v>0.6</v>
      </c>
      <c r="F13" s="1292"/>
      <c r="G13" s="1292"/>
      <c r="H13" s="1292"/>
      <c r="I13" s="1292"/>
      <c r="J13" s="1292"/>
      <c r="K13" s="1292"/>
      <c r="L13" s="1292"/>
    </row>
    <row r="14" spans="1:20" ht="13.5" thickBot="1">
      <c r="A14" s="1782" t="s">
        <v>412</v>
      </c>
      <c r="B14" s="1783"/>
      <c r="C14" s="1783"/>
      <c r="D14" s="1783"/>
      <c r="E14" s="1305">
        <v>0.5</v>
      </c>
      <c r="F14" s="1292"/>
      <c r="G14" s="1292"/>
      <c r="H14" s="1292"/>
      <c r="I14" s="1292"/>
      <c r="J14" s="1292"/>
      <c r="K14" s="1292"/>
      <c r="L14" s="1292"/>
    </row>
    <row r="15" spans="1:20" ht="13.5" thickBot="1">
      <c r="A15" s="1291"/>
      <c r="B15" s="1291"/>
      <c r="C15" s="1292"/>
      <c r="D15" s="1277"/>
      <c r="E15" s="1292"/>
      <c r="F15" s="1292"/>
      <c r="G15" s="1292"/>
      <c r="H15" s="1292"/>
      <c r="I15" s="1292"/>
      <c r="J15" s="1292"/>
      <c r="K15" s="1292"/>
      <c r="L15" s="1292"/>
    </row>
    <row r="16" spans="1:20">
      <c r="A16" s="1776" t="s">
        <v>413</v>
      </c>
      <c r="B16" s="1780" t="s">
        <v>414</v>
      </c>
      <c r="C16" s="1764" t="s">
        <v>397</v>
      </c>
      <c r="D16" s="1765"/>
      <c r="E16" s="1778" t="s">
        <v>398</v>
      </c>
      <c r="F16" s="1778"/>
      <c r="G16" s="1764" t="s">
        <v>399</v>
      </c>
      <c r="H16" s="1765" t="s">
        <v>399</v>
      </c>
      <c r="I16" s="1778" t="s">
        <v>400</v>
      </c>
      <c r="J16" s="1778" t="s">
        <v>400</v>
      </c>
      <c r="K16" s="1764" t="s">
        <v>401</v>
      </c>
      <c r="L16" s="1765" t="s">
        <v>401</v>
      </c>
      <c r="M16" s="1778" t="s">
        <v>402</v>
      </c>
      <c r="N16" s="1778" t="s">
        <v>402</v>
      </c>
      <c r="O16" s="1764" t="s">
        <v>403</v>
      </c>
      <c r="P16" s="1765" t="s">
        <v>403</v>
      </c>
      <c r="R16" s="1306" t="s">
        <v>415</v>
      </c>
      <c r="S16" s="1307" t="s">
        <v>416</v>
      </c>
    </row>
    <row r="17" spans="1:19" s="1311" customFormat="1">
      <c r="A17" s="1777"/>
      <c r="B17" s="1781"/>
      <c r="C17" s="1766"/>
      <c r="D17" s="1767"/>
      <c r="E17" s="1779"/>
      <c r="F17" s="1779"/>
      <c r="G17" s="1766"/>
      <c r="H17" s="1767"/>
      <c r="I17" s="1779"/>
      <c r="J17" s="1779"/>
      <c r="K17" s="1766"/>
      <c r="L17" s="1767"/>
      <c r="M17" s="1779"/>
      <c r="N17" s="1779"/>
      <c r="O17" s="1766"/>
      <c r="P17" s="1767"/>
      <c r="Q17" s="1308"/>
      <c r="R17" s="1309" t="s">
        <v>417</v>
      </c>
      <c r="S17" s="1310">
        <v>1.25</v>
      </c>
    </row>
    <row r="18" spans="1:19" s="1311" customFormat="1">
      <c r="A18" s="1777"/>
      <c r="B18" s="1667" t="s">
        <v>418</v>
      </c>
      <c r="C18" s="1666" t="s">
        <v>470</v>
      </c>
      <c r="D18" s="1663" t="s">
        <v>471</v>
      </c>
      <c r="E18" s="1665" t="s">
        <v>470</v>
      </c>
      <c r="F18" s="1662" t="s">
        <v>471</v>
      </c>
      <c r="G18" s="1666" t="s">
        <v>470</v>
      </c>
      <c r="H18" s="1663" t="s">
        <v>471</v>
      </c>
      <c r="I18" s="1665" t="s">
        <v>470</v>
      </c>
      <c r="J18" s="1662" t="s">
        <v>471</v>
      </c>
      <c r="K18" s="1666" t="s">
        <v>470</v>
      </c>
      <c r="L18" s="1663" t="s">
        <v>471</v>
      </c>
      <c r="M18" s="1665" t="s">
        <v>470</v>
      </c>
      <c r="N18" s="1662" t="s">
        <v>471</v>
      </c>
      <c r="O18" s="1666" t="s">
        <v>470</v>
      </c>
      <c r="P18" s="1663" t="s">
        <v>471</v>
      </c>
      <c r="Q18" s="1312"/>
      <c r="R18" s="1313" t="s">
        <v>419</v>
      </c>
      <c r="S18" s="1314">
        <v>1.2</v>
      </c>
    </row>
    <row r="19" spans="1:19">
      <c r="A19" s="1661">
        <v>4</v>
      </c>
      <c r="B19" s="1682">
        <v>8.7799999999999994</v>
      </c>
      <c r="C19" s="1674">
        <f>$E$12*$C$8*B19/100/1.25</f>
        <v>257.7614678899082</v>
      </c>
      <c r="D19" s="1675">
        <f>$E$13*$C$8*B19/100/1.25</f>
        <v>171.84097859327215</v>
      </c>
      <c r="E19" s="1676">
        <f>$E$12*$D$8*B19/100/1.25</f>
        <v>257.7614678899082</v>
      </c>
      <c r="F19" s="1677">
        <f>$E$14*$D$8*B19/100/1.25</f>
        <v>143.20081549439345</v>
      </c>
      <c r="G19" s="1674">
        <f>$E$12*$E$8*B19/100/1.25</f>
        <v>322.20183486238528</v>
      </c>
      <c r="H19" s="1675">
        <f>$E$13*$E$8*B19/100/1.25</f>
        <v>214.80122324159021</v>
      </c>
      <c r="I19" s="1676">
        <f>$E$12*$F$8*B19/100/1.25</f>
        <v>322.20183486238528</v>
      </c>
      <c r="J19" s="1677">
        <f>$E$14*$F$8*B19/100/1.25</f>
        <v>179.00101936799183</v>
      </c>
      <c r="K19" s="1674">
        <f>$E$12*$G$8*B19/100/1.25</f>
        <v>386.64220183486236</v>
      </c>
      <c r="L19" s="1675">
        <f>$E$14*$G$8*B19/100/1.25</f>
        <v>214.80122324159021</v>
      </c>
      <c r="M19" s="1676">
        <f>$E$12*$H$8*B19/100/1.25</f>
        <v>515.52293577981641</v>
      </c>
      <c r="N19" s="1677">
        <f>$E$13*$H$8*B19/100/1.25</f>
        <v>343.68195718654431</v>
      </c>
      <c r="O19" s="1674">
        <f>$E$12*$I$8*B19/100/1.25</f>
        <v>644.40366972477057</v>
      </c>
      <c r="P19" s="1675">
        <f>$E$14*$I$8*B19/100/1.25</f>
        <v>358.00203873598366</v>
      </c>
      <c r="R19" s="1313" t="s">
        <v>420</v>
      </c>
      <c r="S19" s="1314">
        <v>1.25</v>
      </c>
    </row>
    <row r="20" spans="1:19">
      <c r="A20" s="1661">
        <v>5</v>
      </c>
      <c r="B20" s="1682">
        <v>14.2</v>
      </c>
      <c r="C20" s="1674">
        <f t="shared" ref="C20:C43" si="1">$E$12*$C$8*B20/100/1.25</f>
        <v>416.88073394495416</v>
      </c>
      <c r="D20" s="1675">
        <f t="shared" ref="D20:D44" si="2">$E$13*$C$8*B20/100/1.25</f>
        <v>277.92048929663599</v>
      </c>
      <c r="E20" s="1676">
        <f t="shared" ref="E20:E44" si="3">$E$12*$D$8*B20/100/1.25</f>
        <v>416.88073394495416</v>
      </c>
      <c r="F20" s="1677">
        <f t="shared" ref="F20:F44" si="4">$E$14*$D$8*B20/100/1.25</f>
        <v>231.60040774719673</v>
      </c>
      <c r="G20" s="1674">
        <f t="shared" ref="G20:G44" si="5">$E$12*$E$8*B20/100/1.25</f>
        <v>521.10091743119256</v>
      </c>
      <c r="H20" s="1675">
        <f t="shared" ref="H20:H44" si="6">$E$13*$E$8*B20/100/1.25</f>
        <v>347.40061162079508</v>
      </c>
      <c r="I20" s="1676">
        <f t="shared" ref="I20:I44" si="7">$E$12*$F$8*B20/100/1.25</f>
        <v>521.10091743119256</v>
      </c>
      <c r="J20" s="1677">
        <f t="shared" ref="J20:J44" si="8">$E$14*$F$8*B20/100/1.25</f>
        <v>289.50050968399586</v>
      </c>
      <c r="K20" s="1674">
        <f t="shared" ref="K20:K44" si="9">$E$12*$G$8*B20/100/1.25</f>
        <v>625.32110091743118</v>
      </c>
      <c r="L20" s="1675">
        <f t="shared" ref="L20:L44" si="10">$E$14*$G$8*B20/100/1.25</f>
        <v>347.40061162079508</v>
      </c>
      <c r="M20" s="1676">
        <f t="shared" ref="M20:M44" si="11">$E$12*$H$8*B20/100/1.25</f>
        <v>833.76146788990832</v>
      </c>
      <c r="N20" s="1677">
        <f t="shared" ref="N20:N44" si="12">$E$13*$H$8*B20/100/1.25</f>
        <v>555.84097859327198</v>
      </c>
      <c r="O20" s="1674">
        <f t="shared" ref="O20:O44" si="13">$E$12*$I$8*B20/100/1.25</f>
        <v>1042.2018348623851</v>
      </c>
      <c r="P20" s="1675">
        <f t="shared" ref="P20:P44" si="14">$E$14*$I$8*B20/100/1.25</f>
        <v>579.00101936799172</v>
      </c>
      <c r="R20" s="1313" t="s">
        <v>421</v>
      </c>
      <c r="S20" s="1314">
        <v>1.25</v>
      </c>
    </row>
    <row r="21" spans="1:19">
      <c r="A21" s="1661">
        <v>6</v>
      </c>
      <c r="B21" s="1682">
        <v>20.100000000000001</v>
      </c>
      <c r="C21" s="1674">
        <f t="shared" si="1"/>
        <v>590.09174311926608</v>
      </c>
      <c r="D21" s="1675">
        <f t="shared" si="2"/>
        <v>393.39449541284409</v>
      </c>
      <c r="E21" s="1676">
        <f t="shared" si="3"/>
        <v>590.09174311926608</v>
      </c>
      <c r="F21" s="1677">
        <f t="shared" si="4"/>
        <v>327.82874617737008</v>
      </c>
      <c r="G21" s="1674">
        <f t="shared" si="5"/>
        <v>737.61467889908261</v>
      </c>
      <c r="H21" s="1675">
        <f t="shared" si="6"/>
        <v>491.74311926605503</v>
      </c>
      <c r="I21" s="1676">
        <f t="shared" si="7"/>
        <v>737.61467889908261</v>
      </c>
      <c r="J21" s="1677">
        <f t="shared" si="8"/>
        <v>409.78593272171247</v>
      </c>
      <c r="K21" s="1674">
        <f t="shared" si="9"/>
        <v>885.13761467889913</v>
      </c>
      <c r="L21" s="1675">
        <f t="shared" si="10"/>
        <v>491.74311926605503</v>
      </c>
      <c r="M21" s="1676">
        <f t="shared" si="11"/>
        <v>1180.1834862385322</v>
      </c>
      <c r="N21" s="1677">
        <f t="shared" si="12"/>
        <v>786.78899082568819</v>
      </c>
      <c r="O21" s="1674">
        <f t="shared" si="13"/>
        <v>1475.2293577981652</v>
      </c>
      <c r="P21" s="1675">
        <f t="shared" si="14"/>
        <v>819.57186544342494</v>
      </c>
      <c r="Q21" s="1315"/>
      <c r="R21" s="1313" t="s">
        <v>422</v>
      </c>
      <c r="S21" s="1314">
        <v>1.25</v>
      </c>
    </row>
    <row r="22" spans="1:19">
      <c r="A22" s="1661">
        <v>7</v>
      </c>
      <c r="B22" s="1682">
        <v>28.9</v>
      </c>
      <c r="C22" s="1674">
        <f t="shared" si="1"/>
        <v>848.44036697247702</v>
      </c>
      <c r="D22" s="1675">
        <f t="shared" si="2"/>
        <v>565.62691131498468</v>
      </c>
      <c r="E22" s="1676">
        <f t="shared" si="3"/>
        <v>848.44036697247702</v>
      </c>
      <c r="F22" s="1677">
        <f t="shared" si="4"/>
        <v>471.35575942915386</v>
      </c>
      <c r="G22" s="1674">
        <f t="shared" si="5"/>
        <v>1060.5504587155963</v>
      </c>
      <c r="H22" s="1675">
        <f t="shared" si="6"/>
        <v>707.03363914373085</v>
      </c>
      <c r="I22" s="1676">
        <f t="shared" si="7"/>
        <v>1060.5504587155963</v>
      </c>
      <c r="J22" s="1677">
        <f t="shared" si="8"/>
        <v>589.19469928644241</v>
      </c>
      <c r="K22" s="1674">
        <f t="shared" si="9"/>
        <v>1272.6605504587155</v>
      </c>
      <c r="L22" s="1675">
        <f t="shared" si="10"/>
        <v>707.03363914373085</v>
      </c>
      <c r="M22" s="1676">
        <f t="shared" si="11"/>
        <v>1696.880733944954</v>
      </c>
      <c r="N22" s="1677">
        <f t="shared" si="12"/>
        <v>1131.2538226299694</v>
      </c>
      <c r="O22" s="1674">
        <f t="shared" si="13"/>
        <v>2121.1009174311926</v>
      </c>
      <c r="P22" s="1675">
        <f t="shared" si="14"/>
        <v>1178.3893985728848</v>
      </c>
      <c r="Q22" s="1315"/>
      <c r="R22" s="1313" t="s">
        <v>423</v>
      </c>
      <c r="S22" s="1314">
        <v>1.25</v>
      </c>
    </row>
    <row r="23" spans="1:19">
      <c r="A23" s="1661">
        <v>8</v>
      </c>
      <c r="B23" s="1682">
        <v>36.6</v>
      </c>
      <c r="C23" s="1674">
        <f t="shared" si="1"/>
        <v>1074.4954128440368</v>
      </c>
      <c r="D23" s="1675">
        <f t="shared" si="2"/>
        <v>716.33027522935777</v>
      </c>
      <c r="E23" s="1676">
        <f t="shared" si="3"/>
        <v>1074.4954128440368</v>
      </c>
      <c r="F23" s="1677">
        <f t="shared" si="4"/>
        <v>596.94189602446488</v>
      </c>
      <c r="G23" s="1674">
        <f t="shared" si="5"/>
        <v>1343.119266055046</v>
      </c>
      <c r="H23" s="1675">
        <f t="shared" si="6"/>
        <v>895.41284403669727</v>
      </c>
      <c r="I23" s="1676">
        <f t="shared" si="7"/>
        <v>1343.119266055046</v>
      </c>
      <c r="J23" s="1677">
        <f t="shared" si="8"/>
        <v>746.17737003058096</v>
      </c>
      <c r="K23" s="1674">
        <f t="shared" si="9"/>
        <v>1611.7431192660551</v>
      </c>
      <c r="L23" s="1675">
        <f t="shared" si="10"/>
        <v>895.41284403669727</v>
      </c>
      <c r="M23" s="1676">
        <f t="shared" si="11"/>
        <v>2148.9908256880735</v>
      </c>
      <c r="N23" s="1677">
        <f t="shared" si="12"/>
        <v>1432.6605504587155</v>
      </c>
      <c r="O23" s="1674">
        <f t="shared" si="13"/>
        <v>2686.2385321100919</v>
      </c>
      <c r="P23" s="1675">
        <f t="shared" si="14"/>
        <v>1492.3547400611619</v>
      </c>
      <c r="Q23" s="1315"/>
      <c r="R23" s="1313" t="s">
        <v>424</v>
      </c>
      <c r="S23" s="1314">
        <v>1.25</v>
      </c>
    </row>
    <row r="24" spans="1:19">
      <c r="A24" s="1661">
        <v>10</v>
      </c>
      <c r="B24" s="1682">
        <v>58</v>
      </c>
      <c r="C24" s="1674">
        <f t="shared" si="1"/>
        <v>1702.7522935779816</v>
      </c>
      <c r="D24" s="1675">
        <f t="shared" si="2"/>
        <v>1135.1681957186543</v>
      </c>
      <c r="E24" s="1676">
        <f t="shared" si="3"/>
        <v>1702.7522935779816</v>
      </c>
      <c r="F24" s="1677">
        <f t="shared" si="4"/>
        <v>945.97349643221207</v>
      </c>
      <c r="G24" s="1674">
        <f t="shared" si="5"/>
        <v>2128.440366972477</v>
      </c>
      <c r="H24" s="1675">
        <f t="shared" si="6"/>
        <v>1418.9602446483182</v>
      </c>
      <c r="I24" s="1676">
        <f t="shared" si="7"/>
        <v>2128.440366972477</v>
      </c>
      <c r="J24" s="1677">
        <f t="shared" si="8"/>
        <v>1182.4668705402651</v>
      </c>
      <c r="K24" s="1674">
        <f t="shared" si="9"/>
        <v>2554.128440366972</v>
      </c>
      <c r="L24" s="1675">
        <f t="shared" si="10"/>
        <v>1418.9602446483182</v>
      </c>
      <c r="M24" s="1676">
        <f t="shared" si="11"/>
        <v>3405.5045871559632</v>
      </c>
      <c r="N24" s="1677">
        <f t="shared" si="12"/>
        <v>2270.3363914373085</v>
      </c>
      <c r="O24" s="1674">
        <f t="shared" si="13"/>
        <v>4256.880733944954</v>
      </c>
      <c r="P24" s="1675">
        <f t="shared" si="14"/>
        <v>2364.9337410805301</v>
      </c>
      <c r="Q24" s="1315"/>
      <c r="R24" s="1313" t="s">
        <v>425</v>
      </c>
      <c r="S24" s="1314">
        <v>1.25</v>
      </c>
    </row>
    <row r="25" spans="1:19">
      <c r="A25" s="1661">
        <v>12</v>
      </c>
      <c r="B25" s="1682">
        <v>84.3</v>
      </c>
      <c r="C25" s="1674">
        <f t="shared" si="1"/>
        <v>2474.8623853211006</v>
      </c>
      <c r="D25" s="1675">
        <f t="shared" si="2"/>
        <v>1649.9082568807339</v>
      </c>
      <c r="E25" s="1676">
        <f t="shared" si="3"/>
        <v>2474.8623853211006</v>
      </c>
      <c r="F25" s="1677">
        <f t="shared" si="4"/>
        <v>1374.9235474006114</v>
      </c>
      <c r="G25" s="1674">
        <f t="shared" si="5"/>
        <v>3093.5779816513755</v>
      </c>
      <c r="H25" s="1675">
        <f t="shared" si="6"/>
        <v>2062.3853211009173</v>
      </c>
      <c r="I25" s="1676">
        <f t="shared" si="7"/>
        <v>3093.5779816513755</v>
      </c>
      <c r="J25" s="1677">
        <f t="shared" si="8"/>
        <v>1718.6544342507646</v>
      </c>
      <c r="K25" s="1674">
        <f t="shared" si="9"/>
        <v>3712.2935779816507</v>
      </c>
      <c r="L25" s="1675">
        <f t="shared" si="10"/>
        <v>2062.3853211009173</v>
      </c>
      <c r="M25" s="1676">
        <f t="shared" si="11"/>
        <v>4949.7247706422013</v>
      </c>
      <c r="N25" s="1677">
        <f t="shared" si="12"/>
        <v>3299.8165137614678</v>
      </c>
      <c r="O25" s="1674">
        <f t="shared" si="13"/>
        <v>6187.1559633027509</v>
      </c>
      <c r="P25" s="1675">
        <f t="shared" si="14"/>
        <v>3437.3088685015291</v>
      </c>
      <c r="Q25" s="1315"/>
      <c r="R25" s="1313" t="s">
        <v>426</v>
      </c>
      <c r="S25" s="1314">
        <v>1.25</v>
      </c>
    </row>
    <row r="26" spans="1:19">
      <c r="A26" s="1661">
        <v>14</v>
      </c>
      <c r="B26" s="1682">
        <v>115</v>
      </c>
      <c r="C26" s="1674">
        <f t="shared" si="1"/>
        <v>3376.1467889908258</v>
      </c>
      <c r="D26" s="1675">
        <f t="shared" si="2"/>
        <v>2250.7645259938836</v>
      </c>
      <c r="E26" s="1676">
        <f t="shared" si="3"/>
        <v>3376.1467889908258</v>
      </c>
      <c r="F26" s="1677">
        <f t="shared" si="4"/>
        <v>1875.637104994903</v>
      </c>
      <c r="G26" s="1674">
        <f t="shared" si="5"/>
        <v>4220.1834862385313</v>
      </c>
      <c r="H26" s="1675">
        <f t="shared" si="6"/>
        <v>2813.4556574923545</v>
      </c>
      <c r="I26" s="1676">
        <f t="shared" si="7"/>
        <v>4220.1834862385313</v>
      </c>
      <c r="J26" s="1677">
        <f t="shared" si="8"/>
        <v>2344.5463812436292</v>
      </c>
      <c r="K26" s="1674">
        <f t="shared" si="9"/>
        <v>5064.2201834862381</v>
      </c>
      <c r="L26" s="1675">
        <f t="shared" si="10"/>
        <v>2813.4556574923545</v>
      </c>
      <c r="M26" s="1676">
        <f t="shared" si="11"/>
        <v>6752.2935779816517</v>
      </c>
      <c r="N26" s="1677">
        <f t="shared" si="12"/>
        <v>4501.5290519877672</v>
      </c>
      <c r="O26" s="1674">
        <f t="shared" si="13"/>
        <v>8440.3669724770625</v>
      </c>
      <c r="P26" s="1675">
        <f t="shared" si="14"/>
        <v>4689.0927624872584</v>
      </c>
      <c r="Q26" s="1315"/>
      <c r="R26" s="1313" t="s">
        <v>427</v>
      </c>
      <c r="S26" s="1314">
        <v>1.25</v>
      </c>
    </row>
    <row r="27" spans="1:19">
      <c r="A27" s="1661">
        <v>16</v>
      </c>
      <c r="B27" s="1682">
        <v>157</v>
      </c>
      <c r="C27" s="1674">
        <f t="shared" si="1"/>
        <v>4609.1743119266048</v>
      </c>
      <c r="D27" s="1675">
        <f t="shared" si="2"/>
        <v>3072.782874617737</v>
      </c>
      <c r="E27" s="1676">
        <f t="shared" si="3"/>
        <v>4609.1743119266048</v>
      </c>
      <c r="F27" s="1677">
        <f t="shared" si="4"/>
        <v>2560.6523955147809</v>
      </c>
      <c r="G27" s="1674">
        <f t="shared" si="5"/>
        <v>5761.4678899082555</v>
      </c>
      <c r="H27" s="1675">
        <f t="shared" si="6"/>
        <v>3840.9785932721707</v>
      </c>
      <c r="I27" s="1676">
        <f t="shared" si="7"/>
        <v>5761.4678899082555</v>
      </c>
      <c r="J27" s="1677">
        <f t="shared" si="8"/>
        <v>3200.815494393476</v>
      </c>
      <c r="K27" s="1674">
        <f t="shared" si="9"/>
        <v>6913.7614678899072</v>
      </c>
      <c r="L27" s="1675">
        <f t="shared" si="10"/>
        <v>3840.9785932721707</v>
      </c>
      <c r="M27" s="1676">
        <f t="shared" si="11"/>
        <v>9218.3486238532096</v>
      </c>
      <c r="N27" s="1677">
        <f t="shared" si="12"/>
        <v>6145.565749235474</v>
      </c>
      <c r="O27" s="1674">
        <f t="shared" si="13"/>
        <v>11522.935779816511</v>
      </c>
      <c r="P27" s="1675">
        <f t="shared" si="14"/>
        <v>6401.630988786952</v>
      </c>
      <c r="Q27" s="1315"/>
      <c r="R27" s="1316" t="s">
        <v>428</v>
      </c>
      <c r="S27" s="1314">
        <v>1.25</v>
      </c>
    </row>
    <row r="28" spans="1:19">
      <c r="A28" s="1661">
        <v>18</v>
      </c>
      <c r="B28" s="1682">
        <v>192</v>
      </c>
      <c r="C28" s="1674">
        <f t="shared" si="1"/>
        <v>5636.697247706421</v>
      </c>
      <c r="D28" s="1675">
        <f t="shared" si="2"/>
        <v>3757.798165137614</v>
      </c>
      <c r="E28" s="1676">
        <f t="shared" si="3"/>
        <v>5636.697247706421</v>
      </c>
      <c r="F28" s="1677">
        <f t="shared" si="4"/>
        <v>3131.4984709480123</v>
      </c>
      <c r="G28" s="1674">
        <f t="shared" si="5"/>
        <v>7045.8715596330267</v>
      </c>
      <c r="H28" s="1675">
        <f t="shared" si="6"/>
        <v>4697.2477064220175</v>
      </c>
      <c r="I28" s="1676">
        <f t="shared" si="7"/>
        <v>7045.8715596330267</v>
      </c>
      <c r="J28" s="1677">
        <f t="shared" si="8"/>
        <v>3914.3730886850149</v>
      </c>
      <c r="K28" s="1674">
        <f t="shared" si="9"/>
        <v>8455.0458715596324</v>
      </c>
      <c r="L28" s="1675">
        <f t="shared" si="10"/>
        <v>4697.2477064220175</v>
      </c>
      <c r="M28" s="1676">
        <f t="shared" si="11"/>
        <v>11273.394495412842</v>
      </c>
      <c r="N28" s="1677">
        <f t="shared" si="12"/>
        <v>7515.596330275228</v>
      </c>
      <c r="O28" s="1674">
        <f t="shared" si="13"/>
        <v>14091.743119266053</v>
      </c>
      <c r="P28" s="1675">
        <f t="shared" si="14"/>
        <v>7828.7461773700297</v>
      </c>
      <c r="Q28" s="1315"/>
      <c r="R28" s="1317" t="s">
        <v>429</v>
      </c>
      <c r="S28" s="1314">
        <v>1.25</v>
      </c>
    </row>
    <row r="29" spans="1:19">
      <c r="A29" s="1661">
        <v>20</v>
      </c>
      <c r="B29" s="1682">
        <v>245</v>
      </c>
      <c r="C29" s="1674">
        <f t="shared" si="1"/>
        <v>7192.6605504587151</v>
      </c>
      <c r="D29" s="1675">
        <f t="shared" si="2"/>
        <v>4795.1070336391431</v>
      </c>
      <c r="E29" s="1676">
        <f t="shared" si="3"/>
        <v>7192.6605504587151</v>
      </c>
      <c r="F29" s="1677">
        <f t="shared" si="4"/>
        <v>3995.9225280326195</v>
      </c>
      <c r="G29" s="1674">
        <f t="shared" si="5"/>
        <v>8990.8256880733934</v>
      </c>
      <c r="H29" s="1675">
        <f t="shared" si="6"/>
        <v>5993.8837920489295</v>
      </c>
      <c r="I29" s="1676">
        <f t="shared" si="7"/>
        <v>8990.8256880733934</v>
      </c>
      <c r="J29" s="1677">
        <f t="shared" si="8"/>
        <v>4994.9031600407743</v>
      </c>
      <c r="K29" s="1674">
        <f t="shared" si="9"/>
        <v>10788.990825688074</v>
      </c>
      <c r="L29" s="1675">
        <f t="shared" si="10"/>
        <v>5993.8837920489295</v>
      </c>
      <c r="M29" s="1676">
        <f t="shared" si="11"/>
        <v>14385.32110091743</v>
      </c>
      <c r="N29" s="1677">
        <f t="shared" si="12"/>
        <v>9590.2140672782862</v>
      </c>
      <c r="O29" s="1674">
        <f t="shared" si="13"/>
        <v>17981.651376146787</v>
      </c>
      <c r="P29" s="1675">
        <f t="shared" si="14"/>
        <v>9989.8063200815486</v>
      </c>
      <c r="Q29" s="1315"/>
      <c r="R29" s="1317" t="s">
        <v>430</v>
      </c>
      <c r="S29" s="1314">
        <v>1.25</v>
      </c>
    </row>
    <row r="30" spans="1:19">
      <c r="A30" s="1661">
        <v>22</v>
      </c>
      <c r="B30" s="1682">
        <v>303</v>
      </c>
      <c r="C30" s="1674">
        <f t="shared" si="1"/>
        <v>8895.4128440366967</v>
      </c>
      <c r="D30" s="1675">
        <f t="shared" si="2"/>
        <v>5930.2752293577978</v>
      </c>
      <c r="E30" s="1676">
        <f t="shared" si="3"/>
        <v>8895.4128440366967</v>
      </c>
      <c r="F30" s="1677">
        <f t="shared" si="4"/>
        <v>4941.8960244648315</v>
      </c>
      <c r="G30" s="1674">
        <f t="shared" si="5"/>
        <v>11119.266055045871</v>
      </c>
      <c r="H30" s="1675">
        <f t="shared" si="6"/>
        <v>7412.8440366972472</v>
      </c>
      <c r="I30" s="1676">
        <f t="shared" si="7"/>
        <v>11119.266055045871</v>
      </c>
      <c r="J30" s="1677">
        <f t="shared" si="8"/>
        <v>6177.3700305810398</v>
      </c>
      <c r="K30" s="1674">
        <f t="shared" si="9"/>
        <v>13343.119266055048</v>
      </c>
      <c r="L30" s="1675">
        <f t="shared" si="10"/>
        <v>7412.8440366972472</v>
      </c>
      <c r="M30" s="1676">
        <f t="shared" si="11"/>
        <v>17790.825688073393</v>
      </c>
      <c r="N30" s="1677">
        <f t="shared" si="12"/>
        <v>11860.550458715596</v>
      </c>
      <c r="O30" s="1674">
        <f t="shared" si="13"/>
        <v>22238.532110091743</v>
      </c>
      <c r="P30" s="1675">
        <f t="shared" si="14"/>
        <v>12354.74006116208</v>
      </c>
      <c r="Q30" s="1315"/>
      <c r="R30" s="1317" t="s">
        <v>431</v>
      </c>
      <c r="S30" s="1314">
        <v>1.2</v>
      </c>
    </row>
    <row r="31" spans="1:19">
      <c r="A31" s="1661">
        <v>24</v>
      </c>
      <c r="B31" s="1682">
        <v>353</v>
      </c>
      <c r="C31" s="1674">
        <f t="shared" si="1"/>
        <v>10363.302752293577</v>
      </c>
      <c r="D31" s="1675">
        <f t="shared" si="2"/>
        <v>6908.8685015290512</v>
      </c>
      <c r="E31" s="1676">
        <f t="shared" si="3"/>
        <v>10363.302752293577</v>
      </c>
      <c r="F31" s="1677">
        <f t="shared" si="4"/>
        <v>5757.3904179408764</v>
      </c>
      <c r="G31" s="1674">
        <f t="shared" si="5"/>
        <v>12954.128440366971</v>
      </c>
      <c r="H31" s="1675">
        <f t="shared" si="6"/>
        <v>8636.0856269113137</v>
      </c>
      <c r="I31" s="1676">
        <f t="shared" si="7"/>
        <v>12954.128440366971</v>
      </c>
      <c r="J31" s="1677">
        <f t="shared" si="8"/>
        <v>7196.7380224260951</v>
      </c>
      <c r="K31" s="1674">
        <f t="shared" si="9"/>
        <v>15544.954128440364</v>
      </c>
      <c r="L31" s="1675">
        <f t="shared" si="10"/>
        <v>8636.0856269113137</v>
      </c>
      <c r="M31" s="1676">
        <f t="shared" si="11"/>
        <v>20726.605504587154</v>
      </c>
      <c r="N31" s="1677">
        <f t="shared" si="12"/>
        <v>13817.737003058102</v>
      </c>
      <c r="O31" s="1674">
        <f t="shared" si="13"/>
        <v>25908.256880733941</v>
      </c>
      <c r="P31" s="1675">
        <f t="shared" si="14"/>
        <v>14393.47604485219</v>
      </c>
      <c r="Q31" s="1315"/>
      <c r="R31" s="1317" t="s">
        <v>432</v>
      </c>
      <c r="S31" s="1314">
        <v>1.25</v>
      </c>
    </row>
    <row r="32" spans="1:19" ht="13.5" thickBot="1">
      <c r="A32" s="1661">
        <v>27</v>
      </c>
      <c r="B32" s="1682">
        <v>459</v>
      </c>
      <c r="C32" s="1674">
        <f t="shared" si="1"/>
        <v>13475.229357798165</v>
      </c>
      <c r="D32" s="1675">
        <f t="shared" si="2"/>
        <v>8983.4862385321085</v>
      </c>
      <c r="E32" s="1676">
        <f t="shared" si="3"/>
        <v>13475.229357798165</v>
      </c>
      <c r="F32" s="1677">
        <f t="shared" si="4"/>
        <v>7486.238532110091</v>
      </c>
      <c r="G32" s="1674">
        <f t="shared" si="5"/>
        <v>16844.036697247706</v>
      </c>
      <c r="H32" s="1675">
        <f t="shared" si="6"/>
        <v>11229.357798165136</v>
      </c>
      <c r="I32" s="1676">
        <f t="shared" si="7"/>
        <v>16844.036697247706</v>
      </c>
      <c r="J32" s="1677">
        <f t="shared" si="8"/>
        <v>9357.798165137614</v>
      </c>
      <c r="K32" s="1674">
        <f t="shared" si="9"/>
        <v>20212.844036697246</v>
      </c>
      <c r="L32" s="1675">
        <f t="shared" si="10"/>
        <v>11229.357798165136</v>
      </c>
      <c r="M32" s="1676">
        <f t="shared" si="11"/>
        <v>26950.458715596331</v>
      </c>
      <c r="N32" s="1677">
        <f t="shared" si="12"/>
        <v>17966.972477064217</v>
      </c>
      <c r="O32" s="1674">
        <f t="shared" si="13"/>
        <v>33688.073394495412</v>
      </c>
      <c r="P32" s="1675">
        <f t="shared" si="14"/>
        <v>18715.596330275228</v>
      </c>
      <c r="Q32" s="1315"/>
      <c r="R32" s="1318" t="s">
        <v>433</v>
      </c>
      <c r="S32" s="1319">
        <v>1.35</v>
      </c>
    </row>
    <row r="33" spans="1:18">
      <c r="A33" s="1661">
        <v>30</v>
      </c>
      <c r="B33" s="1682">
        <v>561</v>
      </c>
      <c r="C33" s="1674">
        <f t="shared" si="1"/>
        <v>16469.724770642202</v>
      </c>
      <c r="D33" s="1675">
        <f t="shared" si="2"/>
        <v>10979.816513761467</v>
      </c>
      <c r="E33" s="1676">
        <f t="shared" si="3"/>
        <v>16469.724770642202</v>
      </c>
      <c r="F33" s="1677">
        <f t="shared" si="4"/>
        <v>9149.8470948012218</v>
      </c>
      <c r="G33" s="1674">
        <f t="shared" si="5"/>
        <v>20587.15596330275</v>
      </c>
      <c r="H33" s="1675">
        <f t="shared" si="6"/>
        <v>13724.770642201833</v>
      </c>
      <c r="I33" s="1676">
        <f t="shared" si="7"/>
        <v>20587.15596330275</v>
      </c>
      <c r="J33" s="1677">
        <f t="shared" si="8"/>
        <v>11437.308868501528</v>
      </c>
      <c r="K33" s="1674">
        <f t="shared" si="9"/>
        <v>24704.587155963301</v>
      </c>
      <c r="L33" s="1675">
        <f t="shared" si="10"/>
        <v>13724.770642201833</v>
      </c>
      <c r="M33" s="1676">
        <f t="shared" si="11"/>
        <v>32939.449541284404</v>
      </c>
      <c r="N33" s="1677">
        <f t="shared" si="12"/>
        <v>21959.633027522934</v>
      </c>
      <c r="O33" s="1674">
        <f t="shared" si="13"/>
        <v>41174.3119266055</v>
      </c>
      <c r="P33" s="1675">
        <f t="shared" si="14"/>
        <v>22874.617737003056</v>
      </c>
      <c r="Q33" s="1315"/>
    </row>
    <row r="34" spans="1:18">
      <c r="A34" s="1661">
        <v>33</v>
      </c>
      <c r="B34" s="1682">
        <v>694</v>
      </c>
      <c r="C34" s="1674">
        <f t="shared" si="1"/>
        <v>20374.311926605504</v>
      </c>
      <c r="D34" s="1675">
        <f t="shared" si="2"/>
        <v>13582.874617737001</v>
      </c>
      <c r="E34" s="1676">
        <f t="shared" si="3"/>
        <v>20374.311926605504</v>
      </c>
      <c r="F34" s="1677">
        <f t="shared" si="4"/>
        <v>11319.062181447502</v>
      </c>
      <c r="G34" s="1674">
        <f t="shared" si="5"/>
        <v>25467.889908256875</v>
      </c>
      <c r="H34" s="1675">
        <f t="shared" si="6"/>
        <v>16978.593272171252</v>
      </c>
      <c r="I34" s="1676">
        <f t="shared" si="7"/>
        <v>25467.889908256875</v>
      </c>
      <c r="J34" s="1677">
        <f t="shared" si="8"/>
        <v>14148.827726809377</v>
      </c>
      <c r="K34" s="1674">
        <f t="shared" si="9"/>
        <v>30561.467889908254</v>
      </c>
      <c r="L34" s="1675">
        <f t="shared" si="10"/>
        <v>16978.593272171252</v>
      </c>
      <c r="M34" s="1676">
        <f t="shared" si="11"/>
        <v>40748.623853211007</v>
      </c>
      <c r="N34" s="1677">
        <f t="shared" si="12"/>
        <v>27165.749235474002</v>
      </c>
      <c r="O34" s="1674">
        <f t="shared" si="13"/>
        <v>50935.77981651375</v>
      </c>
      <c r="P34" s="1675">
        <f t="shared" si="14"/>
        <v>28297.655453618754</v>
      </c>
      <c r="Q34" s="1315"/>
    </row>
    <row r="35" spans="1:18">
      <c r="A35" s="1661">
        <v>36</v>
      </c>
      <c r="B35" s="1682">
        <v>817</v>
      </c>
      <c r="C35" s="1674">
        <f t="shared" si="1"/>
        <v>23985.321100917434</v>
      </c>
      <c r="D35" s="1675">
        <f t="shared" si="2"/>
        <v>15990.214067278288</v>
      </c>
      <c r="E35" s="1676">
        <f t="shared" si="3"/>
        <v>23985.321100917434</v>
      </c>
      <c r="F35" s="1677">
        <f t="shared" si="4"/>
        <v>13325.178389398574</v>
      </c>
      <c r="G35" s="1674">
        <f t="shared" si="5"/>
        <v>29981.651376146787</v>
      </c>
      <c r="H35" s="1675">
        <f t="shared" si="6"/>
        <v>19987.767584097859</v>
      </c>
      <c r="I35" s="1676">
        <f t="shared" si="7"/>
        <v>29981.651376146787</v>
      </c>
      <c r="J35" s="1677">
        <f t="shared" si="8"/>
        <v>16656.472986748216</v>
      </c>
      <c r="K35" s="1674">
        <f t="shared" si="9"/>
        <v>35977.98165137614</v>
      </c>
      <c r="L35" s="1675">
        <f t="shared" si="10"/>
        <v>19987.767584097859</v>
      </c>
      <c r="M35" s="1676">
        <f t="shared" si="11"/>
        <v>47970.642201834868</v>
      </c>
      <c r="N35" s="1677">
        <f t="shared" si="12"/>
        <v>31980.428134556576</v>
      </c>
      <c r="O35" s="1674">
        <f t="shared" si="13"/>
        <v>59963.302752293574</v>
      </c>
      <c r="P35" s="1675">
        <f t="shared" si="14"/>
        <v>33312.945973496433</v>
      </c>
      <c r="Q35" s="1315"/>
    </row>
    <row r="36" spans="1:18">
      <c r="A36" s="1661">
        <v>39</v>
      </c>
      <c r="B36" s="1682">
        <v>976</v>
      </c>
      <c r="C36" s="1674">
        <f t="shared" si="1"/>
        <v>28653.211009174312</v>
      </c>
      <c r="D36" s="1675">
        <f t="shared" si="2"/>
        <v>19102.140672782873</v>
      </c>
      <c r="E36" s="1676">
        <f t="shared" si="3"/>
        <v>28653.211009174312</v>
      </c>
      <c r="F36" s="1677">
        <f t="shared" si="4"/>
        <v>15918.450560652394</v>
      </c>
      <c r="G36" s="1674">
        <f t="shared" si="5"/>
        <v>35816.51376146789</v>
      </c>
      <c r="H36" s="1675">
        <f t="shared" si="6"/>
        <v>23877.675840978591</v>
      </c>
      <c r="I36" s="1676">
        <f t="shared" si="7"/>
        <v>35816.51376146789</v>
      </c>
      <c r="J36" s="1677">
        <f t="shared" si="8"/>
        <v>19898.06320081549</v>
      </c>
      <c r="K36" s="1674">
        <f t="shared" si="9"/>
        <v>42979.816513761471</v>
      </c>
      <c r="L36" s="1675">
        <f t="shared" si="10"/>
        <v>23877.675840978591</v>
      </c>
      <c r="M36" s="1676">
        <f t="shared" si="11"/>
        <v>57306.422018348625</v>
      </c>
      <c r="N36" s="1677">
        <f t="shared" si="12"/>
        <v>38204.281345565745</v>
      </c>
      <c r="O36" s="1674">
        <f t="shared" si="13"/>
        <v>71633.027522935779</v>
      </c>
      <c r="P36" s="1675">
        <f t="shared" si="14"/>
        <v>39796.12640163098</v>
      </c>
      <c r="Q36" s="1315"/>
      <c r="R36" s="1320"/>
    </row>
    <row r="37" spans="1:18">
      <c r="A37" s="1661">
        <v>42</v>
      </c>
      <c r="B37" s="1682">
        <v>1121</v>
      </c>
      <c r="C37" s="1674">
        <f t="shared" si="1"/>
        <v>32910.091743119265</v>
      </c>
      <c r="D37" s="1675">
        <f t="shared" si="2"/>
        <v>21940.06116207951</v>
      </c>
      <c r="E37" s="1676">
        <f t="shared" si="3"/>
        <v>32910.091743119265</v>
      </c>
      <c r="F37" s="1677">
        <f t="shared" si="4"/>
        <v>18283.384301732924</v>
      </c>
      <c r="G37" s="1674">
        <f t="shared" si="5"/>
        <v>41137.614678899081</v>
      </c>
      <c r="H37" s="1675">
        <f t="shared" si="6"/>
        <v>27425.076452599391</v>
      </c>
      <c r="I37" s="1676">
        <f t="shared" si="7"/>
        <v>41137.614678899081</v>
      </c>
      <c r="J37" s="1677">
        <f t="shared" si="8"/>
        <v>22854.230377166157</v>
      </c>
      <c r="K37" s="1674">
        <f t="shared" si="9"/>
        <v>49365.137614678897</v>
      </c>
      <c r="L37" s="1675">
        <f t="shared" si="10"/>
        <v>27425.076452599391</v>
      </c>
      <c r="M37" s="1676">
        <f t="shared" si="11"/>
        <v>65820.183486238529</v>
      </c>
      <c r="N37" s="1677">
        <f t="shared" si="12"/>
        <v>43880.12232415902</v>
      </c>
      <c r="O37" s="1674">
        <f t="shared" si="13"/>
        <v>82275.229357798162</v>
      </c>
      <c r="P37" s="1675">
        <f t="shared" si="14"/>
        <v>45708.460754332315</v>
      </c>
      <c r="Q37" s="1315"/>
      <c r="R37" s="1320"/>
    </row>
    <row r="38" spans="1:18">
      <c r="A38" s="1661">
        <v>45</v>
      </c>
      <c r="B38" s="1682">
        <v>1306</v>
      </c>
      <c r="C38" s="1674">
        <f t="shared" si="1"/>
        <v>38341.284403669721</v>
      </c>
      <c r="D38" s="1675">
        <f t="shared" si="2"/>
        <v>25560.856269113148</v>
      </c>
      <c r="E38" s="1676">
        <f t="shared" si="3"/>
        <v>38341.284403669721</v>
      </c>
      <c r="F38" s="1677">
        <f t="shared" si="4"/>
        <v>21300.713557594292</v>
      </c>
      <c r="G38" s="1674">
        <f t="shared" si="5"/>
        <v>47926.605504587154</v>
      </c>
      <c r="H38" s="1675">
        <f t="shared" si="6"/>
        <v>31951.070336391433</v>
      </c>
      <c r="I38" s="1676">
        <f t="shared" si="7"/>
        <v>47926.605504587154</v>
      </c>
      <c r="J38" s="1677">
        <f t="shared" si="8"/>
        <v>26625.891946992859</v>
      </c>
      <c r="K38" s="1674">
        <f t="shared" si="9"/>
        <v>57511.926605504574</v>
      </c>
      <c r="L38" s="1675">
        <f t="shared" si="10"/>
        <v>31951.070336391433</v>
      </c>
      <c r="M38" s="1676">
        <f t="shared" si="11"/>
        <v>76682.568807339441</v>
      </c>
      <c r="N38" s="1677">
        <f t="shared" si="12"/>
        <v>51121.712538226297</v>
      </c>
      <c r="O38" s="1674">
        <f t="shared" si="13"/>
        <v>95853.211009174309</v>
      </c>
      <c r="P38" s="1675">
        <f t="shared" si="14"/>
        <v>53251.783893985717</v>
      </c>
      <c r="Q38" s="1315"/>
      <c r="R38" s="1320"/>
    </row>
    <row r="39" spans="1:18">
      <c r="A39" s="1661">
        <v>48</v>
      </c>
      <c r="B39" s="1682">
        <v>1473</v>
      </c>
      <c r="C39" s="1674">
        <f t="shared" si="1"/>
        <v>43244.036697247706</v>
      </c>
      <c r="D39" s="1675">
        <f t="shared" si="2"/>
        <v>28829.357798165136</v>
      </c>
      <c r="E39" s="1676">
        <f t="shared" si="3"/>
        <v>43244.036697247706</v>
      </c>
      <c r="F39" s="1677">
        <f t="shared" si="4"/>
        <v>24024.464831804282</v>
      </c>
      <c r="G39" s="1674">
        <f t="shared" si="5"/>
        <v>54055.045871559625</v>
      </c>
      <c r="H39" s="1675">
        <f t="shared" si="6"/>
        <v>36036.697247706426</v>
      </c>
      <c r="I39" s="1676">
        <f t="shared" si="7"/>
        <v>54055.045871559625</v>
      </c>
      <c r="J39" s="1677">
        <f t="shared" si="8"/>
        <v>30030.581039755351</v>
      </c>
      <c r="K39" s="1674">
        <f t="shared" si="9"/>
        <v>64866.055045871552</v>
      </c>
      <c r="L39" s="1675">
        <f t="shared" si="10"/>
        <v>36036.697247706426</v>
      </c>
      <c r="M39" s="1676">
        <f t="shared" si="11"/>
        <v>86488.073394495412</v>
      </c>
      <c r="N39" s="1677">
        <f t="shared" si="12"/>
        <v>57658.715596330272</v>
      </c>
      <c r="O39" s="1674">
        <f t="shared" si="13"/>
        <v>108110.09174311925</v>
      </c>
      <c r="P39" s="1675">
        <f t="shared" si="14"/>
        <v>60061.162079510701</v>
      </c>
      <c r="Q39" s="1315"/>
      <c r="R39" s="1320"/>
    </row>
    <row r="40" spans="1:18">
      <c r="A40" s="1661">
        <v>52</v>
      </c>
      <c r="B40" s="1682">
        <v>1758</v>
      </c>
      <c r="C40" s="1674">
        <f t="shared" si="1"/>
        <v>51611.009174311926</v>
      </c>
      <c r="D40" s="1675">
        <f t="shared" si="2"/>
        <v>34407.339449541279</v>
      </c>
      <c r="E40" s="1676">
        <f t="shared" si="3"/>
        <v>51611.009174311926</v>
      </c>
      <c r="F40" s="1677">
        <f t="shared" si="4"/>
        <v>28672.782874617737</v>
      </c>
      <c r="G40" s="1674">
        <f t="shared" si="5"/>
        <v>64513.761467889904</v>
      </c>
      <c r="H40" s="1675">
        <f t="shared" si="6"/>
        <v>43009.174311926603</v>
      </c>
      <c r="I40" s="1676">
        <f t="shared" si="7"/>
        <v>64513.761467889904</v>
      </c>
      <c r="J40" s="1677">
        <f t="shared" si="8"/>
        <v>35840.978593272172</v>
      </c>
      <c r="K40" s="1674">
        <f t="shared" si="9"/>
        <v>77416.513761467897</v>
      </c>
      <c r="L40" s="1675">
        <f t="shared" si="10"/>
        <v>43009.174311926603</v>
      </c>
      <c r="M40" s="1676">
        <f t="shared" si="11"/>
        <v>103222.01834862385</v>
      </c>
      <c r="N40" s="1677">
        <f t="shared" si="12"/>
        <v>68814.678899082559</v>
      </c>
      <c r="O40" s="1674">
        <f t="shared" si="13"/>
        <v>129027.52293577981</v>
      </c>
      <c r="P40" s="1675">
        <f t="shared" si="14"/>
        <v>71681.957186544343</v>
      </c>
      <c r="Q40" s="1315"/>
      <c r="R40" s="1320"/>
    </row>
    <row r="41" spans="1:18">
      <c r="A41" s="1661">
        <v>56</v>
      </c>
      <c r="B41" s="1682">
        <v>2030</v>
      </c>
      <c r="C41" s="1674">
        <f t="shared" si="1"/>
        <v>59596.330275229353</v>
      </c>
      <c r="D41" s="1675">
        <f t="shared" si="2"/>
        <v>39730.886850152907</v>
      </c>
      <c r="E41" s="1676">
        <f t="shared" si="3"/>
        <v>59596.330275229353</v>
      </c>
      <c r="F41" s="1677">
        <f t="shared" si="4"/>
        <v>33109.07237512742</v>
      </c>
      <c r="G41" s="1674">
        <f t="shared" si="5"/>
        <v>74495.412844036677</v>
      </c>
      <c r="H41" s="1675">
        <f t="shared" si="6"/>
        <v>49663.60856269113</v>
      </c>
      <c r="I41" s="1676">
        <f t="shared" si="7"/>
        <v>74495.412844036677</v>
      </c>
      <c r="J41" s="1677">
        <f t="shared" si="8"/>
        <v>41386.340468909271</v>
      </c>
      <c r="K41" s="1674">
        <f t="shared" si="9"/>
        <v>89394.495412844029</v>
      </c>
      <c r="L41" s="1675">
        <f t="shared" si="10"/>
        <v>49663.60856269113</v>
      </c>
      <c r="M41" s="1676">
        <f t="shared" si="11"/>
        <v>119192.66055045871</v>
      </c>
      <c r="N41" s="1677">
        <f t="shared" si="12"/>
        <v>79461.773700305814</v>
      </c>
      <c r="O41" s="1674">
        <f t="shared" si="13"/>
        <v>148990.82568807335</v>
      </c>
      <c r="P41" s="1675">
        <f t="shared" si="14"/>
        <v>82772.680937818543</v>
      </c>
      <c r="Q41" s="1315"/>
      <c r="R41" s="1320"/>
    </row>
    <row r="42" spans="1:18">
      <c r="A42" s="1661">
        <v>60</v>
      </c>
      <c r="B42" s="1683">
        <v>2362</v>
      </c>
      <c r="C42" s="1674">
        <f t="shared" si="1"/>
        <v>69343.119266055044</v>
      </c>
      <c r="D42" s="1675">
        <f t="shared" si="2"/>
        <v>46228.746177370027</v>
      </c>
      <c r="E42" s="1676">
        <f t="shared" si="3"/>
        <v>69343.119266055044</v>
      </c>
      <c r="F42" s="1677">
        <f t="shared" si="4"/>
        <v>38523.955147808359</v>
      </c>
      <c r="G42" s="1674">
        <f t="shared" si="5"/>
        <v>86678.899082568794</v>
      </c>
      <c r="H42" s="1675">
        <f t="shared" si="6"/>
        <v>57785.932721712532</v>
      </c>
      <c r="I42" s="1676">
        <f t="shared" si="7"/>
        <v>86678.899082568794</v>
      </c>
      <c r="J42" s="1677">
        <f t="shared" si="8"/>
        <v>48154.943934760449</v>
      </c>
      <c r="K42" s="1674">
        <f t="shared" si="9"/>
        <v>104014.67889908256</v>
      </c>
      <c r="L42" s="1675">
        <f t="shared" si="10"/>
        <v>57785.932721712532</v>
      </c>
      <c r="M42" s="1676">
        <f t="shared" si="11"/>
        <v>138686.23853211009</v>
      </c>
      <c r="N42" s="1677">
        <f t="shared" si="12"/>
        <v>92457.492354740054</v>
      </c>
      <c r="O42" s="1674">
        <f t="shared" si="13"/>
        <v>173357.79816513759</v>
      </c>
      <c r="P42" s="1675">
        <f t="shared" si="14"/>
        <v>96309.887869520899</v>
      </c>
      <c r="Q42" s="1315"/>
      <c r="R42" s="1320"/>
    </row>
    <row r="43" spans="1:18">
      <c r="A43" s="1661">
        <v>64</v>
      </c>
      <c r="B43" s="1683">
        <v>2676</v>
      </c>
      <c r="C43" s="1674">
        <f t="shared" si="1"/>
        <v>78561.467889908265</v>
      </c>
      <c r="D43" s="1675">
        <f t="shared" si="2"/>
        <v>52374.3119266055</v>
      </c>
      <c r="E43" s="1676">
        <f t="shared" si="3"/>
        <v>78561.467889908265</v>
      </c>
      <c r="F43" s="1677">
        <f t="shared" si="4"/>
        <v>43645.259938837924</v>
      </c>
      <c r="G43" s="1674">
        <f t="shared" si="5"/>
        <v>98201.834862385324</v>
      </c>
      <c r="H43" s="1675">
        <f t="shared" si="6"/>
        <v>65467.889908256882</v>
      </c>
      <c r="I43" s="1676">
        <f t="shared" si="7"/>
        <v>98201.834862385324</v>
      </c>
      <c r="J43" s="1677">
        <f t="shared" si="8"/>
        <v>54556.574923547392</v>
      </c>
      <c r="K43" s="1674">
        <f t="shared" si="9"/>
        <v>117842.20183486238</v>
      </c>
      <c r="L43" s="1675">
        <f t="shared" si="10"/>
        <v>65467.889908256882</v>
      </c>
      <c r="M43" s="1676">
        <f t="shared" si="11"/>
        <v>157122.93577981653</v>
      </c>
      <c r="N43" s="1677">
        <f t="shared" si="12"/>
        <v>104748.623853211</v>
      </c>
      <c r="O43" s="1674">
        <f t="shared" si="13"/>
        <v>196403.66972477065</v>
      </c>
      <c r="P43" s="1675">
        <f t="shared" si="14"/>
        <v>109113.14984709478</v>
      </c>
      <c r="Q43" s="1315"/>
      <c r="R43" s="1320"/>
    </row>
    <row r="44" spans="1:18" ht="13.5" thickBot="1">
      <c r="A44" s="1664">
        <v>68</v>
      </c>
      <c r="B44" s="1684">
        <v>3055</v>
      </c>
      <c r="C44" s="1678">
        <f>$E$12*$C$8*B44/100/1.25</f>
        <v>89688.073394495412</v>
      </c>
      <c r="D44" s="1679">
        <f t="shared" si="2"/>
        <v>59792.048929663608</v>
      </c>
      <c r="E44" s="1680">
        <f t="shared" si="3"/>
        <v>89688.073394495412</v>
      </c>
      <c r="F44" s="1681">
        <f t="shared" si="4"/>
        <v>49826.707441386345</v>
      </c>
      <c r="G44" s="1678">
        <f t="shared" si="5"/>
        <v>112110.09174311925</v>
      </c>
      <c r="H44" s="1679">
        <f t="shared" si="6"/>
        <v>74740.06116207951</v>
      </c>
      <c r="I44" s="1680">
        <f t="shared" si="7"/>
        <v>112110.09174311925</v>
      </c>
      <c r="J44" s="1681">
        <f t="shared" si="8"/>
        <v>62283.38430173292</v>
      </c>
      <c r="K44" s="1678">
        <f t="shared" si="9"/>
        <v>134532.11009174312</v>
      </c>
      <c r="L44" s="1679">
        <f t="shared" si="10"/>
        <v>74740.06116207951</v>
      </c>
      <c r="M44" s="1680">
        <f t="shared" si="11"/>
        <v>179376.14678899082</v>
      </c>
      <c r="N44" s="1681">
        <f t="shared" si="12"/>
        <v>119584.09785932722</v>
      </c>
      <c r="O44" s="1678">
        <f t="shared" si="13"/>
        <v>224220.1834862385</v>
      </c>
      <c r="P44" s="1679">
        <f t="shared" si="14"/>
        <v>124566.76860346584</v>
      </c>
      <c r="Q44" s="1315"/>
      <c r="R44" s="1320"/>
    </row>
    <row r="47" spans="1:18">
      <c r="A47" s="1321"/>
      <c r="B47" s="1321"/>
      <c r="C47" s="1321"/>
      <c r="E47" s="1322"/>
      <c r="F47" s="1322"/>
      <c r="G47" s="1322"/>
      <c r="H47" s="1322"/>
      <c r="I47" s="1322"/>
      <c r="J47" s="1322"/>
    </row>
    <row r="48" spans="1:18">
      <c r="A48" s="1321"/>
      <c r="B48" s="1321"/>
      <c r="C48" s="1321"/>
      <c r="D48" s="1322"/>
      <c r="E48" s="1322"/>
      <c r="G48" s="1322"/>
      <c r="H48" s="1322"/>
      <c r="I48" s="1322"/>
      <c r="J48" s="1322"/>
    </row>
    <row r="49" spans="1:10">
      <c r="A49" s="1321"/>
      <c r="B49" s="1323"/>
      <c r="C49" s="1321"/>
      <c r="D49" s="1324"/>
      <c r="E49" s="1322"/>
      <c r="F49" s="1322"/>
      <c r="G49" s="1322"/>
      <c r="H49" s="1322"/>
      <c r="I49" s="1322"/>
      <c r="J49" s="1322"/>
    </row>
    <row r="50" spans="1:10">
      <c r="A50" s="1321"/>
      <c r="B50" s="1321"/>
      <c r="C50" s="1321"/>
      <c r="D50" s="1324"/>
      <c r="E50" s="1322"/>
      <c r="F50" s="1322"/>
      <c r="G50" s="1322"/>
      <c r="H50" s="1322"/>
      <c r="I50" s="1322"/>
      <c r="J50" s="1322"/>
    </row>
    <row r="51" spans="1:10">
      <c r="A51" s="1321"/>
      <c r="B51" s="1321"/>
      <c r="C51" s="1321"/>
      <c r="D51" s="1324"/>
      <c r="E51" s="1322"/>
      <c r="F51" s="1322"/>
      <c r="G51" s="1322"/>
      <c r="H51" s="1322"/>
      <c r="I51" s="1322"/>
      <c r="J51" s="1322"/>
    </row>
    <row r="52" spans="1:10">
      <c r="A52" s="1321"/>
      <c r="B52" s="1321"/>
      <c r="C52" s="1321"/>
      <c r="D52" s="1324"/>
      <c r="E52" s="1322"/>
      <c r="F52" s="1322"/>
      <c r="G52" s="1322"/>
      <c r="H52" s="1322"/>
      <c r="I52" s="1322"/>
      <c r="J52" s="1322"/>
    </row>
    <row r="53" spans="1:10" ht="14.25">
      <c r="C53" s="1325"/>
      <c r="D53" s="1324"/>
      <c r="E53" s="1322"/>
      <c r="F53" s="1322"/>
      <c r="G53" s="1322"/>
      <c r="H53" s="1322"/>
      <c r="I53" s="1322"/>
      <c r="J53" s="1322"/>
    </row>
    <row r="54" spans="1:10">
      <c r="D54" s="1324"/>
      <c r="E54" s="1322"/>
      <c r="F54" s="1322"/>
      <c r="G54" s="1322"/>
      <c r="H54" s="1322"/>
      <c r="I54" s="1322"/>
      <c r="J54" s="1322"/>
    </row>
    <row r="55" spans="1:10">
      <c r="D55" s="1324"/>
      <c r="E55" s="1322"/>
      <c r="F55" s="1322"/>
      <c r="G55" s="1322"/>
      <c r="H55" s="1322"/>
      <c r="I55" s="1322"/>
      <c r="J55" s="1322"/>
    </row>
    <row r="56" spans="1:10">
      <c r="D56" s="1324"/>
      <c r="E56" s="1322"/>
      <c r="F56" s="1322"/>
      <c r="G56" s="1322"/>
      <c r="H56" s="1322"/>
      <c r="I56" s="1322"/>
      <c r="J56" s="1322"/>
    </row>
    <row r="57" spans="1:10">
      <c r="D57" s="1324"/>
      <c r="E57" s="1322"/>
      <c r="F57" s="1322"/>
      <c r="G57" s="1322"/>
      <c r="H57" s="1322"/>
      <c r="I57" s="1322"/>
      <c r="J57" s="1322"/>
    </row>
    <row r="58" spans="1:10">
      <c r="D58" s="1324"/>
      <c r="E58" s="1322"/>
      <c r="F58" s="1322"/>
      <c r="G58" s="1322"/>
      <c r="H58" s="1322"/>
      <c r="I58" s="1322"/>
      <c r="J58" s="1322"/>
    </row>
    <row r="59" spans="1:10">
      <c r="D59" s="1324"/>
      <c r="E59" s="1322"/>
      <c r="F59" s="1322"/>
      <c r="G59" s="1322"/>
      <c r="H59" s="1322"/>
      <c r="I59" s="1322"/>
      <c r="J59" s="1322"/>
    </row>
    <row r="60" spans="1:10">
      <c r="D60" s="1324"/>
      <c r="E60" s="1322"/>
      <c r="F60" s="1322"/>
      <c r="G60" s="1322"/>
      <c r="H60" s="1322"/>
      <c r="I60" s="1322"/>
      <c r="J60" s="1322"/>
    </row>
    <row r="61" spans="1:10">
      <c r="D61" s="1324"/>
      <c r="E61" s="1322"/>
      <c r="F61" s="1322"/>
      <c r="G61" s="1322"/>
      <c r="H61" s="1322"/>
      <c r="I61" s="1322"/>
      <c r="J61" s="1322"/>
    </row>
    <row r="62" spans="1:10">
      <c r="D62" s="1324"/>
      <c r="E62" s="1322"/>
      <c r="F62" s="1322"/>
      <c r="G62" s="1322"/>
      <c r="H62" s="1322"/>
      <c r="I62" s="1322"/>
      <c r="J62" s="1322"/>
    </row>
    <row r="63" spans="1:10">
      <c r="D63" s="1324"/>
      <c r="E63" s="1322"/>
      <c r="F63" s="1322"/>
      <c r="G63" s="1322"/>
      <c r="H63" s="1322"/>
      <c r="I63" s="1322"/>
      <c r="J63" s="1322"/>
    </row>
    <row r="64" spans="1:10">
      <c r="D64" s="1324"/>
      <c r="E64" s="1322"/>
      <c r="F64" s="1322"/>
      <c r="G64" s="1322"/>
      <c r="H64" s="1322"/>
      <c r="I64" s="1322"/>
      <c r="J64" s="1322"/>
    </row>
    <row r="65" spans="4:10">
      <c r="D65" s="1324"/>
      <c r="E65" s="1322"/>
      <c r="F65" s="1322"/>
      <c r="G65" s="1322"/>
      <c r="H65" s="1322"/>
      <c r="I65" s="1322"/>
      <c r="J65" s="1322"/>
    </row>
    <row r="66" spans="4:10">
      <c r="D66" s="1324"/>
      <c r="E66" s="1322"/>
      <c r="F66" s="1322"/>
      <c r="G66" s="1322"/>
      <c r="H66" s="1322"/>
      <c r="I66" s="1322"/>
      <c r="J66" s="1322"/>
    </row>
    <row r="67" spans="4:10">
      <c r="D67" s="1324"/>
      <c r="E67" s="1322"/>
      <c r="F67" s="1322"/>
      <c r="G67" s="1322"/>
      <c r="H67" s="1322"/>
      <c r="I67" s="1322"/>
      <c r="J67" s="1322"/>
    </row>
    <row r="68" spans="4:10">
      <c r="D68" s="1324"/>
      <c r="E68" s="1322"/>
      <c r="F68" s="1322"/>
      <c r="G68" s="1322"/>
      <c r="H68" s="1322"/>
      <c r="I68" s="1322"/>
      <c r="J68" s="1322"/>
    </row>
    <row r="69" spans="4:10">
      <c r="D69" s="1324"/>
      <c r="E69" s="1322"/>
      <c r="F69" s="1322"/>
      <c r="G69" s="1322"/>
      <c r="H69" s="1322"/>
      <c r="I69" s="1322"/>
      <c r="J69" s="1322"/>
    </row>
    <row r="70" spans="4:10">
      <c r="D70" s="1324"/>
      <c r="E70" s="1322"/>
      <c r="F70" s="1322"/>
      <c r="G70" s="1322"/>
      <c r="H70" s="1322"/>
      <c r="I70" s="1322"/>
      <c r="J70" s="1322"/>
    </row>
    <row r="71" spans="4:10">
      <c r="D71" s="1324"/>
      <c r="E71" s="1322"/>
      <c r="F71" s="1322"/>
      <c r="G71" s="1322"/>
      <c r="H71" s="1322"/>
      <c r="I71" s="1322"/>
      <c r="J71" s="1322"/>
    </row>
    <row r="72" spans="4:10">
      <c r="D72" s="1324"/>
      <c r="E72" s="1322"/>
      <c r="F72" s="1322"/>
      <c r="G72" s="1322"/>
      <c r="H72" s="1322"/>
      <c r="I72" s="1322"/>
      <c r="J72" s="1322"/>
    </row>
    <row r="73" spans="4:10">
      <c r="D73" s="1324"/>
      <c r="E73" s="1322"/>
      <c r="F73" s="1322"/>
      <c r="G73" s="1322"/>
      <c r="H73" s="1322"/>
      <c r="I73" s="1322"/>
      <c r="J73" s="1322"/>
    </row>
    <row r="75" spans="4:10">
      <c r="D75" s="1322"/>
      <c r="E75" s="1322"/>
      <c r="F75" s="1322"/>
    </row>
    <row r="84" spans="6:6">
      <c r="F84" s="1273">
        <v>1</v>
      </c>
    </row>
  </sheetData>
  <dataConsolidate/>
  <mergeCells count="21">
    <mergeCell ref="A12:D12"/>
    <mergeCell ref="E4:E5"/>
    <mergeCell ref="C4:C5"/>
    <mergeCell ref="A13:D13"/>
    <mergeCell ref="C16:D17"/>
    <mergeCell ref="A1:T2"/>
    <mergeCell ref="O16:P17"/>
    <mergeCell ref="H4:H5"/>
    <mergeCell ref="G16:H17"/>
    <mergeCell ref="A4:B5"/>
    <mergeCell ref="I4:I5"/>
    <mergeCell ref="A16:A18"/>
    <mergeCell ref="E16:F17"/>
    <mergeCell ref="B16:B17"/>
    <mergeCell ref="D4:D5"/>
    <mergeCell ref="G4:G5"/>
    <mergeCell ref="M16:N17"/>
    <mergeCell ref="I16:J17"/>
    <mergeCell ref="F4:F5"/>
    <mergeCell ref="A14:D14"/>
    <mergeCell ref="K16:L17"/>
  </mergeCells>
  <phoneticPr fontId="138" type="noConversion"/>
  <dataValidations disablePrompts="1" count="2">
    <dataValidation type="list" allowBlank="1" showInputMessage="1" showErrorMessage="1" sqref="B49">
      <formula1>$A$19:$A$44</formula1>
    </dataValidation>
    <dataValidation type="list" allowBlank="1" showInputMessage="1" showErrorMessage="1" sqref="B50">
      <formula1>KALITE</formula1>
    </dataValidation>
  </dataValidations>
  <pageMargins left="0.75" right="0.75" top="1" bottom="1" header="0.5" footer="0.5"/>
  <pageSetup paperSize="9" orientation="portrait" horizontalDpi="1200" verticalDpi="12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I58"/>
  <sheetViews>
    <sheetView workbookViewId="0">
      <selection activeCell="B30" sqref="B30"/>
    </sheetView>
  </sheetViews>
  <sheetFormatPr defaultRowHeight="12"/>
  <cols>
    <col min="1" max="1" width="21" bestFit="1" customWidth="1"/>
    <col min="2" max="2" width="15.140625" customWidth="1"/>
    <col min="4" max="4" width="12.140625" bestFit="1" customWidth="1"/>
    <col min="5" max="5" width="15.42578125" customWidth="1"/>
  </cols>
  <sheetData>
    <row r="1" spans="1:9" ht="15.75" customHeight="1">
      <c r="A1" s="602"/>
      <c r="B1" s="602"/>
      <c r="C1" s="602"/>
      <c r="D1" s="603"/>
      <c r="E1" s="602"/>
      <c r="F1" s="602"/>
    </row>
    <row r="2" spans="1:9" ht="15.75" customHeight="1">
      <c r="A2" s="602"/>
      <c r="B2" s="602"/>
      <c r="C2" s="602"/>
      <c r="D2" s="602"/>
      <c r="E2" s="602"/>
      <c r="F2" s="602"/>
    </row>
    <row r="3" spans="1:9" ht="15.75" customHeight="1">
      <c r="A3" s="602"/>
      <c r="B3" s="602"/>
      <c r="C3" s="602"/>
      <c r="D3" s="602"/>
      <c r="E3" s="602"/>
      <c r="F3" s="602"/>
    </row>
    <row r="4" spans="1:9">
      <c r="F4" s="1"/>
      <c r="I4" s="1"/>
    </row>
    <row r="5" spans="1:9" ht="15.75">
      <c r="A5" s="586" t="s">
        <v>1</v>
      </c>
    </row>
    <row r="7" spans="1:9">
      <c r="A7" s="585" t="s">
        <v>2</v>
      </c>
      <c r="B7" s="585" t="s">
        <v>4</v>
      </c>
      <c r="C7" s="585" t="s">
        <v>5</v>
      </c>
      <c r="D7" s="585" t="s">
        <v>6</v>
      </c>
      <c r="E7" s="585" t="s">
        <v>18</v>
      </c>
      <c r="F7" s="585" t="s">
        <v>7</v>
      </c>
    </row>
    <row r="8" spans="1:9">
      <c r="B8" s="1"/>
      <c r="C8" s="1"/>
    </row>
    <row r="9" spans="1:9">
      <c r="A9" s="1">
        <v>1</v>
      </c>
      <c r="B9" s="1">
        <v>0</v>
      </c>
      <c r="C9" s="1">
        <v>0</v>
      </c>
      <c r="D9">
        <f t="shared" ref="D9:D19" si="0">C9*B9</f>
        <v>0</v>
      </c>
      <c r="E9">
        <f t="shared" ref="E9:E19" si="1">D9/$D$21</f>
        <v>0</v>
      </c>
      <c r="F9" s="580">
        <f t="shared" ref="F9:F18" si="2">($B$44-$B$46)*E9</f>
        <v>0</v>
      </c>
    </row>
    <row r="10" spans="1:9">
      <c r="A10" s="1">
        <v>2</v>
      </c>
      <c r="B10" s="577">
        <v>4.3</v>
      </c>
      <c r="C10" s="591">
        <v>394</v>
      </c>
      <c r="D10">
        <f t="shared" si="0"/>
        <v>1694.1999999999998</v>
      </c>
      <c r="E10" s="579">
        <f t="shared" si="1"/>
        <v>4.3900290215588715E-2</v>
      </c>
      <c r="F10" s="580">
        <f t="shared" si="2"/>
        <v>6.3492997271493783</v>
      </c>
    </row>
    <row r="11" spans="1:9">
      <c r="A11" s="1">
        <v>3</v>
      </c>
      <c r="B11" s="577">
        <v>7.8</v>
      </c>
      <c r="C11" s="591">
        <v>394</v>
      </c>
      <c r="D11">
        <f t="shared" si="0"/>
        <v>3073.2</v>
      </c>
      <c r="E11" s="579">
        <f t="shared" si="1"/>
        <v>7.9633084577114419E-2</v>
      </c>
      <c r="F11" s="580">
        <f t="shared" si="2"/>
        <v>11.517334388782594</v>
      </c>
    </row>
    <row r="12" spans="1:9">
      <c r="A12" s="1">
        <v>4</v>
      </c>
      <c r="B12" s="577">
        <v>11.3</v>
      </c>
      <c r="C12" s="591">
        <v>394</v>
      </c>
      <c r="D12">
        <f t="shared" si="0"/>
        <v>4452.2000000000007</v>
      </c>
      <c r="E12" s="579">
        <f t="shared" si="1"/>
        <v>0.11536587893864016</v>
      </c>
      <c r="F12" s="580">
        <f t="shared" si="2"/>
        <v>16.685369050415815</v>
      </c>
    </row>
    <row r="13" spans="1:9">
      <c r="A13" s="1">
        <v>5</v>
      </c>
      <c r="B13" s="577">
        <v>14.8</v>
      </c>
      <c r="C13" s="591">
        <v>394</v>
      </c>
      <c r="D13">
        <f t="shared" si="0"/>
        <v>5831.2000000000007</v>
      </c>
      <c r="E13" s="579">
        <f t="shared" si="1"/>
        <v>0.15109867330016585</v>
      </c>
      <c r="F13" s="580">
        <f t="shared" si="2"/>
        <v>21.85340371204903</v>
      </c>
    </row>
    <row r="14" spans="1:9">
      <c r="A14" s="1">
        <v>6</v>
      </c>
      <c r="B14" s="577">
        <v>18.3</v>
      </c>
      <c r="C14" s="591">
        <v>394</v>
      </c>
      <c r="D14">
        <f t="shared" si="0"/>
        <v>7210.2000000000007</v>
      </c>
      <c r="E14" s="579">
        <f t="shared" si="1"/>
        <v>0.18683146766169156</v>
      </c>
      <c r="F14" s="580">
        <f t="shared" si="2"/>
        <v>27.021438373682244</v>
      </c>
    </row>
    <row r="15" spans="1:9">
      <c r="A15" s="1">
        <v>7</v>
      </c>
      <c r="B15" s="577">
        <v>21.8</v>
      </c>
      <c r="C15" s="591">
        <v>394</v>
      </c>
      <c r="D15">
        <f t="shared" si="0"/>
        <v>8589.2000000000007</v>
      </c>
      <c r="E15" s="579">
        <f t="shared" si="1"/>
        <v>0.22256426202321727</v>
      </c>
      <c r="F15" s="580">
        <f t="shared" si="2"/>
        <v>32.189473035315459</v>
      </c>
    </row>
    <row r="16" spans="1:9">
      <c r="A16" s="1">
        <v>8</v>
      </c>
      <c r="B16" s="577">
        <v>0</v>
      </c>
      <c r="C16" s="591">
        <v>0</v>
      </c>
      <c r="D16">
        <f t="shared" si="0"/>
        <v>0</v>
      </c>
      <c r="E16">
        <f t="shared" si="1"/>
        <v>0</v>
      </c>
      <c r="F16" s="580">
        <f t="shared" si="2"/>
        <v>0</v>
      </c>
    </row>
    <row r="17" spans="1:6">
      <c r="A17" s="1"/>
      <c r="B17" s="577">
        <v>0</v>
      </c>
      <c r="C17" s="591">
        <v>0</v>
      </c>
      <c r="D17">
        <f t="shared" si="0"/>
        <v>0</v>
      </c>
      <c r="E17">
        <f t="shared" si="1"/>
        <v>0</v>
      </c>
      <c r="F17" s="580">
        <f t="shared" si="2"/>
        <v>0</v>
      </c>
    </row>
    <row r="18" spans="1:6">
      <c r="A18" s="1"/>
      <c r="B18" s="577">
        <v>0</v>
      </c>
      <c r="C18" s="591">
        <v>0</v>
      </c>
      <c r="D18">
        <f t="shared" si="0"/>
        <v>0</v>
      </c>
      <c r="E18">
        <f t="shared" si="1"/>
        <v>0</v>
      </c>
      <c r="F18" s="580">
        <f t="shared" si="2"/>
        <v>0</v>
      </c>
    </row>
    <row r="19" spans="1:6">
      <c r="A19" s="1" t="s">
        <v>3</v>
      </c>
      <c r="B19" s="577">
        <v>25.3</v>
      </c>
      <c r="C19" s="591">
        <v>306</v>
      </c>
      <c r="D19">
        <f t="shared" si="0"/>
        <v>7741.8</v>
      </c>
      <c r="E19" s="579">
        <f t="shared" si="1"/>
        <v>0.20060634328358209</v>
      </c>
      <c r="F19" s="580">
        <f>($B$44-$B$46)*E19+B46</f>
        <v>37.476028773042536</v>
      </c>
    </row>
    <row r="20" spans="1:6" ht="12.75" thickBot="1"/>
    <row r="21" spans="1:6" ht="12.75" thickBot="1">
      <c r="A21" s="584" t="s">
        <v>17</v>
      </c>
      <c r="C21" s="583">
        <f>SUM(C9:C19)</f>
        <v>2670</v>
      </c>
      <c r="D21" s="582">
        <f>SUM(D9:D19)</f>
        <v>38592</v>
      </c>
      <c r="F21" s="589">
        <f>SUM(F9:F19)</f>
        <v>153.09234706043705</v>
      </c>
    </row>
    <row r="28" spans="1:6">
      <c r="A28" t="s">
        <v>8</v>
      </c>
      <c r="B28" s="599">
        <f>IF(B29=1,0.4,IF(B29=2,0.3,IF(B29=3,0.2,0.1)))</f>
        <v>0.2</v>
      </c>
    </row>
    <row r="29" spans="1:6">
      <c r="B29">
        <v>3</v>
      </c>
    </row>
    <row r="31" spans="1:6">
      <c r="A31" t="s">
        <v>571</v>
      </c>
      <c r="B31" s="599">
        <f>INDEX(I,$D$31)</f>
        <v>1</v>
      </c>
      <c r="D31">
        <v>4</v>
      </c>
    </row>
    <row r="34" spans="1:4">
      <c r="A34" t="s">
        <v>614</v>
      </c>
      <c r="B34" s="592">
        <v>7</v>
      </c>
    </row>
    <row r="36" spans="1:4">
      <c r="A36" t="s">
        <v>9</v>
      </c>
      <c r="B36">
        <v>3</v>
      </c>
      <c r="C36" t="s">
        <v>15</v>
      </c>
      <c r="D36" s="599">
        <f>INDEX(Ta,$B$36)</f>
        <v>0.15</v>
      </c>
    </row>
    <row r="37" spans="1:4">
      <c r="C37" t="s">
        <v>16</v>
      </c>
      <c r="D37" s="599">
        <f>INDEX(Tb,$B$36)</f>
        <v>0.6</v>
      </c>
    </row>
    <row r="41" spans="1:4" ht="12.75" thickBot="1"/>
    <row r="42" spans="1:4" ht="12.75" thickBot="1">
      <c r="A42" s="581" t="s">
        <v>14</v>
      </c>
      <c r="B42" s="590">
        <f>0.07*B19^(3/4)</f>
        <v>0.78965689330613786</v>
      </c>
    </row>
    <row r="43" spans="1:4" ht="12.75" thickBot="1">
      <c r="A43" t="s">
        <v>10</v>
      </c>
      <c r="B43" s="561">
        <f>IF(B42&lt;=D36,1+1.5*B42/D36,IF(AND(D36&lt;B42,B42&lt;D37),2.5,IF(B42&gt;D37,2.5*(D37/B42)^0.8)))</f>
        <v>2.0068285195188378</v>
      </c>
    </row>
    <row r="44" spans="1:4" ht="12.75" thickBot="1">
      <c r="A44" s="581" t="s">
        <v>13</v>
      </c>
      <c r="B44" s="589">
        <f>C21*B28*B31*B43/B34</f>
        <v>153.09234706043705</v>
      </c>
    </row>
    <row r="46" spans="1:4">
      <c r="A46" s="587" t="s">
        <v>19</v>
      </c>
      <c r="B46" s="588">
        <f>IF(0.2*B44,0.07*B42*B44,"uygun degıl")</f>
        <v>8.4623299018082854</v>
      </c>
    </row>
    <row r="49" spans="1:5" ht="15.75">
      <c r="A49" s="586"/>
    </row>
    <row r="51" spans="1:5">
      <c r="A51" s="600"/>
      <c r="B51" s="601"/>
    </row>
    <row r="52" spans="1:5">
      <c r="A52" s="601"/>
    </row>
    <row r="53" spans="1:5">
      <c r="B53" s="561"/>
    </row>
    <row r="58" spans="1:5">
      <c r="E58" s="578"/>
    </row>
  </sheetData>
  <phoneticPr fontId="69" type="noConversion"/>
  <pageMargins left="0.75" right="0.75" top="1" bottom="1" header="0.5" footer="0.5"/>
  <pageSetup paperSize="9" orientation="portrait" horizontalDpi="96" verticalDpi="96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3571" r:id="rId4" name="Option Button 19">
              <controlPr defaultSize="0" autoFill="0" autoLine="0" autoPict="0">
                <anchor moveWithCells="1">
                  <from>
                    <xdr:col>0</xdr:col>
                    <xdr:colOff>1200150</xdr:colOff>
                    <xdr:row>28</xdr:row>
                    <xdr:rowOff>0</xdr:rowOff>
                  </from>
                  <to>
                    <xdr:col>2</xdr:col>
                    <xdr:colOff>57150</xdr:colOff>
                    <xdr:row>29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72" r:id="rId5" name="Option Button 20">
              <controlPr defaultSize="0" autoFill="0" autoLine="0" autoPict="0">
                <anchor moveWithCells="1">
                  <from>
                    <xdr:col>3</xdr:col>
                    <xdr:colOff>9525</xdr:colOff>
                    <xdr:row>27</xdr:row>
                    <xdr:rowOff>114300</xdr:rowOff>
                  </from>
                  <to>
                    <xdr:col>4</xdr:col>
                    <xdr:colOff>466725</xdr:colOff>
                    <xdr:row>29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73" r:id="rId6" name="Option Button 21">
              <controlPr defaultSize="0" autoFill="0" autoLine="0" autoPict="0">
                <anchor moveWithCells="1">
                  <from>
                    <xdr:col>5</xdr:col>
                    <xdr:colOff>57150</xdr:colOff>
                    <xdr:row>27</xdr:row>
                    <xdr:rowOff>85725</xdr:rowOff>
                  </from>
                  <to>
                    <xdr:col>7</xdr:col>
                    <xdr:colOff>104775</xdr:colOff>
                    <xdr:row>29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74" r:id="rId7" name="Option Button 22">
              <controlPr defaultSize="0" autoFill="0" autoLine="0" autoPict="0">
                <anchor moveWithCells="1">
                  <from>
                    <xdr:col>8</xdr:col>
                    <xdr:colOff>76200</xdr:colOff>
                    <xdr:row>27</xdr:row>
                    <xdr:rowOff>85725</xdr:rowOff>
                  </from>
                  <to>
                    <xdr:col>10</xdr:col>
                    <xdr:colOff>123825</xdr:colOff>
                    <xdr:row>29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75" r:id="rId8" name="Drop Down 23">
              <controlPr defaultSize="0" autoLine="0" autoPict="0">
                <anchor moveWithCells="1">
                  <from>
                    <xdr:col>1</xdr:col>
                    <xdr:colOff>314325</xdr:colOff>
                    <xdr:row>34</xdr:row>
                    <xdr:rowOff>142875</xdr:rowOff>
                  </from>
                  <to>
                    <xdr:col>1</xdr:col>
                    <xdr:colOff>990600</xdr:colOff>
                    <xdr:row>36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76" r:id="rId9" name="Drop Down 24">
              <controlPr defaultSize="0" autoLine="0" autoPict="0">
                <anchor moveWithCells="1">
                  <from>
                    <xdr:col>2</xdr:col>
                    <xdr:colOff>590550</xdr:colOff>
                    <xdr:row>30</xdr:row>
                    <xdr:rowOff>9525</xdr:rowOff>
                  </from>
                  <to>
                    <xdr:col>6</xdr:col>
                    <xdr:colOff>466725</xdr:colOff>
                    <xdr:row>31</xdr:row>
                    <xdr:rowOff>85725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J322"/>
  <sheetViews>
    <sheetView zoomScale="145" zoomScaleNormal="145" workbookViewId="0">
      <pane xSplit="2" ySplit="14" topLeftCell="C49" activePane="bottomRight" state="frozen"/>
      <selection pane="topRight" activeCell="C1" sqref="C1"/>
      <selection pane="bottomLeft" activeCell="A17" sqref="A17"/>
      <selection pane="bottomRight" activeCell="P52" sqref="P52"/>
    </sheetView>
  </sheetViews>
  <sheetFormatPr defaultColWidth="0" defaultRowHeight="0" customHeight="1" zeroHeight="1"/>
  <cols>
    <col min="1" max="1" width="14.7109375" style="98" customWidth="1"/>
    <col min="2" max="2" width="5.7109375" style="99" customWidth="1"/>
    <col min="3" max="3" width="6.140625" style="99" customWidth="1"/>
    <col min="4" max="4" width="4.140625" style="99" customWidth="1"/>
    <col min="5" max="6" width="5.140625" style="99" customWidth="1"/>
    <col min="7" max="7" width="3.85546875" style="99" customWidth="1"/>
    <col min="8" max="10" width="6.140625" style="99" customWidth="1"/>
    <col min="11" max="11" width="4.7109375" style="99" customWidth="1"/>
    <col min="12" max="12" width="4.85546875" style="160" customWidth="1"/>
    <col min="13" max="13" width="5.28515625" style="99" customWidth="1"/>
    <col min="14" max="15" width="5.7109375" style="99" customWidth="1"/>
    <col min="16" max="16" width="5.85546875" style="99" customWidth="1"/>
    <col min="17" max="18" width="5.7109375" style="99" customWidth="1"/>
    <col min="19" max="19" width="4.85546875" style="99" customWidth="1"/>
    <col min="20" max="20" width="6.42578125" style="99" customWidth="1"/>
    <col min="21" max="21" width="6.140625" style="99" customWidth="1"/>
    <col min="22" max="22" width="5.85546875" style="99" customWidth="1"/>
    <col min="23" max="23" width="5.7109375" style="99" customWidth="1"/>
    <col min="24" max="24" width="5" style="99" customWidth="1"/>
    <col min="25" max="25" width="4.85546875" style="99" customWidth="1"/>
    <col min="26" max="26" width="6.28515625" style="100" customWidth="1"/>
    <col min="27" max="27" width="7" style="100" customWidth="1"/>
    <col min="28" max="33" width="3.28515625" style="100" customWidth="1"/>
    <col min="34" max="34" width="2.7109375" style="99" customWidth="1"/>
    <col min="35" max="16384" width="10.85546875" style="99" hidden="1"/>
  </cols>
  <sheetData>
    <row r="1" spans="1:35" s="61" customFormat="1" ht="9.75" customHeight="1">
      <c r="B1" s="323"/>
      <c r="C1" s="323" t="s">
        <v>1715</v>
      </c>
      <c r="D1" s="323"/>
      <c r="E1" s="323"/>
      <c r="F1" s="324"/>
      <c r="G1" s="322"/>
      <c r="H1" s="324"/>
      <c r="I1" s="322"/>
      <c r="J1" s="322"/>
      <c r="K1" s="321"/>
      <c r="L1" s="324"/>
      <c r="M1" s="322"/>
      <c r="N1" s="322"/>
      <c r="O1" s="322"/>
      <c r="P1" s="322"/>
      <c r="Q1" s="322"/>
      <c r="R1" s="322"/>
      <c r="S1" s="322"/>
      <c r="T1" s="322"/>
      <c r="U1" s="322"/>
      <c r="V1" s="322"/>
      <c r="W1" s="322"/>
      <c r="X1" s="322"/>
      <c r="Y1" s="322"/>
      <c r="Z1" s="325"/>
      <c r="AA1" s="325"/>
      <c r="AB1" s="325"/>
      <c r="AC1" s="325"/>
      <c r="AD1" s="325"/>
      <c r="AE1" s="325"/>
      <c r="AF1" s="325"/>
      <c r="AG1" s="325"/>
      <c r="AH1" s="322"/>
    </row>
    <row r="2" spans="1:35" s="61" customFormat="1" ht="20.25">
      <c r="A2" s="361" t="s">
        <v>1817</v>
      </c>
      <c r="B2" s="323"/>
      <c r="C2" s="323"/>
      <c r="D2" s="323"/>
      <c r="E2" s="323"/>
      <c r="F2" s="324"/>
      <c r="G2" s="322"/>
      <c r="H2" s="324"/>
      <c r="I2" s="322"/>
      <c r="J2" s="322"/>
      <c r="K2" s="322"/>
      <c r="L2" s="324"/>
      <c r="M2" s="322"/>
      <c r="N2" s="322"/>
      <c r="O2" s="322"/>
      <c r="P2" s="322"/>
      <c r="Q2" s="322"/>
      <c r="R2" s="322"/>
      <c r="S2" s="322"/>
      <c r="T2" s="322"/>
      <c r="U2" s="322"/>
      <c r="V2" s="322"/>
      <c r="W2" s="322"/>
      <c r="X2" s="322"/>
      <c r="Y2" s="322"/>
      <c r="Z2" s="325"/>
      <c r="AA2" s="325"/>
      <c r="AB2" s="325"/>
      <c r="AC2" s="325"/>
      <c r="AD2" s="325"/>
      <c r="AE2" s="325"/>
      <c r="AF2" s="325"/>
      <c r="AG2" s="325"/>
      <c r="AH2" s="322"/>
    </row>
    <row r="3" spans="1:35" s="61" customFormat="1" ht="20.25">
      <c r="A3" s="361" t="s">
        <v>1818</v>
      </c>
      <c r="B3" s="323"/>
      <c r="C3" s="323"/>
      <c r="D3" s="323"/>
      <c r="E3" s="323"/>
      <c r="F3" s="324"/>
      <c r="G3" s="322"/>
      <c r="H3" s="324"/>
      <c r="I3" s="322"/>
      <c r="J3" s="322"/>
      <c r="K3" s="322"/>
      <c r="L3" s="324"/>
      <c r="M3" s="322"/>
      <c r="N3" s="322"/>
      <c r="O3" s="322"/>
      <c r="P3" s="322"/>
      <c r="Q3" s="322"/>
      <c r="R3" s="322"/>
      <c r="S3" s="322"/>
      <c r="T3" s="322"/>
      <c r="U3" s="322"/>
      <c r="V3" s="322"/>
      <c r="W3" s="322"/>
      <c r="X3" s="322"/>
      <c r="Y3" s="322"/>
      <c r="Z3" s="325"/>
      <c r="AA3" s="325"/>
      <c r="AB3" s="325"/>
      <c r="AC3" s="325"/>
      <c r="AD3" s="325"/>
      <c r="AE3" s="325"/>
      <c r="AF3" s="325"/>
      <c r="AG3" s="325"/>
      <c r="AH3" s="322"/>
    </row>
    <row r="4" spans="1:35" s="61" customFormat="1" ht="14.1" customHeight="1">
      <c r="A4" s="323" t="s">
        <v>566</v>
      </c>
      <c r="B4" s="323"/>
      <c r="C4" s="323"/>
      <c r="D4" s="323"/>
      <c r="E4" s="323"/>
      <c r="F4" s="324"/>
      <c r="G4" s="322"/>
      <c r="H4" s="324"/>
      <c r="I4" s="322"/>
      <c r="J4" s="322"/>
      <c r="K4" s="322"/>
      <c r="L4" s="324"/>
      <c r="M4" s="322"/>
      <c r="N4" s="322"/>
      <c r="O4" s="322"/>
      <c r="P4" s="322"/>
      <c r="Q4" s="322"/>
      <c r="R4" s="322"/>
      <c r="S4" s="322"/>
      <c r="T4" s="322"/>
      <c r="U4" s="322"/>
      <c r="V4" s="322"/>
      <c r="W4" s="322"/>
      <c r="X4" s="322"/>
      <c r="Y4" s="322"/>
      <c r="Z4" s="325"/>
      <c r="AA4" s="325"/>
      <c r="AB4" s="325"/>
      <c r="AC4" s="325"/>
      <c r="AD4" s="325"/>
      <c r="AE4" s="325"/>
      <c r="AF4" s="325"/>
      <c r="AG4" s="325"/>
      <c r="AH4" s="322"/>
    </row>
    <row r="5" spans="1:35" s="61" customFormat="1" ht="14.1" customHeight="1">
      <c r="A5" s="323" t="s">
        <v>1805</v>
      </c>
      <c r="B5" s="323"/>
      <c r="C5" s="323"/>
      <c r="D5" s="323"/>
      <c r="E5" s="323"/>
      <c r="F5" s="324"/>
      <c r="G5" s="322"/>
      <c r="H5" s="324"/>
      <c r="I5" s="322"/>
      <c r="J5" s="322"/>
      <c r="K5" s="322"/>
      <c r="L5" s="324"/>
      <c r="M5" s="322"/>
      <c r="N5" s="322"/>
      <c r="O5" s="322"/>
      <c r="P5" s="322"/>
      <c r="Q5" s="322"/>
      <c r="R5" s="322"/>
      <c r="S5" s="322"/>
      <c r="T5" s="322"/>
      <c r="U5" s="322"/>
      <c r="V5" s="322"/>
      <c r="W5" s="322"/>
      <c r="X5" s="322"/>
      <c r="Y5" s="322"/>
      <c r="Z5" s="325"/>
      <c r="AA5" s="325"/>
      <c r="AB5" s="325"/>
      <c r="AC5" s="325"/>
      <c r="AD5" s="325"/>
      <c r="AE5" s="325"/>
      <c r="AF5" s="325"/>
      <c r="AG5" s="325"/>
      <c r="AH5" s="322"/>
    </row>
    <row r="6" spans="1:35" s="61" customFormat="1" ht="14.1" customHeight="1">
      <c r="A6" s="323" t="s">
        <v>567</v>
      </c>
      <c r="B6" s="323"/>
      <c r="C6" s="323"/>
      <c r="D6" s="323"/>
      <c r="E6" s="323"/>
      <c r="F6" s="324"/>
      <c r="G6" s="322"/>
      <c r="H6" s="324"/>
      <c r="I6" s="322"/>
      <c r="J6" s="322"/>
      <c r="K6" s="322"/>
      <c r="L6" s="324"/>
      <c r="M6" s="322"/>
      <c r="N6" s="322"/>
      <c r="O6" s="322"/>
      <c r="P6" s="322"/>
      <c r="Q6" s="322"/>
      <c r="R6" s="322"/>
      <c r="S6" s="322"/>
      <c r="T6" s="322"/>
      <c r="U6" s="322"/>
      <c r="V6" s="322"/>
      <c r="W6" s="322">
        <v>62</v>
      </c>
      <c r="X6" s="322">
        <v>3.75</v>
      </c>
      <c r="Y6" s="322">
        <f>W6/X6</f>
        <v>16.533333333333335</v>
      </c>
      <c r="Z6" s="325">
        <v>2.5</v>
      </c>
      <c r="AA6" s="325">
        <f>Z6*Y6</f>
        <v>41.333333333333336</v>
      </c>
      <c r="AB6" s="325"/>
      <c r="AC6" s="325"/>
      <c r="AD6" s="325"/>
      <c r="AE6" s="325"/>
      <c r="AF6" s="325"/>
      <c r="AG6" s="325"/>
      <c r="AH6" s="322"/>
    </row>
    <row r="7" spans="1:35" s="61" customFormat="1" ht="14.1" customHeight="1">
      <c r="A7" s="323" t="s">
        <v>568</v>
      </c>
      <c r="B7" s="322"/>
      <c r="C7" s="322"/>
      <c r="D7" s="322"/>
      <c r="E7" s="322"/>
      <c r="F7" s="322"/>
      <c r="G7" s="322"/>
      <c r="H7" s="322"/>
      <c r="I7" s="322"/>
      <c r="J7" s="322"/>
      <c r="K7" s="322"/>
      <c r="L7" s="326"/>
      <c r="M7" s="322"/>
      <c r="N7" s="322"/>
      <c r="O7" s="322"/>
      <c r="P7" s="322"/>
      <c r="Q7" s="322"/>
      <c r="R7" s="322"/>
      <c r="S7" s="322"/>
      <c r="T7" s="322"/>
      <c r="U7" s="322"/>
      <c r="V7" s="322"/>
      <c r="W7" s="322"/>
      <c r="X7" s="322"/>
      <c r="Y7" s="322"/>
      <c r="Z7" s="325"/>
      <c r="AA7" s="325"/>
      <c r="AB7" s="325"/>
      <c r="AC7" s="325"/>
      <c r="AD7" s="325"/>
      <c r="AE7" s="325"/>
      <c r="AF7" s="325"/>
      <c r="AG7" s="325"/>
      <c r="AH7" s="322"/>
    </row>
    <row r="8" spans="1:35" s="61" customFormat="1" ht="19.5" customHeight="1" thickBot="1">
      <c r="A8" s="323" t="s">
        <v>569</v>
      </c>
      <c r="B8" s="322"/>
      <c r="C8" s="322"/>
      <c r="D8" s="322"/>
      <c r="E8" s="322"/>
      <c r="F8" s="322"/>
      <c r="G8" s="322"/>
      <c r="H8" s="322"/>
      <c r="I8" s="322"/>
      <c r="J8" s="322"/>
      <c r="K8" s="322"/>
      <c r="L8" s="326"/>
      <c r="M8" s="322"/>
      <c r="N8" s="322"/>
      <c r="O8" s="322"/>
      <c r="P8" s="322"/>
      <c r="Q8" s="322"/>
      <c r="R8" s="322"/>
      <c r="S8" s="322"/>
      <c r="T8" s="322"/>
      <c r="U8" s="322"/>
      <c r="V8" s="322"/>
      <c r="W8" s="322"/>
      <c r="X8" s="322"/>
      <c r="Y8" s="322"/>
      <c r="Z8" s="325"/>
      <c r="AA8" s="325"/>
      <c r="AB8" s="325"/>
      <c r="AC8" s="325"/>
      <c r="AD8" s="325"/>
      <c r="AE8" s="325"/>
      <c r="AF8" s="325"/>
      <c r="AG8" s="325"/>
      <c r="AH8" s="322"/>
    </row>
    <row r="9" spans="1:35" s="153" customFormat="1" ht="13.5" customHeight="1" thickTop="1" thickBot="1">
      <c r="A9" s="327"/>
      <c r="B9" s="328"/>
      <c r="C9" s="327"/>
      <c r="D9" s="363"/>
      <c r="E9" s="363"/>
      <c r="F9" s="363"/>
      <c r="G9" s="364"/>
      <c r="H9" s="366" t="s">
        <v>1799</v>
      </c>
      <c r="I9" s="327"/>
      <c r="J9" s="363"/>
      <c r="K9" s="363"/>
      <c r="L9" s="368"/>
      <c r="M9" s="364"/>
      <c r="N9" s="327"/>
      <c r="O9" s="364"/>
      <c r="P9" s="370"/>
      <c r="Q9" s="362"/>
      <c r="R9" s="362"/>
      <c r="S9" s="362"/>
      <c r="T9" s="362"/>
      <c r="U9" s="362" t="s">
        <v>1804</v>
      </c>
      <c r="V9" s="362"/>
      <c r="W9" s="362"/>
      <c r="X9" s="362"/>
      <c r="Y9" s="362"/>
      <c r="Z9" s="371"/>
      <c r="AA9" s="372"/>
      <c r="AB9" s="374"/>
      <c r="AC9" s="375"/>
      <c r="AD9" s="375" t="s">
        <v>1806</v>
      </c>
      <c r="AE9" s="375"/>
      <c r="AF9" s="375"/>
      <c r="AG9" s="376"/>
      <c r="AH9" s="66" t="s">
        <v>570</v>
      </c>
      <c r="AI9"/>
    </row>
    <row r="10" spans="1:35" s="153" customFormat="1" ht="13.5" customHeight="1" thickTop="1" thickBot="1">
      <c r="A10" s="329" t="s">
        <v>1799</v>
      </c>
      <c r="B10" s="330"/>
      <c r="C10" s="329"/>
      <c r="D10" s="360"/>
      <c r="E10" s="360" t="s">
        <v>1800</v>
      </c>
      <c r="F10" s="360"/>
      <c r="G10" s="365"/>
      <c r="H10" s="367" t="s">
        <v>1801</v>
      </c>
      <c r="I10" s="329"/>
      <c r="J10" s="360" t="s">
        <v>1802</v>
      </c>
      <c r="K10" s="360"/>
      <c r="L10" s="369"/>
      <c r="M10" s="365"/>
      <c r="N10" s="329" t="s">
        <v>1803</v>
      </c>
      <c r="O10" s="365"/>
      <c r="P10" s="370"/>
      <c r="Q10" s="362" t="s">
        <v>1859</v>
      </c>
      <c r="R10" s="362"/>
      <c r="S10" s="362"/>
      <c r="T10" s="373"/>
      <c r="U10" s="370"/>
      <c r="V10" s="362" t="s">
        <v>1860</v>
      </c>
      <c r="W10" s="362"/>
      <c r="X10" s="373"/>
      <c r="Y10" s="331"/>
      <c r="Z10" s="332"/>
      <c r="AA10" s="333"/>
      <c r="AB10" s="377"/>
      <c r="AC10" s="378"/>
      <c r="AD10" s="378" t="s">
        <v>1807</v>
      </c>
      <c r="AE10" s="378"/>
      <c r="AF10" s="378"/>
      <c r="AG10" s="379"/>
      <c r="AH10" s="66" t="s">
        <v>571</v>
      </c>
      <c r="AI10"/>
    </row>
    <row r="11" spans="1:35" s="153" customFormat="1" ht="13.5" customHeight="1" thickTop="1" thickBot="1">
      <c r="A11" s="69" t="s">
        <v>1775</v>
      </c>
      <c r="B11" s="67" t="s">
        <v>572</v>
      </c>
      <c r="C11" s="18" t="s">
        <v>573</v>
      </c>
      <c r="D11" s="18" t="s">
        <v>574</v>
      </c>
      <c r="E11" s="18" t="s">
        <v>575</v>
      </c>
      <c r="F11" s="18" t="s">
        <v>576</v>
      </c>
      <c r="G11" s="67" t="s">
        <v>577</v>
      </c>
      <c r="H11" s="67" t="s">
        <v>578</v>
      </c>
      <c r="I11" s="18" t="s">
        <v>579</v>
      </c>
      <c r="J11" s="18" t="s">
        <v>580</v>
      </c>
      <c r="K11" s="18" t="s">
        <v>581</v>
      </c>
      <c r="L11" s="130" t="s">
        <v>582</v>
      </c>
      <c r="M11" s="67" t="s">
        <v>583</v>
      </c>
      <c r="N11" s="18" t="s">
        <v>584</v>
      </c>
      <c r="O11" s="18" t="s">
        <v>585</v>
      </c>
      <c r="P11" s="18" t="s">
        <v>586</v>
      </c>
      <c r="Q11" s="18" t="s">
        <v>587</v>
      </c>
      <c r="R11" s="18" t="s">
        <v>588</v>
      </c>
      <c r="S11" s="18" t="s">
        <v>589</v>
      </c>
      <c r="T11" s="67" t="s">
        <v>590</v>
      </c>
      <c r="U11" s="18" t="s">
        <v>591</v>
      </c>
      <c r="V11" s="18" t="s">
        <v>592</v>
      </c>
      <c r="W11" s="18" t="s">
        <v>593</v>
      </c>
      <c r="X11" s="67" t="s">
        <v>594</v>
      </c>
      <c r="Y11" s="18" t="s">
        <v>595</v>
      </c>
      <c r="Z11" s="13" t="s">
        <v>596</v>
      </c>
      <c r="AA11" s="16" t="s">
        <v>597</v>
      </c>
      <c r="AB11" s="1788" t="s">
        <v>1808</v>
      </c>
      <c r="AC11" s="1789"/>
      <c r="AD11" s="1790"/>
      <c r="AE11" s="1791" t="s">
        <v>1809</v>
      </c>
      <c r="AF11" s="1792"/>
      <c r="AG11" s="1793"/>
      <c r="AH11" s="66" t="s">
        <v>598</v>
      </c>
      <c r="AI11"/>
    </row>
    <row r="12" spans="1:35" s="153" customFormat="1" ht="13.5" customHeight="1" thickTop="1" thickBot="1">
      <c r="A12" s="69"/>
      <c r="B12" s="67" t="s">
        <v>599</v>
      </c>
      <c r="C12" s="18" t="s">
        <v>600</v>
      </c>
      <c r="D12" s="18" t="s">
        <v>601</v>
      </c>
      <c r="E12" s="18" t="s">
        <v>601</v>
      </c>
      <c r="F12" s="18" t="s">
        <v>601</v>
      </c>
      <c r="G12" s="67" t="s">
        <v>601</v>
      </c>
      <c r="H12" s="67" t="s">
        <v>602</v>
      </c>
      <c r="I12" s="18" t="s">
        <v>601</v>
      </c>
      <c r="J12" s="18" t="s">
        <v>601</v>
      </c>
      <c r="K12" s="18"/>
      <c r="L12" s="129" t="s">
        <v>601</v>
      </c>
      <c r="M12" s="67" t="s">
        <v>601</v>
      </c>
      <c r="N12" s="18" t="s">
        <v>603</v>
      </c>
      <c r="O12" s="18" t="s">
        <v>604</v>
      </c>
      <c r="P12" s="18" t="s">
        <v>605</v>
      </c>
      <c r="Q12" s="18" t="s">
        <v>606</v>
      </c>
      <c r="R12" s="18" t="s">
        <v>606</v>
      </c>
      <c r="S12" s="18" t="s">
        <v>607</v>
      </c>
      <c r="T12" s="67" t="s">
        <v>608</v>
      </c>
      <c r="U12" s="18" t="s">
        <v>609</v>
      </c>
      <c r="V12" s="18" t="s">
        <v>610</v>
      </c>
      <c r="W12" s="18" t="s">
        <v>610</v>
      </c>
      <c r="X12" s="67" t="s">
        <v>607</v>
      </c>
      <c r="Y12" s="18" t="s">
        <v>601</v>
      </c>
      <c r="Z12" s="13" t="s">
        <v>611</v>
      </c>
      <c r="AA12" s="16" t="s">
        <v>612</v>
      </c>
      <c r="AB12" s="377"/>
      <c r="AH12" s="66" t="s">
        <v>613</v>
      </c>
      <c r="AI12"/>
    </row>
    <row r="13" spans="1:35" s="153" customFormat="1" ht="13.5" customHeight="1" thickTop="1" thickBot="1">
      <c r="A13" s="131"/>
      <c r="B13" s="132"/>
      <c r="C13" s="133"/>
      <c r="D13" s="133"/>
      <c r="E13" s="133"/>
      <c r="F13" s="133"/>
      <c r="G13" s="132"/>
      <c r="H13" s="132"/>
      <c r="I13" s="133"/>
      <c r="J13" s="133"/>
      <c r="K13" s="133"/>
      <c r="L13" s="134"/>
      <c r="M13" s="132"/>
      <c r="N13" s="133"/>
      <c r="O13" s="133"/>
      <c r="P13" s="133"/>
      <c r="Q13" s="133"/>
      <c r="R13" s="133"/>
      <c r="S13" s="133"/>
      <c r="T13" s="132"/>
      <c r="U13" s="133"/>
      <c r="V13" s="133"/>
      <c r="W13" s="133"/>
      <c r="X13" s="132"/>
      <c r="Y13" s="133"/>
      <c r="Z13" s="24"/>
      <c r="AA13" s="27"/>
      <c r="AB13" s="28">
        <v>235</v>
      </c>
      <c r="AC13" s="28">
        <v>355</v>
      </c>
      <c r="AD13" s="28">
        <v>460</v>
      </c>
      <c r="AE13" s="28">
        <v>235</v>
      </c>
      <c r="AF13" s="28">
        <v>355</v>
      </c>
      <c r="AG13" s="29">
        <v>460</v>
      </c>
      <c r="AH13" s="66" t="s">
        <v>578</v>
      </c>
      <c r="AI13" s="164"/>
    </row>
    <row r="14" spans="1:35" s="135" customFormat="1" ht="13.5" customHeight="1" thickTop="1">
      <c r="A14" s="135" t="s">
        <v>1775</v>
      </c>
      <c r="B14" s="67" t="s">
        <v>572</v>
      </c>
      <c r="C14" s="18" t="s">
        <v>573</v>
      </c>
      <c r="D14" s="18" t="s">
        <v>574</v>
      </c>
      <c r="E14" s="18" t="s">
        <v>575</v>
      </c>
      <c r="F14" s="18" t="s">
        <v>576</v>
      </c>
      <c r="G14" s="67" t="s">
        <v>577</v>
      </c>
      <c r="H14" s="67" t="s">
        <v>578</v>
      </c>
      <c r="I14" s="18" t="s">
        <v>579</v>
      </c>
      <c r="J14" s="18" t="s">
        <v>580</v>
      </c>
      <c r="K14" s="18" t="s">
        <v>581</v>
      </c>
      <c r="L14" s="130" t="s">
        <v>582</v>
      </c>
      <c r="M14" s="67" t="s">
        <v>583</v>
      </c>
      <c r="N14" s="18" t="s">
        <v>584</v>
      </c>
      <c r="O14" s="18" t="s">
        <v>585</v>
      </c>
      <c r="P14" s="18" t="s">
        <v>586</v>
      </c>
      <c r="Q14" s="18" t="s">
        <v>587</v>
      </c>
      <c r="R14" s="18" t="s">
        <v>588</v>
      </c>
      <c r="S14" s="18" t="s">
        <v>589</v>
      </c>
      <c r="T14" s="67" t="s">
        <v>590</v>
      </c>
      <c r="U14" s="18" t="s">
        <v>591</v>
      </c>
      <c r="V14" s="18" t="s">
        <v>592</v>
      </c>
      <c r="W14" s="18" t="s">
        <v>593</v>
      </c>
      <c r="X14" s="67" t="s">
        <v>594</v>
      </c>
      <c r="Y14" s="18" t="s">
        <v>595</v>
      </c>
      <c r="Z14" s="13" t="s">
        <v>596</v>
      </c>
      <c r="AA14" s="16" t="s">
        <v>597</v>
      </c>
      <c r="AB14" s="137"/>
      <c r="AC14" s="137"/>
      <c r="AD14" s="137"/>
      <c r="AE14" s="137"/>
      <c r="AF14" s="137"/>
      <c r="AG14" s="137"/>
      <c r="AH14" s="99" t="s">
        <v>614</v>
      </c>
    </row>
    <row r="15" spans="1:35" ht="13.5" customHeight="1">
      <c r="A15" s="81" t="s">
        <v>615</v>
      </c>
      <c r="B15" s="139">
        <v>6.9</v>
      </c>
      <c r="C15" s="83">
        <v>98</v>
      </c>
      <c r="D15" s="83">
        <v>55</v>
      </c>
      <c r="E15" s="84">
        <v>3.6</v>
      </c>
      <c r="F15" s="84">
        <v>4.7</v>
      </c>
      <c r="G15" s="90">
        <v>7</v>
      </c>
      <c r="H15" s="91">
        <v>8.7799999999999994</v>
      </c>
      <c r="I15" s="84">
        <v>88.6</v>
      </c>
      <c r="J15" s="84">
        <v>74.599999999999994</v>
      </c>
      <c r="K15" s="83" t="s">
        <v>616</v>
      </c>
      <c r="L15" s="86" t="s">
        <v>616</v>
      </c>
      <c r="M15" s="87" t="s">
        <v>616</v>
      </c>
      <c r="N15" s="88">
        <v>0.39700000000000002</v>
      </c>
      <c r="O15" s="89">
        <v>57.57</v>
      </c>
      <c r="P15" s="84">
        <v>141.19999999999999</v>
      </c>
      <c r="Q15" s="89">
        <v>28.81</v>
      </c>
      <c r="R15" s="89">
        <v>32.979999999999997</v>
      </c>
      <c r="S15" s="89">
        <v>4.01</v>
      </c>
      <c r="T15" s="91">
        <v>4.4400000000000004</v>
      </c>
      <c r="U15" s="89">
        <v>13.12</v>
      </c>
      <c r="V15" s="89">
        <v>4.7699999999999996</v>
      </c>
      <c r="W15" s="89">
        <v>7.54</v>
      </c>
      <c r="X15" s="91">
        <v>1.22</v>
      </c>
      <c r="Y15" s="89">
        <v>21.2</v>
      </c>
      <c r="Z15" s="40">
        <v>0.77</v>
      </c>
      <c r="AA15" s="48">
        <v>0.28000000000000003</v>
      </c>
      <c r="AB15" s="21">
        <v>1</v>
      </c>
      <c r="AC15" s="21">
        <v>1</v>
      </c>
      <c r="AD15" s="43" t="s">
        <v>616</v>
      </c>
      <c r="AE15" s="21">
        <v>1</v>
      </c>
      <c r="AF15" s="21">
        <v>1</v>
      </c>
      <c r="AG15" s="42" t="s">
        <v>616</v>
      </c>
      <c r="AH15" s="83"/>
    </row>
    <row r="16" spans="1:35" s="350" customFormat="1" ht="13.5" customHeight="1">
      <c r="A16" s="334" t="s">
        <v>617</v>
      </c>
      <c r="B16" s="335">
        <v>8.1</v>
      </c>
      <c r="C16" s="336">
        <v>100</v>
      </c>
      <c r="D16" s="336">
        <v>55</v>
      </c>
      <c r="E16" s="337">
        <v>4.0999999999999996</v>
      </c>
      <c r="F16" s="337">
        <v>5.7</v>
      </c>
      <c r="G16" s="338">
        <v>7</v>
      </c>
      <c r="H16" s="339">
        <v>10.32</v>
      </c>
      <c r="I16" s="340">
        <v>88.6</v>
      </c>
      <c r="J16" s="337">
        <v>74.599999999999994</v>
      </c>
      <c r="K16" s="336" t="s">
        <v>616</v>
      </c>
      <c r="L16" s="341" t="s">
        <v>616</v>
      </c>
      <c r="M16" s="342" t="s">
        <v>616</v>
      </c>
      <c r="N16" s="343">
        <v>0.4</v>
      </c>
      <c r="O16" s="344">
        <v>49.33</v>
      </c>
      <c r="P16" s="337">
        <v>171</v>
      </c>
      <c r="Q16" s="344">
        <v>34.200000000000003</v>
      </c>
      <c r="R16" s="344">
        <v>39.409999999999997</v>
      </c>
      <c r="S16" s="344">
        <v>4.07</v>
      </c>
      <c r="T16" s="339">
        <v>5.08</v>
      </c>
      <c r="U16" s="344">
        <v>15.92</v>
      </c>
      <c r="V16" s="344">
        <v>5.79</v>
      </c>
      <c r="W16" s="344">
        <v>9.15</v>
      </c>
      <c r="X16" s="339">
        <v>1.24</v>
      </c>
      <c r="Y16" s="344">
        <v>23.7</v>
      </c>
      <c r="Z16" s="345">
        <v>1.2</v>
      </c>
      <c r="AA16" s="346">
        <v>0.35</v>
      </c>
      <c r="AB16" s="347">
        <v>1</v>
      </c>
      <c r="AC16" s="347">
        <v>1</v>
      </c>
      <c r="AD16" s="348" t="s">
        <v>616</v>
      </c>
      <c r="AE16" s="347">
        <v>1</v>
      </c>
      <c r="AF16" s="347">
        <v>1</v>
      </c>
      <c r="AG16" s="349" t="s">
        <v>616</v>
      </c>
      <c r="AH16" s="336"/>
    </row>
    <row r="17" spans="1:34" ht="13.5" customHeight="1">
      <c r="A17" s="81"/>
      <c r="B17" s="139"/>
      <c r="C17" s="83"/>
      <c r="D17" s="83"/>
      <c r="E17" s="84"/>
      <c r="F17" s="84"/>
      <c r="G17" s="90"/>
      <c r="H17" s="91"/>
      <c r="I17" s="165"/>
      <c r="J17" s="84"/>
      <c r="K17" s="83"/>
      <c r="L17" s="86"/>
      <c r="M17" s="87"/>
      <c r="N17" s="88"/>
      <c r="O17" s="89"/>
      <c r="P17" s="84"/>
      <c r="Q17" s="89"/>
      <c r="R17" s="89"/>
      <c r="S17" s="89"/>
      <c r="T17" s="91"/>
      <c r="U17" s="89"/>
      <c r="V17" s="89"/>
      <c r="W17" s="89"/>
      <c r="X17" s="91"/>
      <c r="Y17" s="89"/>
      <c r="Z17" s="40"/>
      <c r="AA17" s="48"/>
      <c r="AB17" s="21"/>
      <c r="AC17" s="21"/>
      <c r="AD17" s="43"/>
      <c r="AE17" s="21"/>
      <c r="AF17" s="21"/>
      <c r="AG17" s="42"/>
      <c r="AH17" s="83"/>
    </row>
    <row r="18" spans="1:34" s="350" customFormat="1" ht="13.5" customHeight="1">
      <c r="A18" s="334" t="s">
        <v>618</v>
      </c>
      <c r="B18" s="335">
        <v>8.6999999999999993</v>
      </c>
      <c r="C18" s="336">
        <v>117.6</v>
      </c>
      <c r="D18" s="336">
        <v>64</v>
      </c>
      <c r="E18" s="337">
        <v>3.8</v>
      </c>
      <c r="F18" s="337">
        <v>5.0999999999999996</v>
      </c>
      <c r="G18" s="338">
        <v>7</v>
      </c>
      <c r="H18" s="339">
        <v>11.03</v>
      </c>
      <c r="I18" s="337">
        <v>107.4</v>
      </c>
      <c r="J18" s="337">
        <v>93.4</v>
      </c>
      <c r="K18" s="336" t="s">
        <v>616</v>
      </c>
      <c r="L18" s="341" t="s">
        <v>616</v>
      </c>
      <c r="M18" s="342" t="s">
        <v>616</v>
      </c>
      <c r="N18" s="343">
        <v>0.47199999999999998</v>
      </c>
      <c r="O18" s="344">
        <v>54.47</v>
      </c>
      <c r="P18" s="337">
        <v>257.39999999999998</v>
      </c>
      <c r="Q18" s="344">
        <v>43.77</v>
      </c>
      <c r="R18" s="344">
        <v>49.87</v>
      </c>
      <c r="S18" s="344">
        <v>4.83</v>
      </c>
      <c r="T18" s="339">
        <v>5.41</v>
      </c>
      <c r="U18" s="344">
        <v>22.39</v>
      </c>
      <c r="V18" s="344">
        <v>7</v>
      </c>
      <c r="W18" s="344">
        <v>10.98</v>
      </c>
      <c r="X18" s="339">
        <v>1.42</v>
      </c>
      <c r="Y18" s="344">
        <v>22.2</v>
      </c>
      <c r="Z18" s="345">
        <v>1.04</v>
      </c>
      <c r="AA18" s="346">
        <v>0.71</v>
      </c>
      <c r="AB18" s="347">
        <v>1</v>
      </c>
      <c r="AC18" s="347">
        <v>1</v>
      </c>
      <c r="AD18" s="348" t="s">
        <v>616</v>
      </c>
      <c r="AE18" s="347">
        <v>1</v>
      </c>
      <c r="AF18" s="347">
        <v>1</v>
      </c>
      <c r="AG18" s="349" t="s">
        <v>616</v>
      </c>
      <c r="AH18" s="336"/>
    </row>
    <row r="19" spans="1:34" ht="13.5" customHeight="1">
      <c r="A19" s="81" t="s">
        <v>619</v>
      </c>
      <c r="B19" s="139">
        <v>10.4</v>
      </c>
      <c r="C19" s="83">
        <v>120</v>
      </c>
      <c r="D19" s="83">
        <v>64</v>
      </c>
      <c r="E19" s="84">
        <v>4.4000000000000004</v>
      </c>
      <c r="F19" s="84">
        <v>6.3</v>
      </c>
      <c r="G19" s="90">
        <v>7</v>
      </c>
      <c r="H19" s="91">
        <v>13.21</v>
      </c>
      <c r="I19" s="84">
        <v>107.4</v>
      </c>
      <c r="J19" s="84">
        <v>93.4</v>
      </c>
      <c r="K19" s="83" t="s">
        <v>616</v>
      </c>
      <c r="L19" s="86" t="s">
        <v>616</v>
      </c>
      <c r="M19" s="87" t="s">
        <v>616</v>
      </c>
      <c r="N19" s="88">
        <v>0.47499999999999998</v>
      </c>
      <c r="O19" s="89">
        <v>45.82</v>
      </c>
      <c r="P19" s="84">
        <v>317.8</v>
      </c>
      <c r="Q19" s="89">
        <v>52.96</v>
      </c>
      <c r="R19" s="89">
        <v>60.73</v>
      </c>
      <c r="S19" s="89">
        <v>4.9000000000000004</v>
      </c>
      <c r="T19" s="91">
        <v>6.31</v>
      </c>
      <c r="U19" s="89">
        <v>27.67</v>
      </c>
      <c r="V19" s="89">
        <v>8.65</v>
      </c>
      <c r="W19" s="89">
        <v>13.58</v>
      </c>
      <c r="X19" s="91">
        <v>1.45</v>
      </c>
      <c r="Y19" s="89">
        <v>25.2</v>
      </c>
      <c r="Z19" s="40">
        <v>1.74</v>
      </c>
      <c r="AA19" s="48">
        <v>0.89</v>
      </c>
      <c r="AB19" s="21">
        <v>1</v>
      </c>
      <c r="AC19" s="21">
        <v>1</v>
      </c>
      <c r="AD19" s="43" t="s">
        <v>616</v>
      </c>
      <c r="AE19" s="21">
        <v>1</v>
      </c>
      <c r="AF19" s="21">
        <v>1</v>
      </c>
      <c r="AG19" s="42" t="s">
        <v>616</v>
      </c>
      <c r="AH19" s="83"/>
    </row>
    <row r="20" spans="1:34" ht="13.5" customHeight="1">
      <c r="A20" s="81"/>
      <c r="B20" s="139"/>
      <c r="C20" s="83"/>
      <c r="D20" s="83"/>
      <c r="E20" s="84"/>
      <c r="F20" s="84"/>
      <c r="G20" s="90"/>
      <c r="H20" s="91"/>
      <c r="I20" s="84"/>
      <c r="J20" s="84"/>
      <c r="K20" s="83"/>
      <c r="L20" s="86"/>
      <c r="M20" s="87"/>
      <c r="N20" s="88"/>
      <c r="O20" s="89"/>
      <c r="P20" s="84"/>
      <c r="Q20" s="89"/>
      <c r="R20" s="89"/>
      <c r="S20" s="89"/>
      <c r="T20" s="91"/>
      <c r="U20" s="89"/>
      <c r="V20" s="89"/>
      <c r="W20" s="89"/>
      <c r="X20" s="91"/>
      <c r="Y20" s="89"/>
      <c r="Z20" s="40"/>
      <c r="AA20" s="48"/>
      <c r="AB20" s="21"/>
      <c r="AC20" s="21"/>
      <c r="AD20" s="43"/>
      <c r="AE20" s="21"/>
      <c r="AF20" s="21"/>
      <c r="AG20" s="42"/>
      <c r="AH20" s="83"/>
    </row>
    <row r="21" spans="1:34" s="350" customFormat="1" ht="13.5" customHeight="1">
      <c r="A21" s="334" t="s">
        <v>620</v>
      </c>
      <c r="B21" s="335">
        <v>10.5</v>
      </c>
      <c r="C21" s="336">
        <v>137.4</v>
      </c>
      <c r="D21" s="336">
        <v>73</v>
      </c>
      <c r="E21" s="337">
        <v>3.8</v>
      </c>
      <c r="F21" s="337">
        <v>5.6</v>
      </c>
      <c r="G21" s="338">
        <v>7</v>
      </c>
      <c r="H21" s="339">
        <v>13.39</v>
      </c>
      <c r="I21" s="337">
        <v>126.2</v>
      </c>
      <c r="J21" s="337">
        <v>112.2</v>
      </c>
      <c r="K21" s="336" t="s">
        <v>616</v>
      </c>
      <c r="L21" s="341" t="s">
        <v>616</v>
      </c>
      <c r="M21" s="342" t="s">
        <v>616</v>
      </c>
      <c r="N21" s="343">
        <v>0.54700000000000004</v>
      </c>
      <c r="O21" s="344">
        <v>52.05</v>
      </c>
      <c r="P21" s="337">
        <v>434.9</v>
      </c>
      <c r="Q21" s="344">
        <v>63.3</v>
      </c>
      <c r="R21" s="344">
        <v>71.599999999999994</v>
      </c>
      <c r="S21" s="344">
        <v>5.7</v>
      </c>
      <c r="T21" s="339">
        <v>6.21</v>
      </c>
      <c r="U21" s="344">
        <v>36.42</v>
      </c>
      <c r="V21" s="344">
        <v>9.98</v>
      </c>
      <c r="W21" s="344">
        <v>15.52</v>
      </c>
      <c r="X21" s="339">
        <v>1.65</v>
      </c>
      <c r="Y21" s="344">
        <v>23.2</v>
      </c>
      <c r="Z21" s="345">
        <v>1.36</v>
      </c>
      <c r="AA21" s="346">
        <v>1.58</v>
      </c>
      <c r="AB21" s="347">
        <v>1</v>
      </c>
      <c r="AC21" s="347">
        <v>1</v>
      </c>
      <c r="AD21" s="348" t="s">
        <v>616</v>
      </c>
      <c r="AE21" s="347">
        <v>1</v>
      </c>
      <c r="AF21" s="347">
        <v>2</v>
      </c>
      <c r="AG21" s="349" t="s">
        <v>616</v>
      </c>
      <c r="AH21" s="336"/>
    </row>
    <row r="22" spans="1:34" ht="13.5" customHeight="1">
      <c r="A22" s="81" t="s">
        <v>621</v>
      </c>
      <c r="B22" s="139">
        <v>12.9</v>
      </c>
      <c r="C22" s="83">
        <v>140</v>
      </c>
      <c r="D22" s="83">
        <v>73</v>
      </c>
      <c r="E22" s="84">
        <v>4.7</v>
      </c>
      <c r="F22" s="84">
        <v>6.9</v>
      </c>
      <c r="G22" s="90">
        <v>7</v>
      </c>
      <c r="H22" s="91">
        <v>16.43</v>
      </c>
      <c r="I22" s="84">
        <v>126.2</v>
      </c>
      <c r="J22" s="84">
        <v>112.2</v>
      </c>
      <c r="K22" s="83" t="s">
        <v>616</v>
      </c>
      <c r="L22" s="86" t="s">
        <v>616</v>
      </c>
      <c r="M22" s="87" t="s">
        <v>616</v>
      </c>
      <c r="N22" s="88">
        <v>0.55100000000000005</v>
      </c>
      <c r="O22" s="89">
        <v>42.7</v>
      </c>
      <c r="P22" s="84">
        <v>541.20000000000005</v>
      </c>
      <c r="Q22" s="89">
        <v>77.319999999999993</v>
      </c>
      <c r="R22" s="89">
        <v>88.34</v>
      </c>
      <c r="S22" s="89">
        <v>5.74</v>
      </c>
      <c r="T22" s="91">
        <v>7.64</v>
      </c>
      <c r="U22" s="89">
        <v>44.92</v>
      </c>
      <c r="V22" s="89">
        <v>12.31</v>
      </c>
      <c r="W22" s="89">
        <v>19.25</v>
      </c>
      <c r="X22" s="91">
        <v>1.65</v>
      </c>
      <c r="Y22" s="89">
        <v>26.7</v>
      </c>
      <c r="Z22" s="40">
        <v>2.4500000000000002</v>
      </c>
      <c r="AA22" s="48">
        <v>1.98</v>
      </c>
      <c r="AB22" s="21">
        <v>1</v>
      </c>
      <c r="AC22" s="21">
        <v>1</v>
      </c>
      <c r="AD22" s="43" t="s">
        <v>616</v>
      </c>
      <c r="AE22" s="21">
        <v>1</v>
      </c>
      <c r="AF22" s="21">
        <v>1</v>
      </c>
      <c r="AG22" s="42" t="s">
        <v>616</v>
      </c>
      <c r="AH22" s="83"/>
    </row>
    <row r="23" spans="1:34" ht="13.5" customHeight="1">
      <c r="A23" s="81"/>
      <c r="B23" s="139"/>
      <c r="C23" s="83"/>
      <c r="D23" s="83"/>
      <c r="E23" s="84"/>
      <c r="F23" s="84"/>
      <c r="G23" s="90"/>
      <c r="H23" s="91"/>
      <c r="I23" s="84"/>
      <c r="J23" s="84"/>
      <c r="K23" s="83"/>
      <c r="L23" s="86"/>
      <c r="M23" s="87"/>
      <c r="N23" s="88"/>
      <c r="O23" s="89"/>
      <c r="P23" s="84"/>
      <c r="Q23" s="89"/>
      <c r="R23" s="89"/>
      <c r="S23" s="89"/>
      <c r="T23" s="91"/>
      <c r="U23" s="89"/>
      <c r="V23" s="89"/>
      <c r="W23" s="89"/>
      <c r="X23" s="91"/>
      <c r="Y23" s="89"/>
      <c r="Z23" s="40"/>
      <c r="AA23" s="48"/>
      <c r="AB23" s="21"/>
      <c r="AC23" s="21"/>
      <c r="AD23" s="43"/>
      <c r="AE23" s="21"/>
      <c r="AF23" s="21"/>
      <c r="AG23" s="42"/>
      <c r="AH23" s="83"/>
    </row>
    <row r="24" spans="1:34" s="350" customFormat="1" ht="13.5" customHeight="1">
      <c r="A24" s="334" t="s">
        <v>622</v>
      </c>
      <c r="B24" s="335">
        <v>12.7</v>
      </c>
      <c r="C24" s="336">
        <v>157</v>
      </c>
      <c r="D24" s="336">
        <v>82</v>
      </c>
      <c r="E24" s="337">
        <v>4</v>
      </c>
      <c r="F24" s="337">
        <v>5.9</v>
      </c>
      <c r="G24" s="338">
        <v>9</v>
      </c>
      <c r="H24" s="339">
        <v>16.18</v>
      </c>
      <c r="I24" s="337">
        <v>145.19999999999999</v>
      </c>
      <c r="J24" s="337">
        <v>127.2</v>
      </c>
      <c r="K24" s="336" t="s">
        <v>616</v>
      </c>
      <c r="L24" s="341" t="s">
        <v>616</v>
      </c>
      <c r="M24" s="342" t="s">
        <v>616</v>
      </c>
      <c r="N24" s="343">
        <v>0.61899999999999999</v>
      </c>
      <c r="O24" s="344">
        <v>48.7</v>
      </c>
      <c r="P24" s="337">
        <v>689.3</v>
      </c>
      <c r="Q24" s="344">
        <v>87.81</v>
      </c>
      <c r="R24" s="344">
        <v>99.09</v>
      </c>
      <c r="S24" s="344">
        <v>6.53</v>
      </c>
      <c r="T24" s="339">
        <v>7.8</v>
      </c>
      <c r="U24" s="344">
        <v>54.43</v>
      </c>
      <c r="V24" s="344">
        <v>13.27</v>
      </c>
      <c r="W24" s="344">
        <v>20.7</v>
      </c>
      <c r="X24" s="339">
        <v>1.83</v>
      </c>
      <c r="Y24" s="344">
        <v>26.34</v>
      </c>
      <c r="Z24" s="345">
        <v>1.96</v>
      </c>
      <c r="AA24" s="346">
        <v>3.09</v>
      </c>
      <c r="AB24" s="347">
        <v>1</v>
      </c>
      <c r="AC24" s="347">
        <v>1</v>
      </c>
      <c r="AD24" s="348" t="s">
        <v>616</v>
      </c>
      <c r="AE24" s="347">
        <v>1</v>
      </c>
      <c r="AF24" s="347">
        <v>3</v>
      </c>
      <c r="AG24" s="349" t="s">
        <v>616</v>
      </c>
      <c r="AH24" s="336"/>
    </row>
    <row r="25" spans="1:34" ht="13.5" customHeight="1">
      <c r="A25" s="81" t="s">
        <v>623</v>
      </c>
      <c r="B25" s="139">
        <v>15.8</v>
      </c>
      <c r="C25" s="83">
        <v>160</v>
      </c>
      <c r="D25" s="83">
        <v>82</v>
      </c>
      <c r="E25" s="84">
        <v>5</v>
      </c>
      <c r="F25" s="84">
        <v>7.4</v>
      </c>
      <c r="G25" s="90">
        <v>9</v>
      </c>
      <c r="H25" s="91">
        <v>20.09</v>
      </c>
      <c r="I25" s="84">
        <v>145.19999999999999</v>
      </c>
      <c r="J25" s="84">
        <v>127.2</v>
      </c>
      <c r="K25" s="83" t="s">
        <v>616</v>
      </c>
      <c r="L25" s="86" t="s">
        <v>616</v>
      </c>
      <c r="M25" s="87" t="s">
        <v>616</v>
      </c>
      <c r="N25" s="88">
        <v>0.623</v>
      </c>
      <c r="O25" s="89">
        <v>39.47</v>
      </c>
      <c r="P25" s="84">
        <v>869.3</v>
      </c>
      <c r="Q25" s="84">
        <v>108.7</v>
      </c>
      <c r="R25" s="84">
        <v>123.9</v>
      </c>
      <c r="S25" s="89">
        <v>6.58</v>
      </c>
      <c r="T25" s="91">
        <v>9.66</v>
      </c>
      <c r="U25" s="89">
        <v>68.31</v>
      </c>
      <c r="V25" s="89">
        <v>16.66</v>
      </c>
      <c r="W25" s="89">
        <v>26.1</v>
      </c>
      <c r="X25" s="91">
        <v>1.84</v>
      </c>
      <c r="Y25" s="89">
        <v>30.34</v>
      </c>
      <c r="Z25" s="40">
        <v>3.6</v>
      </c>
      <c r="AA25" s="48">
        <v>3.96</v>
      </c>
      <c r="AB25" s="21">
        <v>1</v>
      </c>
      <c r="AC25" s="21">
        <v>1</v>
      </c>
      <c r="AD25" s="43" t="s">
        <v>616</v>
      </c>
      <c r="AE25" s="21">
        <v>1</v>
      </c>
      <c r="AF25" s="21">
        <v>1</v>
      </c>
      <c r="AG25" s="42" t="s">
        <v>616</v>
      </c>
      <c r="AH25" s="83"/>
    </row>
    <row r="26" spans="1:34" ht="13.5" customHeight="1">
      <c r="A26" s="81"/>
      <c r="B26" s="139"/>
      <c r="C26" s="83"/>
      <c r="D26" s="83"/>
      <c r="E26" s="84"/>
      <c r="F26" s="84"/>
      <c r="G26" s="90"/>
      <c r="H26" s="91"/>
      <c r="I26" s="84"/>
      <c r="J26" s="84"/>
      <c r="K26" s="83"/>
      <c r="L26" s="86"/>
      <c r="M26" s="87"/>
      <c r="N26" s="88"/>
      <c r="O26" s="89"/>
      <c r="P26" s="86"/>
      <c r="Q26" s="84"/>
      <c r="R26" s="84"/>
      <c r="S26" s="89"/>
      <c r="T26" s="91"/>
      <c r="U26" s="89"/>
      <c r="V26" s="89"/>
      <c r="W26" s="89"/>
      <c r="X26" s="91"/>
      <c r="Y26" s="89"/>
      <c r="Z26" s="40"/>
      <c r="AA26" s="48"/>
      <c r="AB26" s="21"/>
      <c r="AC26" s="21"/>
      <c r="AD26" s="43"/>
      <c r="AE26" s="21"/>
      <c r="AF26" s="21"/>
      <c r="AG26" s="42"/>
      <c r="AH26" s="83"/>
    </row>
    <row r="27" spans="1:34" s="350" customFormat="1" ht="13.5" customHeight="1">
      <c r="A27" s="334" t="s">
        <v>624</v>
      </c>
      <c r="B27" s="335">
        <v>15.4</v>
      </c>
      <c r="C27" s="336">
        <v>177</v>
      </c>
      <c r="D27" s="336">
        <v>91</v>
      </c>
      <c r="E27" s="337">
        <v>4.3</v>
      </c>
      <c r="F27" s="337">
        <v>6.5</v>
      </c>
      <c r="G27" s="338">
        <v>9</v>
      </c>
      <c r="H27" s="339">
        <v>19.579999999999998</v>
      </c>
      <c r="I27" s="337">
        <v>164</v>
      </c>
      <c r="J27" s="337">
        <v>146</v>
      </c>
      <c r="K27" s="336" t="s">
        <v>625</v>
      </c>
      <c r="L27" s="341">
        <v>48</v>
      </c>
      <c r="M27" s="342">
        <v>48</v>
      </c>
      <c r="N27" s="343">
        <v>0.69399999999999995</v>
      </c>
      <c r="O27" s="344">
        <v>45.15</v>
      </c>
      <c r="P27" s="341">
        <v>1063</v>
      </c>
      <c r="Q27" s="337">
        <v>120.1</v>
      </c>
      <c r="R27" s="337">
        <v>135.30000000000001</v>
      </c>
      <c r="S27" s="344">
        <v>7.37</v>
      </c>
      <c r="T27" s="339">
        <v>9.1999999999999993</v>
      </c>
      <c r="U27" s="344">
        <v>81.89</v>
      </c>
      <c r="V27" s="344">
        <v>18</v>
      </c>
      <c r="W27" s="344">
        <v>27.96</v>
      </c>
      <c r="X27" s="339">
        <v>2.0499999999999998</v>
      </c>
      <c r="Y27" s="344">
        <v>27.84</v>
      </c>
      <c r="Z27" s="345">
        <v>2.7</v>
      </c>
      <c r="AA27" s="346">
        <v>5.93</v>
      </c>
      <c r="AB27" s="347">
        <v>1</v>
      </c>
      <c r="AC27" s="347">
        <v>1</v>
      </c>
      <c r="AD27" s="348" t="s">
        <v>616</v>
      </c>
      <c r="AE27" s="347">
        <v>2</v>
      </c>
      <c r="AF27" s="347">
        <v>3</v>
      </c>
      <c r="AG27" s="349" t="s">
        <v>616</v>
      </c>
      <c r="AH27" s="336"/>
    </row>
    <row r="28" spans="1:34" ht="13.5" customHeight="1">
      <c r="A28" s="81" t="s">
        <v>626</v>
      </c>
      <c r="B28" s="139">
        <v>18.8</v>
      </c>
      <c r="C28" s="83">
        <v>180</v>
      </c>
      <c r="D28" s="83">
        <v>91</v>
      </c>
      <c r="E28" s="84">
        <v>5.3</v>
      </c>
      <c r="F28" s="84">
        <v>8</v>
      </c>
      <c r="G28" s="90">
        <v>9</v>
      </c>
      <c r="H28" s="91">
        <v>23.95</v>
      </c>
      <c r="I28" s="84">
        <v>164</v>
      </c>
      <c r="J28" s="84">
        <v>146</v>
      </c>
      <c r="K28" s="83" t="s">
        <v>625</v>
      </c>
      <c r="L28" s="86">
        <v>48</v>
      </c>
      <c r="M28" s="87">
        <v>48</v>
      </c>
      <c r="N28" s="88">
        <v>0.69799999999999995</v>
      </c>
      <c r="O28" s="89">
        <v>37.130000000000003</v>
      </c>
      <c r="P28" s="86">
        <v>1317</v>
      </c>
      <c r="Q28" s="84">
        <v>146.30000000000001</v>
      </c>
      <c r="R28" s="84">
        <v>166.4</v>
      </c>
      <c r="S28" s="89">
        <v>7.42</v>
      </c>
      <c r="T28" s="91">
        <v>11.25</v>
      </c>
      <c r="U28" s="84">
        <v>100.9</v>
      </c>
      <c r="V28" s="89">
        <v>22.16</v>
      </c>
      <c r="W28" s="89">
        <v>34.6</v>
      </c>
      <c r="X28" s="91">
        <v>2.0499999999999998</v>
      </c>
      <c r="Y28" s="89">
        <v>31.84</v>
      </c>
      <c r="Z28" s="40">
        <v>4.79</v>
      </c>
      <c r="AA28" s="48">
        <v>7.43</v>
      </c>
      <c r="AB28" s="21">
        <v>1</v>
      </c>
      <c r="AC28" s="21">
        <v>1</v>
      </c>
      <c r="AD28" s="43" t="s">
        <v>616</v>
      </c>
      <c r="AE28" s="21">
        <v>1</v>
      </c>
      <c r="AF28" s="21">
        <v>2</v>
      </c>
      <c r="AG28" s="42" t="s">
        <v>616</v>
      </c>
      <c r="AH28" s="83"/>
    </row>
    <row r="29" spans="1:34" s="350" customFormat="1" ht="13.5" customHeight="1">
      <c r="A29" s="334" t="s">
        <v>627</v>
      </c>
      <c r="B29" s="335">
        <v>21.3</v>
      </c>
      <c r="C29" s="336">
        <v>182</v>
      </c>
      <c r="D29" s="336">
        <v>92</v>
      </c>
      <c r="E29" s="337">
        <v>6</v>
      </c>
      <c r="F29" s="337">
        <v>9</v>
      </c>
      <c r="G29" s="338">
        <v>9</v>
      </c>
      <c r="H29" s="339">
        <v>27.1</v>
      </c>
      <c r="I29" s="337">
        <v>164</v>
      </c>
      <c r="J29" s="337">
        <v>146</v>
      </c>
      <c r="K29" s="336" t="s">
        <v>625</v>
      </c>
      <c r="L29" s="341">
        <v>50</v>
      </c>
      <c r="M29" s="342">
        <v>50</v>
      </c>
      <c r="N29" s="343">
        <v>0.70499999999999996</v>
      </c>
      <c r="O29" s="344">
        <v>33.119999999999997</v>
      </c>
      <c r="P29" s="341">
        <v>1505</v>
      </c>
      <c r="Q29" s="337">
        <v>165.4</v>
      </c>
      <c r="R29" s="337">
        <v>189.1</v>
      </c>
      <c r="S29" s="344">
        <v>7.45</v>
      </c>
      <c r="T29" s="339">
        <v>12.7</v>
      </c>
      <c r="U29" s="337">
        <v>117.3</v>
      </c>
      <c r="V29" s="344">
        <v>25.5</v>
      </c>
      <c r="W29" s="344">
        <v>39.909999999999997</v>
      </c>
      <c r="X29" s="339">
        <v>2.08</v>
      </c>
      <c r="Y29" s="344">
        <v>34.54</v>
      </c>
      <c r="Z29" s="345">
        <v>6.76</v>
      </c>
      <c r="AA29" s="346">
        <v>8.74</v>
      </c>
      <c r="AB29" s="347">
        <v>1</v>
      </c>
      <c r="AC29" s="347">
        <v>1</v>
      </c>
      <c r="AD29" s="348" t="s">
        <v>616</v>
      </c>
      <c r="AE29" s="347">
        <v>1</v>
      </c>
      <c r="AF29" s="347">
        <v>1</v>
      </c>
      <c r="AG29" s="349" t="s">
        <v>616</v>
      </c>
      <c r="AH29" s="336"/>
    </row>
    <row r="30" spans="1:34" ht="13.5" customHeight="1">
      <c r="A30" s="81"/>
      <c r="B30" s="139"/>
      <c r="C30" s="83"/>
      <c r="D30" s="83"/>
      <c r="E30" s="84"/>
      <c r="F30" s="84"/>
      <c r="G30" s="90"/>
      <c r="H30" s="91"/>
      <c r="I30" s="84"/>
      <c r="J30" s="84"/>
      <c r="K30" s="83"/>
      <c r="L30" s="86"/>
      <c r="M30" s="87"/>
      <c r="N30" s="88"/>
      <c r="O30" s="89"/>
      <c r="P30" s="86"/>
      <c r="Q30" s="84"/>
      <c r="R30" s="84"/>
      <c r="S30" s="89"/>
      <c r="T30" s="91"/>
      <c r="U30" s="84"/>
      <c r="V30" s="89"/>
      <c r="W30" s="89"/>
      <c r="X30" s="91"/>
      <c r="Y30" s="89"/>
      <c r="Z30" s="40"/>
      <c r="AA30" s="48"/>
      <c r="AB30" s="21"/>
      <c r="AC30" s="21"/>
      <c r="AD30" s="43"/>
      <c r="AE30" s="21"/>
      <c r="AF30" s="21"/>
      <c r="AG30" s="42"/>
      <c r="AH30" s="83"/>
    </row>
    <row r="31" spans="1:34" s="350" customFormat="1" ht="13.5" customHeight="1">
      <c r="A31" s="334" t="s">
        <v>628</v>
      </c>
      <c r="B31" s="335">
        <v>18.399999999999999</v>
      </c>
      <c r="C31" s="336">
        <v>197</v>
      </c>
      <c r="D31" s="336">
        <v>100</v>
      </c>
      <c r="E31" s="337">
        <v>4.5</v>
      </c>
      <c r="F31" s="337">
        <v>7</v>
      </c>
      <c r="G31" s="338">
        <v>12</v>
      </c>
      <c r="H31" s="339">
        <v>23.47</v>
      </c>
      <c r="I31" s="337">
        <v>183</v>
      </c>
      <c r="J31" s="337">
        <v>159</v>
      </c>
      <c r="K31" s="336" t="s">
        <v>625</v>
      </c>
      <c r="L31" s="341">
        <v>54</v>
      </c>
      <c r="M31" s="342">
        <v>58</v>
      </c>
      <c r="N31" s="343">
        <v>0.76400000000000001</v>
      </c>
      <c r="O31" s="344">
        <v>41.49</v>
      </c>
      <c r="P31" s="341">
        <v>1591</v>
      </c>
      <c r="Q31" s="337">
        <v>161.6</v>
      </c>
      <c r="R31" s="337">
        <v>181.7</v>
      </c>
      <c r="S31" s="344">
        <v>8.23</v>
      </c>
      <c r="T31" s="339">
        <v>11.47</v>
      </c>
      <c r="U31" s="337">
        <v>117.2</v>
      </c>
      <c r="V31" s="344">
        <v>23.43</v>
      </c>
      <c r="W31" s="344">
        <v>36.54</v>
      </c>
      <c r="X31" s="339">
        <v>2.23</v>
      </c>
      <c r="Y31" s="344">
        <v>32.56</v>
      </c>
      <c r="Z31" s="345">
        <v>4.1100000000000003</v>
      </c>
      <c r="AA31" s="346">
        <v>10.53</v>
      </c>
      <c r="AB31" s="347">
        <v>1</v>
      </c>
      <c r="AC31" s="347">
        <v>1</v>
      </c>
      <c r="AD31" s="348" t="s">
        <v>616</v>
      </c>
      <c r="AE31" s="347">
        <v>2</v>
      </c>
      <c r="AF31" s="347">
        <v>4</v>
      </c>
      <c r="AG31" s="349" t="s">
        <v>616</v>
      </c>
      <c r="AH31" s="336"/>
    </row>
    <row r="32" spans="1:34" ht="13.5" customHeight="1">
      <c r="A32" s="81" t="s">
        <v>629</v>
      </c>
      <c r="B32" s="139">
        <v>22.4</v>
      </c>
      <c r="C32" s="83">
        <v>200</v>
      </c>
      <c r="D32" s="83">
        <v>100</v>
      </c>
      <c r="E32" s="84">
        <v>5.6</v>
      </c>
      <c r="F32" s="84">
        <v>8.5</v>
      </c>
      <c r="G32" s="90">
        <v>12</v>
      </c>
      <c r="H32" s="91">
        <v>28.48</v>
      </c>
      <c r="I32" s="84">
        <v>183</v>
      </c>
      <c r="J32" s="84">
        <v>159</v>
      </c>
      <c r="K32" s="83" t="s">
        <v>625</v>
      </c>
      <c r="L32" s="86">
        <v>54</v>
      </c>
      <c r="M32" s="87">
        <v>58</v>
      </c>
      <c r="N32" s="88">
        <v>0.76800000000000002</v>
      </c>
      <c r="O32" s="89">
        <v>34.36</v>
      </c>
      <c r="P32" s="86">
        <v>1943</v>
      </c>
      <c r="Q32" s="84">
        <v>194.3</v>
      </c>
      <c r="R32" s="84">
        <v>220.6</v>
      </c>
      <c r="S32" s="89">
        <v>8.26</v>
      </c>
      <c r="T32" s="91">
        <v>14</v>
      </c>
      <c r="U32" s="84">
        <v>142.4</v>
      </c>
      <c r="V32" s="89">
        <v>28.47</v>
      </c>
      <c r="W32" s="89">
        <v>44.61</v>
      </c>
      <c r="X32" s="91">
        <v>2.2400000000000002</v>
      </c>
      <c r="Y32" s="89">
        <v>36.659999999999997</v>
      </c>
      <c r="Z32" s="40">
        <v>6.98</v>
      </c>
      <c r="AA32" s="48">
        <v>12.99</v>
      </c>
      <c r="AB32" s="21">
        <v>1</v>
      </c>
      <c r="AC32" s="21">
        <v>1</v>
      </c>
      <c r="AD32" s="43" t="s">
        <v>616</v>
      </c>
      <c r="AE32" s="21">
        <v>1</v>
      </c>
      <c r="AF32" s="21">
        <v>2</v>
      </c>
      <c r="AG32" s="42" t="s">
        <v>616</v>
      </c>
      <c r="AH32" s="83"/>
    </row>
    <row r="33" spans="1:34" s="350" customFormat="1" ht="13.5" customHeight="1">
      <c r="A33" s="334" t="s">
        <v>630</v>
      </c>
      <c r="B33" s="335">
        <v>25.1</v>
      </c>
      <c r="C33" s="336">
        <v>202</v>
      </c>
      <c r="D33" s="336">
        <v>102</v>
      </c>
      <c r="E33" s="337">
        <v>6.2</v>
      </c>
      <c r="F33" s="337">
        <v>9.5</v>
      </c>
      <c r="G33" s="338">
        <v>12</v>
      </c>
      <c r="H33" s="339">
        <v>31.96</v>
      </c>
      <c r="I33" s="337">
        <v>183</v>
      </c>
      <c r="J33" s="337">
        <v>159</v>
      </c>
      <c r="K33" s="336" t="s">
        <v>625</v>
      </c>
      <c r="L33" s="341">
        <v>56</v>
      </c>
      <c r="M33" s="342">
        <v>60</v>
      </c>
      <c r="N33" s="343">
        <v>0.77900000000000003</v>
      </c>
      <c r="O33" s="344">
        <v>31.05</v>
      </c>
      <c r="P33" s="341">
        <v>2211</v>
      </c>
      <c r="Q33" s="337">
        <v>218.9</v>
      </c>
      <c r="R33" s="337">
        <v>249.4</v>
      </c>
      <c r="S33" s="344">
        <v>8.32</v>
      </c>
      <c r="T33" s="339">
        <v>15.45</v>
      </c>
      <c r="U33" s="337">
        <v>168.9</v>
      </c>
      <c r="V33" s="344">
        <v>33.11</v>
      </c>
      <c r="W33" s="344">
        <v>51.89</v>
      </c>
      <c r="X33" s="339">
        <v>2.2999999999999998</v>
      </c>
      <c r="Y33" s="344">
        <v>39.26</v>
      </c>
      <c r="Z33" s="345">
        <v>9.4499999999999993</v>
      </c>
      <c r="AA33" s="346">
        <v>15.57</v>
      </c>
      <c r="AB33" s="347">
        <v>1</v>
      </c>
      <c r="AC33" s="347">
        <v>1</v>
      </c>
      <c r="AD33" s="348" t="s">
        <v>616</v>
      </c>
      <c r="AE33" s="347">
        <v>1</v>
      </c>
      <c r="AF33" s="347">
        <v>1</v>
      </c>
      <c r="AG33" s="349" t="s">
        <v>616</v>
      </c>
      <c r="AH33" s="336"/>
    </row>
    <row r="34" spans="1:34" ht="13.5" customHeight="1">
      <c r="A34" s="81"/>
      <c r="B34" s="139"/>
      <c r="C34" s="83"/>
      <c r="D34" s="83"/>
      <c r="E34" s="84"/>
      <c r="F34" s="84"/>
      <c r="G34" s="90"/>
      <c r="H34" s="91"/>
      <c r="I34" s="84"/>
      <c r="J34" s="84"/>
      <c r="K34" s="83"/>
      <c r="L34" s="86"/>
      <c r="M34" s="87"/>
      <c r="N34" s="88"/>
      <c r="O34" s="89"/>
      <c r="P34" s="86"/>
      <c r="Q34" s="84"/>
      <c r="R34" s="84"/>
      <c r="S34" s="89"/>
      <c r="T34" s="91"/>
      <c r="U34" s="84"/>
      <c r="V34" s="89"/>
      <c r="W34" s="89"/>
      <c r="X34" s="91"/>
      <c r="Y34" s="89"/>
      <c r="Z34" s="40"/>
      <c r="AA34" s="48"/>
      <c r="AB34" s="21"/>
      <c r="AC34" s="21"/>
      <c r="AD34" s="43"/>
      <c r="AE34" s="21"/>
      <c r="AF34" s="21"/>
      <c r="AG34" s="42"/>
      <c r="AH34" s="83"/>
    </row>
    <row r="35" spans="1:34" s="350" customFormat="1" ht="13.5" customHeight="1">
      <c r="A35" s="334" t="s">
        <v>631</v>
      </c>
      <c r="B35" s="335">
        <v>22.2</v>
      </c>
      <c r="C35" s="336">
        <v>217</v>
      </c>
      <c r="D35" s="336">
        <v>110</v>
      </c>
      <c r="E35" s="337">
        <v>5</v>
      </c>
      <c r="F35" s="337">
        <v>7.7</v>
      </c>
      <c r="G35" s="338">
        <v>12</v>
      </c>
      <c r="H35" s="339">
        <v>28.26</v>
      </c>
      <c r="I35" s="337">
        <v>201.6</v>
      </c>
      <c r="J35" s="337">
        <v>177.6</v>
      </c>
      <c r="K35" s="336" t="s">
        <v>632</v>
      </c>
      <c r="L35" s="341">
        <v>60</v>
      </c>
      <c r="M35" s="342">
        <v>62</v>
      </c>
      <c r="N35" s="343">
        <v>0.84299999999999997</v>
      </c>
      <c r="O35" s="344">
        <v>38.020000000000003</v>
      </c>
      <c r="P35" s="341">
        <v>2317</v>
      </c>
      <c r="Q35" s="337">
        <v>213.5</v>
      </c>
      <c r="R35" s="337">
        <v>240.2</v>
      </c>
      <c r="S35" s="344">
        <v>9.0500000000000007</v>
      </c>
      <c r="T35" s="339">
        <v>13.55</v>
      </c>
      <c r="U35" s="337">
        <v>171.4</v>
      </c>
      <c r="V35" s="344">
        <v>31.17</v>
      </c>
      <c r="W35" s="344">
        <v>48.49</v>
      </c>
      <c r="X35" s="339">
        <v>2.46</v>
      </c>
      <c r="Y35" s="344">
        <v>34.46</v>
      </c>
      <c r="Z35" s="345">
        <v>5.69</v>
      </c>
      <c r="AA35" s="346">
        <v>18.71</v>
      </c>
      <c r="AB35" s="347">
        <v>1</v>
      </c>
      <c r="AC35" s="347">
        <v>1</v>
      </c>
      <c r="AD35" s="348" t="s">
        <v>616</v>
      </c>
      <c r="AE35" s="347">
        <v>2</v>
      </c>
      <c r="AF35" s="347">
        <v>4</v>
      </c>
      <c r="AG35" s="349" t="s">
        <v>616</v>
      </c>
      <c r="AH35" s="336"/>
    </row>
    <row r="36" spans="1:34" ht="13.5" customHeight="1">
      <c r="A36" s="81" t="s">
        <v>633</v>
      </c>
      <c r="B36" s="139">
        <v>26.2</v>
      </c>
      <c r="C36" s="83">
        <v>220</v>
      </c>
      <c r="D36" s="83">
        <v>110</v>
      </c>
      <c r="E36" s="84">
        <v>5.9</v>
      </c>
      <c r="F36" s="84">
        <v>9.1999999999999993</v>
      </c>
      <c r="G36" s="90">
        <v>12</v>
      </c>
      <c r="H36" s="91">
        <v>33.369999999999997</v>
      </c>
      <c r="I36" s="84">
        <v>201.6</v>
      </c>
      <c r="J36" s="84">
        <v>177.6</v>
      </c>
      <c r="K36" s="83" t="s">
        <v>632</v>
      </c>
      <c r="L36" s="86">
        <v>60</v>
      </c>
      <c r="M36" s="87">
        <v>62</v>
      </c>
      <c r="N36" s="88">
        <v>0.84799999999999998</v>
      </c>
      <c r="O36" s="89">
        <v>32.36</v>
      </c>
      <c r="P36" s="86">
        <v>2772</v>
      </c>
      <c r="Q36" s="84">
        <v>252</v>
      </c>
      <c r="R36" s="84">
        <v>285.39999999999998</v>
      </c>
      <c r="S36" s="89">
        <v>9.11</v>
      </c>
      <c r="T36" s="91">
        <v>15.88</v>
      </c>
      <c r="U36" s="84">
        <v>204.9</v>
      </c>
      <c r="V36" s="89">
        <v>37.25</v>
      </c>
      <c r="W36" s="89">
        <v>58.11</v>
      </c>
      <c r="X36" s="91">
        <v>2.48</v>
      </c>
      <c r="Y36" s="89">
        <v>38.36</v>
      </c>
      <c r="Z36" s="40">
        <v>9.07</v>
      </c>
      <c r="AA36" s="48">
        <v>22.67</v>
      </c>
      <c r="AB36" s="21">
        <v>1</v>
      </c>
      <c r="AC36" s="21">
        <v>1</v>
      </c>
      <c r="AD36" s="43" t="s">
        <v>616</v>
      </c>
      <c r="AE36" s="21">
        <v>1</v>
      </c>
      <c r="AF36" s="21">
        <v>2</v>
      </c>
      <c r="AG36" s="42" t="s">
        <v>616</v>
      </c>
      <c r="AH36" s="83"/>
    </row>
    <row r="37" spans="1:34" s="350" customFormat="1" ht="13.5" customHeight="1">
      <c r="A37" s="334" t="s">
        <v>634</v>
      </c>
      <c r="B37" s="335">
        <v>29.4</v>
      </c>
      <c r="C37" s="336">
        <v>222</v>
      </c>
      <c r="D37" s="336">
        <v>112</v>
      </c>
      <c r="E37" s="337">
        <v>6.6</v>
      </c>
      <c r="F37" s="337">
        <v>10.199999999999999</v>
      </c>
      <c r="G37" s="338">
        <v>12</v>
      </c>
      <c r="H37" s="339">
        <v>37.39</v>
      </c>
      <c r="I37" s="337">
        <v>201.6</v>
      </c>
      <c r="J37" s="337">
        <v>177.6</v>
      </c>
      <c r="K37" s="336" t="s">
        <v>625</v>
      </c>
      <c r="L37" s="341">
        <v>58</v>
      </c>
      <c r="M37" s="342">
        <v>66</v>
      </c>
      <c r="N37" s="343">
        <v>0.85799999999999998</v>
      </c>
      <c r="O37" s="344">
        <v>29.24</v>
      </c>
      <c r="P37" s="341">
        <v>3134</v>
      </c>
      <c r="Q37" s="337">
        <v>282.3</v>
      </c>
      <c r="R37" s="337">
        <v>321.10000000000002</v>
      </c>
      <c r="S37" s="344">
        <v>9.16</v>
      </c>
      <c r="T37" s="339">
        <v>17.66</v>
      </c>
      <c r="U37" s="337">
        <v>239.8</v>
      </c>
      <c r="V37" s="344">
        <v>42.83</v>
      </c>
      <c r="W37" s="344">
        <v>66.91</v>
      </c>
      <c r="X37" s="339">
        <v>2.5299999999999998</v>
      </c>
      <c r="Y37" s="344">
        <v>41.06</v>
      </c>
      <c r="Z37" s="345">
        <v>12.27</v>
      </c>
      <c r="AA37" s="346">
        <v>26.79</v>
      </c>
      <c r="AB37" s="347">
        <v>1</v>
      </c>
      <c r="AC37" s="347">
        <v>1</v>
      </c>
      <c r="AD37" s="348" t="s">
        <v>616</v>
      </c>
      <c r="AE37" s="347">
        <v>1</v>
      </c>
      <c r="AF37" s="347">
        <v>2</v>
      </c>
      <c r="AG37" s="349" t="s">
        <v>616</v>
      </c>
      <c r="AH37" s="336"/>
    </row>
    <row r="38" spans="1:34" ht="13.5" customHeight="1">
      <c r="A38" s="81"/>
      <c r="B38" s="139"/>
      <c r="C38" s="83"/>
      <c r="D38" s="83"/>
      <c r="E38" s="84"/>
      <c r="F38" s="84"/>
      <c r="G38" s="90"/>
      <c r="H38" s="91"/>
      <c r="I38" s="84"/>
      <c r="J38" s="84"/>
      <c r="K38" s="83"/>
      <c r="L38" s="86"/>
      <c r="M38" s="87"/>
      <c r="N38" s="88"/>
      <c r="O38" s="89"/>
      <c r="P38" s="86"/>
      <c r="Q38" s="84"/>
      <c r="R38" s="84"/>
      <c r="S38" s="89"/>
      <c r="T38" s="91"/>
      <c r="U38" s="84"/>
      <c r="V38" s="89"/>
      <c r="W38" s="89"/>
      <c r="X38" s="91"/>
      <c r="Y38" s="89"/>
      <c r="Z38" s="40"/>
      <c r="AA38" s="48"/>
      <c r="AB38" s="21"/>
      <c r="AC38" s="21"/>
      <c r="AD38" s="43"/>
      <c r="AE38" s="21"/>
      <c r="AF38" s="21"/>
      <c r="AG38" s="42"/>
      <c r="AH38" s="83"/>
    </row>
    <row r="39" spans="1:34" s="350" customFormat="1" ht="13.5" customHeight="1">
      <c r="A39" s="334" t="s">
        <v>635</v>
      </c>
      <c r="B39" s="335">
        <v>26.2</v>
      </c>
      <c r="C39" s="336">
        <v>237</v>
      </c>
      <c r="D39" s="336">
        <v>120</v>
      </c>
      <c r="E39" s="337">
        <v>5.2</v>
      </c>
      <c r="F39" s="337">
        <v>8.3000000000000007</v>
      </c>
      <c r="G39" s="338">
        <v>15</v>
      </c>
      <c r="H39" s="339">
        <v>33.31</v>
      </c>
      <c r="I39" s="337">
        <v>220.4</v>
      </c>
      <c r="J39" s="337">
        <v>190.4</v>
      </c>
      <c r="K39" s="336" t="s">
        <v>632</v>
      </c>
      <c r="L39" s="341">
        <v>64</v>
      </c>
      <c r="M39" s="342">
        <v>68</v>
      </c>
      <c r="N39" s="343">
        <v>0.91800000000000004</v>
      </c>
      <c r="O39" s="344">
        <v>35.1</v>
      </c>
      <c r="P39" s="341">
        <v>3290</v>
      </c>
      <c r="Q39" s="337">
        <v>277.7</v>
      </c>
      <c r="R39" s="337">
        <v>311.60000000000002</v>
      </c>
      <c r="S39" s="344">
        <v>9.94</v>
      </c>
      <c r="T39" s="339">
        <v>16.309999999999999</v>
      </c>
      <c r="U39" s="337">
        <v>240.1</v>
      </c>
      <c r="V39" s="344">
        <v>40.020000000000003</v>
      </c>
      <c r="W39" s="344">
        <v>62.4</v>
      </c>
      <c r="X39" s="339">
        <v>2.68</v>
      </c>
      <c r="Y39" s="344">
        <v>39.369999999999997</v>
      </c>
      <c r="Z39" s="345">
        <v>8.35</v>
      </c>
      <c r="AA39" s="346">
        <v>31.26</v>
      </c>
      <c r="AB39" s="347">
        <v>1</v>
      </c>
      <c r="AC39" s="347">
        <v>1</v>
      </c>
      <c r="AD39" s="348" t="s">
        <v>616</v>
      </c>
      <c r="AE39" s="347">
        <v>2</v>
      </c>
      <c r="AF39" s="347">
        <v>4</v>
      </c>
      <c r="AG39" s="349" t="s">
        <v>616</v>
      </c>
      <c r="AH39" s="336"/>
    </row>
    <row r="40" spans="1:34" ht="13.5" customHeight="1">
      <c r="A40" s="81" t="s">
        <v>636</v>
      </c>
      <c r="B40" s="82">
        <v>30.7</v>
      </c>
      <c r="C40" s="83">
        <v>240</v>
      </c>
      <c r="D40" s="83">
        <v>120</v>
      </c>
      <c r="E40" s="84">
        <v>6.2</v>
      </c>
      <c r="F40" s="84">
        <v>9.8000000000000007</v>
      </c>
      <c r="G40" s="90">
        <v>15</v>
      </c>
      <c r="H40" s="91">
        <v>39.119999999999997</v>
      </c>
      <c r="I40" s="84">
        <v>220.4</v>
      </c>
      <c r="J40" s="84">
        <v>190.4</v>
      </c>
      <c r="K40" s="83" t="s">
        <v>632</v>
      </c>
      <c r="L40" s="86">
        <v>66</v>
      </c>
      <c r="M40" s="87">
        <v>68</v>
      </c>
      <c r="N40" s="88">
        <v>0.92200000000000004</v>
      </c>
      <c r="O40" s="89">
        <v>30.02</v>
      </c>
      <c r="P40" s="86">
        <v>3892</v>
      </c>
      <c r="Q40" s="84">
        <v>324.3</v>
      </c>
      <c r="R40" s="84">
        <v>366.6</v>
      </c>
      <c r="S40" s="89">
        <v>9.9700000000000006</v>
      </c>
      <c r="T40" s="91">
        <v>19.14</v>
      </c>
      <c r="U40" s="84">
        <v>283.60000000000002</v>
      </c>
      <c r="V40" s="89">
        <v>47.27</v>
      </c>
      <c r="W40" s="89">
        <v>73.92</v>
      </c>
      <c r="X40" s="91">
        <v>2.69</v>
      </c>
      <c r="Y40" s="89">
        <v>43.37</v>
      </c>
      <c r="Z40" s="40">
        <v>12.88</v>
      </c>
      <c r="AA40" s="48">
        <v>37.39</v>
      </c>
      <c r="AB40" s="21">
        <v>1</v>
      </c>
      <c r="AC40" s="21">
        <v>1</v>
      </c>
      <c r="AD40" s="43" t="s">
        <v>616</v>
      </c>
      <c r="AE40" s="21">
        <v>1</v>
      </c>
      <c r="AF40" s="21">
        <v>2</v>
      </c>
      <c r="AG40" s="42" t="s">
        <v>616</v>
      </c>
      <c r="AH40" s="83"/>
    </row>
    <row r="41" spans="1:34" s="350" customFormat="1" ht="13.5" customHeight="1">
      <c r="A41" s="334" t="s">
        <v>637</v>
      </c>
      <c r="B41" s="335">
        <v>34.299999999999997</v>
      </c>
      <c r="C41" s="336">
        <v>242</v>
      </c>
      <c r="D41" s="336">
        <v>122</v>
      </c>
      <c r="E41" s="337">
        <v>7</v>
      </c>
      <c r="F41" s="337">
        <v>10.8</v>
      </c>
      <c r="G41" s="338">
        <v>15</v>
      </c>
      <c r="H41" s="339">
        <v>43.71</v>
      </c>
      <c r="I41" s="337">
        <v>220.4</v>
      </c>
      <c r="J41" s="337">
        <v>190.4</v>
      </c>
      <c r="K41" s="336" t="s">
        <v>632</v>
      </c>
      <c r="L41" s="341">
        <v>66</v>
      </c>
      <c r="M41" s="342">
        <v>70</v>
      </c>
      <c r="N41" s="343">
        <v>0.93200000000000005</v>
      </c>
      <c r="O41" s="344">
        <v>27.17</v>
      </c>
      <c r="P41" s="341">
        <v>4369</v>
      </c>
      <c r="Q41" s="337">
        <v>361.1</v>
      </c>
      <c r="R41" s="337">
        <v>410.3</v>
      </c>
      <c r="S41" s="344">
        <v>10</v>
      </c>
      <c r="T41" s="339">
        <v>21.36</v>
      </c>
      <c r="U41" s="337">
        <v>328.5</v>
      </c>
      <c r="V41" s="344">
        <v>53.86</v>
      </c>
      <c r="W41" s="344">
        <v>84.4</v>
      </c>
      <c r="X41" s="339">
        <v>2.74</v>
      </c>
      <c r="Y41" s="344">
        <v>46.17</v>
      </c>
      <c r="Z41" s="345">
        <v>17.18</v>
      </c>
      <c r="AA41" s="346">
        <v>43.68</v>
      </c>
      <c r="AB41" s="347">
        <v>1</v>
      </c>
      <c r="AC41" s="347">
        <v>1</v>
      </c>
      <c r="AD41" s="348" t="s">
        <v>616</v>
      </c>
      <c r="AE41" s="347">
        <v>1</v>
      </c>
      <c r="AF41" s="347">
        <v>2</v>
      </c>
      <c r="AG41" s="349" t="s">
        <v>616</v>
      </c>
      <c r="AH41" s="336"/>
    </row>
    <row r="42" spans="1:34" ht="13.5" customHeight="1">
      <c r="A42" s="81"/>
      <c r="B42" s="82"/>
      <c r="C42" s="83"/>
      <c r="D42" s="83"/>
      <c r="E42" s="84"/>
      <c r="F42" s="84"/>
      <c r="G42" s="90"/>
      <c r="H42" s="91"/>
      <c r="I42" s="84"/>
      <c r="J42" s="84"/>
      <c r="K42" s="83"/>
      <c r="L42" s="86"/>
      <c r="M42" s="87"/>
      <c r="N42" s="88"/>
      <c r="O42" s="89"/>
      <c r="P42" s="86"/>
      <c r="Q42" s="84"/>
      <c r="R42" s="84"/>
      <c r="S42" s="89"/>
      <c r="T42" s="91"/>
      <c r="U42" s="84"/>
      <c r="V42" s="89"/>
      <c r="W42" s="89"/>
      <c r="X42" s="91"/>
      <c r="Y42" s="89"/>
      <c r="Z42" s="40"/>
      <c r="AA42" s="48"/>
      <c r="AB42" s="21"/>
      <c r="AC42" s="21"/>
      <c r="AD42" s="43"/>
      <c r="AE42" s="21"/>
      <c r="AF42" s="21"/>
      <c r="AG42" s="42"/>
      <c r="AH42" s="83"/>
    </row>
    <row r="43" spans="1:34" s="350" customFormat="1" ht="13.5" customHeight="1">
      <c r="A43" s="334" t="s">
        <v>638</v>
      </c>
      <c r="B43" s="335">
        <v>30.7</v>
      </c>
      <c r="C43" s="336">
        <v>267</v>
      </c>
      <c r="D43" s="336">
        <v>135</v>
      </c>
      <c r="E43" s="337">
        <v>5.5</v>
      </c>
      <c r="F43" s="337">
        <v>8.6999999999999993</v>
      </c>
      <c r="G43" s="338">
        <v>15</v>
      </c>
      <c r="H43" s="339">
        <v>39.15</v>
      </c>
      <c r="I43" s="337">
        <v>249.6</v>
      </c>
      <c r="J43" s="337">
        <v>219.6</v>
      </c>
      <c r="K43" s="336" t="s">
        <v>639</v>
      </c>
      <c r="L43" s="341">
        <v>70</v>
      </c>
      <c r="M43" s="342">
        <v>72</v>
      </c>
      <c r="N43" s="343">
        <v>1.0369999999999999</v>
      </c>
      <c r="O43" s="344">
        <v>33.75</v>
      </c>
      <c r="P43" s="341">
        <v>4917</v>
      </c>
      <c r="Q43" s="337">
        <v>368.3</v>
      </c>
      <c r="R43" s="337">
        <v>412.5</v>
      </c>
      <c r="S43" s="344">
        <v>11.21</v>
      </c>
      <c r="T43" s="339">
        <v>18.75</v>
      </c>
      <c r="U43" s="337">
        <v>358</v>
      </c>
      <c r="V43" s="344">
        <v>53.03</v>
      </c>
      <c r="W43" s="344">
        <v>82.34</v>
      </c>
      <c r="X43" s="339">
        <v>3.02</v>
      </c>
      <c r="Y43" s="344">
        <v>40.47</v>
      </c>
      <c r="Z43" s="345">
        <v>10.3</v>
      </c>
      <c r="AA43" s="346">
        <v>59.51</v>
      </c>
      <c r="AB43" s="347">
        <v>1</v>
      </c>
      <c r="AC43" s="347">
        <v>1</v>
      </c>
      <c r="AD43" s="348" t="s">
        <v>616</v>
      </c>
      <c r="AE43" s="347">
        <v>3</v>
      </c>
      <c r="AF43" s="347">
        <v>4</v>
      </c>
      <c r="AG43" s="349" t="s">
        <v>616</v>
      </c>
      <c r="AH43" s="336"/>
    </row>
    <row r="44" spans="1:34" ht="13.5" customHeight="1">
      <c r="A44" s="81" t="s">
        <v>640</v>
      </c>
      <c r="B44" s="139">
        <v>36.1</v>
      </c>
      <c r="C44" s="83">
        <v>270</v>
      </c>
      <c r="D44" s="83">
        <v>135</v>
      </c>
      <c r="E44" s="84">
        <v>6.6</v>
      </c>
      <c r="F44" s="84">
        <v>10.199999999999999</v>
      </c>
      <c r="G44" s="90">
        <v>15</v>
      </c>
      <c r="H44" s="91">
        <v>45.95</v>
      </c>
      <c r="I44" s="84">
        <v>249.6</v>
      </c>
      <c r="J44" s="84">
        <v>219.6</v>
      </c>
      <c r="K44" s="83" t="s">
        <v>639</v>
      </c>
      <c r="L44" s="86">
        <v>72</v>
      </c>
      <c r="M44" s="87">
        <v>72</v>
      </c>
      <c r="N44" s="88">
        <v>1.0409999999999999</v>
      </c>
      <c r="O44" s="89">
        <v>28.86</v>
      </c>
      <c r="P44" s="86">
        <v>5790</v>
      </c>
      <c r="Q44" s="84">
        <v>428.9</v>
      </c>
      <c r="R44" s="84">
        <v>484</v>
      </c>
      <c r="S44" s="89">
        <v>11.23</v>
      </c>
      <c r="T44" s="91">
        <v>22.14</v>
      </c>
      <c r="U44" s="84">
        <v>419.9</v>
      </c>
      <c r="V44" s="89">
        <v>62.2</v>
      </c>
      <c r="W44" s="89">
        <v>96.95</v>
      </c>
      <c r="X44" s="91">
        <v>3.02</v>
      </c>
      <c r="Y44" s="89">
        <v>44.57</v>
      </c>
      <c r="Z44" s="40">
        <v>15.94</v>
      </c>
      <c r="AA44" s="48">
        <v>70.58</v>
      </c>
      <c r="AB44" s="21">
        <v>1</v>
      </c>
      <c r="AC44" s="21">
        <v>1</v>
      </c>
      <c r="AD44" s="43" t="s">
        <v>616</v>
      </c>
      <c r="AE44" s="21">
        <v>2</v>
      </c>
      <c r="AF44" s="21">
        <v>3</v>
      </c>
      <c r="AG44" s="42" t="s">
        <v>616</v>
      </c>
      <c r="AH44" s="83"/>
    </row>
    <row r="45" spans="1:34" s="350" customFormat="1" ht="13.5" customHeight="1">
      <c r="A45" s="334" t="s">
        <v>641</v>
      </c>
      <c r="B45" s="335">
        <v>42.3</v>
      </c>
      <c r="C45" s="336">
        <v>274</v>
      </c>
      <c r="D45" s="336">
        <v>136</v>
      </c>
      <c r="E45" s="337">
        <v>7.5</v>
      </c>
      <c r="F45" s="337">
        <v>12.2</v>
      </c>
      <c r="G45" s="338">
        <v>15</v>
      </c>
      <c r="H45" s="339">
        <v>53.84</v>
      </c>
      <c r="I45" s="337">
        <v>249.6</v>
      </c>
      <c r="J45" s="337">
        <v>219.6</v>
      </c>
      <c r="K45" s="336" t="s">
        <v>639</v>
      </c>
      <c r="L45" s="341">
        <v>72</v>
      </c>
      <c r="M45" s="342">
        <v>72</v>
      </c>
      <c r="N45" s="343">
        <v>1.0509999999999999</v>
      </c>
      <c r="O45" s="344">
        <v>24.88</v>
      </c>
      <c r="P45" s="341">
        <v>6947</v>
      </c>
      <c r="Q45" s="337">
        <v>507.1</v>
      </c>
      <c r="R45" s="337">
        <v>574.6</v>
      </c>
      <c r="S45" s="344">
        <v>11.36</v>
      </c>
      <c r="T45" s="339">
        <v>25.23</v>
      </c>
      <c r="U45" s="337">
        <v>513.5</v>
      </c>
      <c r="V45" s="344">
        <v>75.510000000000005</v>
      </c>
      <c r="W45" s="337">
        <v>117.7</v>
      </c>
      <c r="X45" s="339">
        <v>3.09</v>
      </c>
      <c r="Y45" s="344">
        <v>49.47</v>
      </c>
      <c r="Z45" s="345">
        <v>24.9</v>
      </c>
      <c r="AA45" s="346">
        <v>87.64</v>
      </c>
      <c r="AB45" s="347">
        <v>1</v>
      </c>
      <c r="AC45" s="347">
        <v>1</v>
      </c>
      <c r="AD45" s="348" t="s">
        <v>616</v>
      </c>
      <c r="AE45" s="347">
        <v>1</v>
      </c>
      <c r="AF45" s="347">
        <v>2</v>
      </c>
      <c r="AG45" s="349" t="s">
        <v>616</v>
      </c>
      <c r="AH45" s="336"/>
    </row>
    <row r="46" spans="1:34" ht="13.5" customHeight="1">
      <c r="A46" s="81"/>
      <c r="B46" s="139"/>
      <c r="C46" s="83"/>
      <c r="D46" s="83"/>
      <c r="E46" s="84"/>
      <c r="F46" s="84"/>
      <c r="G46" s="90"/>
      <c r="H46" s="91"/>
      <c r="I46" s="84"/>
      <c r="J46" s="84"/>
      <c r="K46" s="83"/>
      <c r="L46" s="86"/>
      <c r="M46" s="87"/>
      <c r="N46" s="88"/>
      <c r="O46" s="89"/>
      <c r="P46" s="86"/>
      <c r="Q46" s="84"/>
      <c r="R46" s="84"/>
      <c r="S46" s="89"/>
      <c r="T46" s="91"/>
      <c r="U46" s="84"/>
      <c r="V46" s="89"/>
      <c r="W46" s="84"/>
      <c r="X46" s="91"/>
      <c r="Y46" s="89"/>
      <c r="Z46" s="40"/>
      <c r="AA46" s="42"/>
      <c r="AB46" s="21"/>
      <c r="AC46" s="21"/>
      <c r="AD46" s="43"/>
      <c r="AE46" s="21"/>
      <c r="AF46" s="21"/>
      <c r="AG46" s="42"/>
      <c r="AH46" s="83"/>
    </row>
    <row r="47" spans="1:34" s="350" customFormat="1" ht="13.5" customHeight="1">
      <c r="A47" s="334" t="s">
        <v>642</v>
      </c>
      <c r="B47" s="335">
        <v>36.5</v>
      </c>
      <c r="C47" s="336">
        <v>297</v>
      </c>
      <c r="D47" s="336">
        <v>150</v>
      </c>
      <c r="E47" s="337">
        <v>6.1</v>
      </c>
      <c r="F47" s="337">
        <v>9.1999999999999993</v>
      </c>
      <c r="G47" s="338">
        <v>15</v>
      </c>
      <c r="H47" s="339">
        <v>46.53</v>
      </c>
      <c r="I47" s="337">
        <v>278.60000000000002</v>
      </c>
      <c r="J47" s="337">
        <v>248.6</v>
      </c>
      <c r="K47" s="336" t="s">
        <v>639</v>
      </c>
      <c r="L47" s="341">
        <v>72</v>
      </c>
      <c r="M47" s="342">
        <v>86</v>
      </c>
      <c r="N47" s="343">
        <v>1.1559999999999999</v>
      </c>
      <c r="O47" s="344">
        <v>31.65</v>
      </c>
      <c r="P47" s="341">
        <v>7173</v>
      </c>
      <c r="Q47" s="337">
        <v>483.1</v>
      </c>
      <c r="R47" s="337">
        <v>541.79999999999995</v>
      </c>
      <c r="S47" s="344">
        <v>12.42</v>
      </c>
      <c r="T47" s="339">
        <v>22.25</v>
      </c>
      <c r="U47" s="337">
        <v>519</v>
      </c>
      <c r="V47" s="344">
        <v>69.2</v>
      </c>
      <c r="W47" s="337">
        <v>107.3</v>
      </c>
      <c r="X47" s="339">
        <v>3.34</v>
      </c>
      <c r="Y47" s="344">
        <v>42.07</v>
      </c>
      <c r="Z47" s="345">
        <v>13.43</v>
      </c>
      <c r="AA47" s="351">
        <v>107.2</v>
      </c>
      <c r="AB47" s="347">
        <v>1</v>
      </c>
      <c r="AC47" s="347">
        <v>2</v>
      </c>
      <c r="AD47" s="348" t="s">
        <v>616</v>
      </c>
      <c r="AE47" s="347">
        <v>3</v>
      </c>
      <c r="AF47" s="347">
        <v>4</v>
      </c>
      <c r="AG47" s="349" t="s">
        <v>616</v>
      </c>
      <c r="AH47" s="336"/>
    </row>
    <row r="48" spans="1:34" ht="13.5" customHeight="1">
      <c r="A48" s="81" t="s">
        <v>643</v>
      </c>
      <c r="B48" s="139">
        <v>42.2</v>
      </c>
      <c r="C48" s="83">
        <v>300</v>
      </c>
      <c r="D48" s="83">
        <v>150</v>
      </c>
      <c r="E48" s="84">
        <v>7.1</v>
      </c>
      <c r="F48" s="84">
        <v>10.7</v>
      </c>
      <c r="G48" s="90">
        <v>15</v>
      </c>
      <c r="H48" s="91">
        <v>53.81</v>
      </c>
      <c r="I48" s="84">
        <v>278.60000000000002</v>
      </c>
      <c r="J48" s="84">
        <v>248.6</v>
      </c>
      <c r="K48" s="83" t="s">
        <v>639</v>
      </c>
      <c r="L48" s="86">
        <v>72</v>
      </c>
      <c r="M48" s="87">
        <v>86</v>
      </c>
      <c r="N48" s="88">
        <v>1.1599999999999999</v>
      </c>
      <c r="O48" s="89">
        <v>27.46</v>
      </c>
      <c r="P48" s="86">
        <v>8356</v>
      </c>
      <c r="Q48" s="84">
        <v>557.1</v>
      </c>
      <c r="R48" s="84">
        <v>628.4</v>
      </c>
      <c r="S48" s="89">
        <v>12.46</v>
      </c>
      <c r="T48" s="91">
        <v>25.68</v>
      </c>
      <c r="U48" s="84">
        <v>603.79999999999995</v>
      </c>
      <c r="V48" s="89">
        <v>80.5</v>
      </c>
      <c r="W48" s="84">
        <v>125.2</v>
      </c>
      <c r="X48" s="91">
        <v>3.35</v>
      </c>
      <c r="Y48" s="89">
        <v>46.07</v>
      </c>
      <c r="Z48" s="40">
        <v>20.12</v>
      </c>
      <c r="AA48" s="50">
        <v>125.9</v>
      </c>
      <c r="AB48" s="21">
        <v>1</v>
      </c>
      <c r="AC48" s="21">
        <v>1</v>
      </c>
      <c r="AD48" s="43" t="s">
        <v>616</v>
      </c>
      <c r="AE48" s="21">
        <v>2</v>
      </c>
      <c r="AF48" s="21">
        <v>4</v>
      </c>
      <c r="AG48" s="42" t="s">
        <v>616</v>
      </c>
      <c r="AH48" s="83"/>
    </row>
    <row r="49" spans="1:34" s="350" customFormat="1" ht="13.5" customHeight="1">
      <c r="A49" s="334" t="s">
        <v>644</v>
      </c>
      <c r="B49" s="335">
        <v>49.3</v>
      </c>
      <c r="C49" s="336">
        <v>304</v>
      </c>
      <c r="D49" s="336">
        <v>152</v>
      </c>
      <c r="E49" s="337">
        <v>8</v>
      </c>
      <c r="F49" s="337">
        <v>12.7</v>
      </c>
      <c r="G49" s="338">
        <v>15</v>
      </c>
      <c r="H49" s="339">
        <v>62.83</v>
      </c>
      <c r="I49" s="337">
        <v>278.60000000000002</v>
      </c>
      <c r="J49" s="337">
        <v>248.6</v>
      </c>
      <c r="K49" s="336" t="s">
        <v>639</v>
      </c>
      <c r="L49" s="341">
        <v>74</v>
      </c>
      <c r="M49" s="342">
        <v>88</v>
      </c>
      <c r="N49" s="343">
        <v>1.1739999999999999</v>
      </c>
      <c r="O49" s="344">
        <v>23.81</v>
      </c>
      <c r="P49" s="341">
        <v>9994</v>
      </c>
      <c r="Q49" s="337">
        <v>657.5</v>
      </c>
      <c r="R49" s="337">
        <v>743.8</v>
      </c>
      <c r="S49" s="344">
        <v>12.61</v>
      </c>
      <c r="T49" s="339">
        <v>29.05</v>
      </c>
      <c r="U49" s="337">
        <v>745.7</v>
      </c>
      <c r="V49" s="344">
        <v>98.12</v>
      </c>
      <c r="W49" s="337">
        <v>152.6</v>
      </c>
      <c r="X49" s="339">
        <v>3.45</v>
      </c>
      <c r="Y49" s="344">
        <v>50.97</v>
      </c>
      <c r="Z49" s="345">
        <v>31.06</v>
      </c>
      <c r="AA49" s="351">
        <v>157.69999999999999</v>
      </c>
      <c r="AB49" s="347">
        <v>1</v>
      </c>
      <c r="AC49" s="347">
        <v>1</v>
      </c>
      <c r="AD49" s="348" t="s">
        <v>616</v>
      </c>
      <c r="AE49" s="347">
        <v>1</v>
      </c>
      <c r="AF49" s="347">
        <v>3</v>
      </c>
      <c r="AG49" s="349" t="s">
        <v>616</v>
      </c>
      <c r="AH49" s="336"/>
    </row>
    <row r="50" spans="1:34" ht="13.5" customHeight="1">
      <c r="A50" s="81"/>
      <c r="B50" s="139"/>
      <c r="C50" s="83"/>
      <c r="D50" s="83"/>
      <c r="E50" s="84"/>
      <c r="F50" s="84"/>
      <c r="G50" s="90"/>
      <c r="H50" s="91"/>
      <c r="I50" s="84"/>
      <c r="J50" s="84"/>
      <c r="K50" s="83"/>
      <c r="L50" s="86"/>
      <c r="M50" s="87"/>
      <c r="N50" s="88"/>
      <c r="O50" s="89"/>
      <c r="P50" s="86"/>
      <c r="Q50" s="84"/>
      <c r="R50" s="84"/>
      <c r="S50" s="89"/>
      <c r="T50" s="91"/>
      <c r="U50" s="84"/>
      <c r="V50" s="89"/>
      <c r="W50" s="84"/>
      <c r="X50" s="91"/>
      <c r="Y50" s="89"/>
      <c r="Z50" s="40"/>
      <c r="AA50" s="50"/>
      <c r="AB50" s="21"/>
      <c r="AC50" s="21"/>
      <c r="AD50" s="43"/>
      <c r="AE50" s="21"/>
      <c r="AF50" s="21"/>
      <c r="AG50" s="42"/>
      <c r="AH50" s="83"/>
    </row>
    <row r="51" spans="1:34" s="350" customFormat="1" ht="13.5" customHeight="1">
      <c r="A51" s="334" t="s">
        <v>645</v>
      </c>
      <c r="B51" s="335">
        <v>43</v>
      </c>
      <c r="C51" s="336">
        <v>327</v>
      </c>
      <c r="D51" s="336">
        <v>160</v>
      </c>
      <c r="E51" s="337">
        <v>6.5</v>
      </c>
      <c r="F51" s="337">
        <v>10</v>
      </c>
      <c r="G51" s="338">
        <v>18</v>
      </c>
      <c r="H51" s="339">
        <v>54.74</v>
      </c>
      <c r="I51" s="337">
        <v>307</v>
      </c>
      <c r="J51" s="337">
        <v>271</v>
      </c>
      <c r="K51" s="336" t="s">
        <v>639</v>
      </c>
      <c r="L51" s="341">
        <v>78</v>
      </c>
      <c r="M51" s="342">
        <v>96</v>
      </c>
      <c r="N51" s="343">
        <v>1.25</v>
      </c>
      <c r="O51" s="344">
        <v>29.09</v>
      </c>
      <c r="P51" s="341">
        <v>10230</v>
      </c>
      <c r="Q51" s="337">
        <v>625.70000000000005</v>
      </c>
      <c r="R51" s="337">
        <v>701.9</v>
      </c>
      <c r="S51" s="344">
        <v>13.67</v>
      </c>
      <c r="T51" s="339">
        <v>26.99</v>
      </c>
      <c r="U51" s="337">
        <v>685.2</v>
      </c>
      <c r="V51" s="344">
        <v>85.64</v>
      </c>
      <c r="W51" s="337">
        <v>133.30000000000001</v>
      </c>
      <c r="X51" s="339">
        <v>3.54</v>
      </c>
      <c r="Y51" s="344">
        <v>47.59</v>
      </c>
      <c r="Z51" s="345">
        <v>19.57</v>
      </c>
      <c r="AA51" s="351">
        <v>171.5</v>
      </c>
      <c r="AB51" s="347">
        <v>1</v>
      </c>
      <c r="AC51" s="347">
        <v>1</v>
      </c>
      <c r="AD51" s="348" t="s">
        <v>616</v>
      </c>
      <c r="AE51" s="347">
        <v>3</v>
      </c>
      <c r="AF51" s="347">
        <v>4</v>
      </c>
      <c r="AG51" s="349" t="s">
        <v>616</v>
      </c>
      <c r="AH51" s="336"/>
    </row>
    <row r="52" spans="1:34" ht="13.5" customHeight="1">
      <c r="A52" s="81" t="s">
        <v>646</v>
      </c>
      <c r="B52" s="139">
        <v>49.1</v>
      </c>
      <c r="C52" s="83">
        <v>330</v>
      </c>
      <c r="D52" s="83">
        <v>160</v>
      </c>
      <c r="E52" s="84">
        <v>7.5</v>
      </c>
      <c r="F52" s="84">
        <v>11.5</v>
      </c>
      <c r="G52" s="90">
        <v>18</v>
      </c>
      <c r="H52" s="91">
        <v>62.61</v>
      </c>
      <c r="I52" s="84">
        <v>307</v>
      </c>
      <c r="J52" s="84">
        <v>271</v>
      </c>
      <c r="K52" s="83" t="s">
        <v>639</v>
      </c>
      <c r="L52" s="86">
        <v>78</v>
      </c>
      <c r="M52" s="87">
        <v>96</v>
      </c>
      <c r="N52" s="88">
        <v>1.254</v>
      </c>
      <c r="O52" s="89">
        <v>25.52</v>
      </c>
      <c r="P52" s="86">
        <v>11770</v>
      </c>
      <c r="Q52" s="84">
        <v>713.1</v>
      </c>
      <c r="R52" s="84">
        <v>804.3</v>
      </c>
      <c r="S52" s="89">
        <v>13.71</v>
      </c>
      <c r="T52" s="91">
        <v>30.81</v>
      </c>
      <c r="U52" s="84">
        <v>788.1</v>
      </c>
      <c r="V52" s="89">
        <v>98.52</v>
      </c>
      <c r="W52" s="84">
        <v>153.69999999999999</v>
      </c>
      <c r="X52" s="91">
        <v>3.55</v>
      </c>
      <c r="Y52" s="89">
        <v>51.59</v>
      </c>
      <c r="Z52" s="40">
        <v>28.15</v>
      </c>
      <c r="AA52" s="50">
        <v>199.1</v>
      </c>
      <c r="AB52" s="21">
        <v>1</v>
      </c>
      <c r="AC52" s="21">
        <v>1</v>
      </c>
      <c r="AD52" s="43" t="s">
        <v>616</v>
      </c>
      <c r="AE52" s="21">
        <v>2</v>
      </c>
      <c r="AF52" s="21">
        <v>4</v>
      </c>
      <c r="AG52" s="42" t="s">
        <v>616</v>
      </c>
      <c r="AH52" s="83"/>
    </row>
    <row r="53" spans="1:34" s="350" customFormat="1" ht="13.5" customHeight="1">
      <c r="A53" s="334" t="s">
        <v>647</v>
      </c>
      <c r="B53" s="335">
        <v>57</v>
      </c>
      <c r="C53" s="336">
        <v>334</v>
      </c>
      <c r="D53" s="336">
        <v>162</v>
      </c>
      <c r="E53" s="337">
        <v>8.5</v>
      </c>
      <c r="F53" s="337">
        <v>13.5</v>
      </c>
      <c r="G53" s="338">
        <v>18</v>
      </c>
      <c r="H53" s="339">
        <v>72.62</v>
      </c>
      <c r="I53" s="337">
        <v>307</v>
      </c>
      <c r="J53" s="337">
        <v>271</v>
      </c>
      <c r="K53" s="336" t="s">
        <v>639</v>
      </c>
      <c r="L53" s="341">
        <v>80</v>
      </c>
      <c r="M53" s="342">
        <v>98</v>
      </c>
      <c r="N53" s="343">
        <v>1.268</v>
      </c>
      <c r="O53" s="344">
        <v>22.24</v>
      </c>
      <c r="P53" s="341">
        <v>13910</v>
      </c>
      <c r="Q53" s="337">
        <v>833</v>
      </c>
      <c r="R53" s="337">
        <v>942.8</v>
      </c>
      <c r="S53" s="344">
        <v>13.84</v>
      </c>
      <c r="T53" s="339">
        <v>34.880000000000003</v>
      </c>
      <c r="U53" s="337">
        <v>960.4</v>
      </c>
      <c r="V53" s="337">
        <v>118.6</v>
      </c>
      <c r="W53" s="337">
        <v>185</v>
      </c>
      <c r="X53" s="339">
        <v>3.64</v>
      </c>
      <c r="Y53" s="344">
        <v>56.59</v>
      </c>
      <c r="Z53" s="345">
        <v>42.15</v>
      </c>
      <c r="AA53" s="351">
        <v>245.7</v>
      </c>
      <c r="AB53" s="347">
        <v>1</v>
      </c>
      <c r="AC53" s="347">
        <v>1</v>
      </c>
      <c r="AD53" s="348" t="s">
        <v>616</v>
      </c>
      <c r="AE53" s="347">
        <v>1</v>
      </c>
      <c r="AF53" s="347">
        <v>3</v>
      </c>
      <c r="AG53" s="349" t="s">
        <v>616</v>
      </c>
      <c r="AH53" s="336"/>
    </row>
    <row r="54" spans="1:34" ht="13.5" customHeight="1">
      <c r="A54" s="81"/>
      <c r="B54" s="139"/>
      <c r="C54" s="83"/>
      <c r="D54" s="83"/>
      <c r="E54" s="84"/>
      <c r="F54" s="84"/>
      <c r="G54" s="90"/>
      <c r="H54" s="91"/>
      <c r="I54" s="84"/>
      <c r="J54" s="84"/>
      <c r="K54" s="83"/>
      <c r="L54" s="86"/>
      <c r="M54" s="87"/>
      <c r="N54" s="88"/>
      <c r="O54" s="89"/>
      <c r="P54" s="86"/>
      <c r="Q54" s="84"/>
      <c r="R54" s="84"/>
      <c r="S54" s="89"/>
      <c r="T54" s="91"/>
      <c r="U54" s="84"/>
      <c r="V54" s="84"/>
      <c r="W54" s="84"/>
      <c r="X54" s="91"/>
      <c r="Y54" s="89"/>
      <c r="Z54" s="40"/>
      <c r="AA54" s="50"/>
      <c r="AB54" s="21"/>
      <c r="AC54" s="21"/>
      <c r="AD54" s="43"/>
      <c r="AE54" s="21"/>
      <c r="AF54" s="21"/>
      <c r="AG54" s="42"/>
      <c r="AH54" s="83"/>
    </row>
    <row r="55" spans="1:34" s="350" customFormat="1" ht="13.5" customHeight="1">
      <c r="A55" s="334" t="s">
        <v>648</v>
      </c>
      <c r="B55" s="335">
        <v>50.2</v>
      </c>
      <c r="C55" s="336">
        <v>357.6</v>
      </c>
      <c r="D55" s="336">
        <v>170</v>
      </c>
      <c r="E55" s="337">
        <v>6.6</v>
      </c>
      <c r="F55" s="337">
        <v>11.5</v>
      </c>
      <c r="G55" s="338">
        <v>18</v>
      </c>
      <c r="H55" s="339">
        <v>63.96</v>
      </c>
      <c r="I55" s="337">
        <v>334.6</v>
      </c>
      <c r="J55" s="337">
        <v>298.60000000000002</v>
      </c>
      <c r="K55" s="336" t="s">
        <v>649</v>
      </c>
      <c r="L55" s="341">
        <v>86</v>
      </c>
      <c r="M55" s="342">
        <v>88</v>
      </c>
      <c r="N55" s="343">
        <v>1.351</v>
      </c>
      <c r="O55" s="344">
        <v>26.91</v>
      </c>
      <c r="P55" s="341">
        <v>14520</v>
      </c>
      <c r="Q55" s="337">
        <v>811.8</v>
      </c>
      <c r="R55" s="337">
        <v>906.8</v>
      </c>
      <c r="S55" s="344">
        <v>15.06</v>
      </c>
      <c r="T55" s="339">
        <v>29.76</v>
      </c>
      <c r="U55" s="337">
        <v>944.3</v>
      </c>
      <c r="V55" s="337">
        <v>111.1</v>
      </c>
      <c r="W55" s="337">
        <v>171.9</v>
      </c>
      <c r="X55" s="339">
        <v>3.84</v>
      </c>
      <c r="Y55" s="344">
        <v>50.69</v>
      </c>
      <c r="Z55" s="345">
        <v>26.51</v>
      </c>
      <c r="AA55" s="351">
        <v>282</v>
      </c>
      <c r="AB55" s="347">
        <v>1</v>
      </c>
      <c r="AC55" s="347">
        <v>1</v>
      </c>
      <c r="AD55" s="348" t="s">
        <v>616</v>
      </c>
      <c r="AE55" s="347">
        <v>4</v>
      </c>
      <c r="AF55" s="347">
        <v>4</v>
      </c>
      <c r="AG55" s="349" t="s">
        <v>616</v>
      </c>
      <c r="AH55" s="336"/>
    </row>
    <row r="56" spans="1:34" ht="13.5" customHeight="1">
      <c r="A56" s="81" t="s">
        <v>650</v>
      </c>
      <c r="B56" s="139">
        <v>57.1</v>
      </c>
      <c r="C56" s="83">
        <v>360</v>
      </c>
      <c r="D56" s="83">
        <v>170</v>
      </c>
      <c r="E56" s="84">
        <v>8</v>
      </c>
      <c r="F56" s="84">
        <v>12.7</v>
      </c>
      <c r="G56" s="90">
        <v>18</v>
      </c>
      <c r="H56" s="91">
        <v>72.73</v>
      </c>
      <c r="I56" s="84">
        <v>334.6</v>
      </c>
      <c r="J56" s="84">
        <v>298.60000000000002</v>
      </c>
      <c r="K56" s="83" t="s">
        <v>649</v>
      </c>
      <c r="L56" s="86">
        <v>88</v>
      </c>
      <c r="M56" s="87">
        <v>88</v>
      </c>
      <c r="N56" s="88">
        <v>1.353</v>
      </c>
      <c r="O56" s="89">
        <v>23.7</v>
      </c>
      <c r="P56" s="86">
        <v>16270</v>
      </c>
      <c r="Q56" s="84">
        <v>903.6</v>
      </c>
      <c r="R56" s="86">
        <v>1019</v>
      </c>
      <c r="S56" s="89">
        <v>14.95</v>
      </c>
      <c r="T56" s="91">
        <v>35.14</v>
      </c>
      <c r="U56" s="86">
        <v>1043</v>
      </c>
      <c r="V56" s="84">
        <v>122.8</v>
      </c>
      <c r="W56" s="84">
        <v>191.1</v>
      </c>
      <c r="X56" s="91">
        <v>3.79</v>
      </c>
      <c r="Y56" s="89">
        <v>54.49</v>
      </c>
      <c r="Z56" s="40">
        <v>37.32</v>
      </c>
      <c r="AA56" s="50">
        <v>313.60000000000002</v>
      </c>
      <c r="AB56" s="21">
        <v>1</v>
      </c>
      <c r="AC56" s="21">
        <v>1</v>
      </c>
      <c r="AD56" s="43" t="s">
        <v>616</v>
      </c>
      <c r="AE56" s="21">
        <v>2</v>
      </c>
      <c r="AF56" s="21">
        <v>4</v>
      </c>
      <c r="AG56" s="42" t="s">
        <v>616</v>
      </c>
      <c r="AH56" s="83"/>
    </row>
    <row r="57" spans="1:34" s="350" customFormat="1" ht="13.5" customHeight="1">
      <c r="A57" s="334" t="s">
        <v>651</v>
      </c>
      <c r="B57" s="335">
        <v>66</v>
      </c>
      <c r="C57" s="336">
        <v>364</v>
      </c>
      <c r="D57" s="336">
        <v>172</v>
      </c>
      <c r="E57" s="337">
        <v>9.1999999999999993</v>
      </c>
      <c r="F57" s="337">
        <v>14.7</v>
      </c>
      <c r="G57" s="338">
        <v>18</v>
      </c>
      <c r="H57" s="339">
        <v>84.13</v>
      </c>
      <c r="I57" s="337">
        <v>334.6</v>
      </c>
      <c r="J57" s="337">
        <v>298.60000000000002</v>
      </c>
      <c r="K57" s="336" t="s">
        <v>649</v>
      </c>
      <c r="L57" s="341">
        <v>90</v>
      </c>
      <c r="M57" s="342">
        <v>90</v>
      </c>
      <c r="N57" s="343">
        <v>1.367</v>
      </c>
      <c r="O57" s="344">
        <v>20.69</v>
      </c>
      <c r="P57" s="341">
        <v>19050</v>
      </c>
      <c r="Q57" s="341">
        <v>1047</v>
      </c>
      <c r="R57" s="341">
        <v>1186</v>
      </c>
      <c r="S57" s="344">
        <v>15.05</v>
      </c>
      <c r="T57" s="339">
        <v>40.21</v>
      </c>
      <c r="U57" s="341">
        <v>1251</v>
      </c>
      <c r="V57" s="337">
        <v>145.5</v>
      </c>
      <c r="W57" s="337">
        <v>226.9</v>
      </c>
      <c r="X57" s="339">
        <v>3.86</v>
      </c>
      <c r="Y57" s="344">
        <v>59.69</v>
      </c>
      <c r="Z57" s="345">
        <v>55.76</v>
      </c>
      <c r="AA57" s="351">
        <v>380.3</v>
      </c>
      <c r="AB57" s="347">
        <v>1</v>
      </c>
      <c r="AC57" s="347">
        <v>1</v>
      </c>
      <c r="AD57" s="348" t="s">
        <v>616</v>
      </c>
      <c r="AE57" s="347">
        <v>1</v>
      </c>
      <c r="AF57" s="347">
        <v>3</v>
      </c>
      <c r="AG57" s="349" t="s">
        <v>616</v>
      </c>
      <c r="AH57" s="336"/>
    </row>
    <row r="58" spans="1:34" ht="13.5" customHeight="1">
      <c r="A58" s="81"/>
      <c r="B58" s="139"/>
      <c r="C58" s="83"/>
      <c r="D58" s="83"/>
      <c r="E58" s="84"/>
      <c r="F58" s="84"/>
      <c r="G58" s="90"/>
      <c r="H58" s="91"/>
      <c r="I58" s="84"/>
      <c r="J58" s="84"/>
      <c r="K58" s="83"/>
      <c r="L58" s="86"/>
      <c r="M58" s="87"/>
      <c r="N58" s="88"/>
      <c r="O58" s="89"/>
      <c r="P58" s="86"/>
      <c r="Q58" s="86"/>
      <c r="R58" s="86"/>
      <c r="S58" s="89"/>
      <c r="T58" s="91"/>
      <c r="U58" s="86"/>
      <c r="V58" s="84"/>
      <c r="W58" s="84"/>
      <c r="X58" s="91"/>
      <c r="Y58" s="89"/>
      <c r="Z58" s="40"/>
      <c r="AA58" s="50"/>
      <c r="AB58" s="21"/>
      <c r="AC58" s="21"/>
      <c r="AD58" s="43"/>
      <c r="AE58" s="21"/>
      <c r="AF58" s="21"/>
      <c r="AG58" s="42"/>
      <c r="AH58" s="83"/>
    </row>
    <row r="59" spans="1:34" s="350" customFormat="1" ht="13.5" customHeight="1">
      <c r="A59" s="334" t="s">
        <v>652</v>
      </c>
      <c r="B59" s="335">
        <v>57.4</v>
      </c>
      <c r="C59" s="336">
        <v>397</v>
      </c>
      <c r="D59" s="336">
        <v>180</v>
      </c>
      <c r="E59" s="337">
        <v>7</v>
      </c>
      <c r="F59" s="337">
        <v>12</v>
      </c>
      <c r="G59" s="338">
        <v>21</v>
      </c>
      <c r="H59" s="339">
        <v>73.099999999999994</v>
      </c>
      <c r="I59" s="337">
        <v>373</v>
      </c>
      <c r="J59" s="337">
        <v>331</v>
      </c>
      <c r="K59" s="336" t="s">
        <v>649</v>
      </c>
      <c r="L59" s="341">
        <v>94</v>
      </c>
      <c r="M59" s="342">
        <v>98</v>
      </c>
      <c r="N59" s="343">
        <v>1.464</v>
      </c>
      <c r="O59" s="344">
        <v>25.51</v>
      </c>
      <c r="P59" s="341">
        <v>20290</v>
      </c>
      <c r="Q59" s="341">
        <v>1022</v>
      </c>
      <c r="R59" s="341">
        <v>1144</v>
      </c>
      <c r="S59" s="344">
        <v>16.66</v>
      </c>
      <c r="T59" s="339">
        <v>35.78</v>
      </c>
      <c r="U59" s="341">
        <v>1171</v>
      </c>
      <c r="V59" s="337">
        <v>130.1</v>
      </c>
      <c r="W59" s="337">
        <v>202.1</v>
      </c>
      <c r="X59" s="339">
        <v>4</v>
      </c>
      <c r="Y59" s="344">
        <v>55.6</v>
      </c>
      <c r="Z59" s="345">
        <v>34.79</v>
      </c>
      <c r="AA59" s="351">
        <v>432.2</v>
      </c>
      <c r="AB59" s="347">
        <v>1</v>
      </c>
      <c r="AC59" s="347">
        <v>1</v>
      </c>
      <c r="AD59" s="348" t="s">
        <v>616</v>
      </c>
      <c r="AE59" s="347">
        <v>4</v>
      </c>
      <c r="AF59" s="347">
        <v>4</v>
      </c>
      <c r="AG59" s="349" t="s">
        <v>616</v>
      </c>
      <c r="AH59" s="336"/>
    </row>
    <row r="60" spans="1:34" ht="13.5" customHeight="1">
      <c r="A60" s="81" t="s">
        <v>653</v>
      </c>
      <c r="B60" s="139">
        <v>66.3</v>
      </c>
      <c r="C60" s="83">
        <v>400</v>
      </c>
      <c r="D60" s="83">
        <v>180</v>
      </c>
      <c r="E60" s="84">
        <v>8.6</v>
      </c>
      <c r="F60" s="84">
        <v>13.5</v>
      </c>
      <c r="G60" s="90">
        <v>21</v>
      </c>
      <c r="H60" s="91">
        <v>84.46</v>
      </c>
      <c r="I60" s="84">
        <v>373</v>
      </c>
      <c r="J60" s="84">
        <v>331</v>
      </c>
      <c r="K60" s="83" t="s">
        <v>649</v>
      </c>
      <c r="L60" s="86">
        <v>96</v>
      </c>
      <c r="M60" s="87">
        <v>98</v>
      </c>
      <c r="N60" s="88">
        <v>1.4670000000000001</v>
      </c>
      <c r="O60" s="89">
        <v>22.12</v>
      </c>
      <c r="P60" s="86">
        <v>23130</v>
      </c>
      <c r="Q60" s="86">
        <v>1156</v>
      </c>
      <c r="R60" s="86">
        <v>1307</v>
      </c>
      <c r="S60" s="89">
        <v>16.55</v>
      </c>
      <c r="T60" s="91">
        <v>42.69</v>
      </c>
      <c r="U60" s="86">
        <v>1318</v>
      </c>
      <c r="V60" s="84">
        <v>146.4</v>
      </c>
      <c r="W60" s="84">
        <v>229</v>
      </c>
      <c r="X60" s="91">
        <v>3.95</v>
      </c>
      <c r="Y60" s="89">
        <v>60.2</v>
      </c>
      <c r="Z60" s="40">
        <v>51.08</v>
      </c>
      <c r="AA60" s="50">
        <v>490</v>
      </c>
      <c r="AB60" s="21">
        <v>1</v>
      </c>
      <c r="AC60" s="21">
        <v>1</v>
      </c>
      <c r="AD60" s="43" t="s">
        <v>616</v>
      </c>
      <c r="AE60" s="21">
        <v>3</v>
      </c>
      <c r="AF60" s="21">
        <v>4</v>
      </c>
      <c r="AG60" s="42" t="s">
        <v>616</v>
      </c>
      <c r="AH60" s="83"/>
    </row>
    <row r="61" spans="1:34" s="350" customFormat="1" ht="13.5" customHeight="1">
      <c r="A61" s="334" t="s">
        <v>654</v>
      </c>
      <c r="B61" s="335">
        <v>75.7</v>
      </c>
      <c r="C61" s="336">
        <v>404</v>
      </c>
      <c r="D61" s="336">
        <v>182</v>
      </c>
      <c r="E61" s="337">
        <v>9.6999999999999993</v>
      </c>
      <c r="F61" s="337">
        <v>15.5</v>
      </c>
      <c r="G61" s="338">
        <v>21</v>
      </c>
      <c r="H61" s="339">
        <v>96.39</v>
      </c>
      <c r="I61" s="337">
        <v>373</v>
      </c>
      <c r="J61" s="337">
        <v>331</v>
      </c>
      <c r="K61" s="336" t="s">
        <v>649</v>
      </c>
      <c r="L61" s="341">
        <v>96</v>
      </c>
      <c r="M61" s="342">
        <v>100</v>
      </c>
      <c r="N61" s="343">
        <v>1.4810000000000001</v>
      </c>
      <c r="O61" s="344">
        <v>19.57</v>
      </c>
      <c r="P61" s="341">
        <v>26750</v>
      </c>
      <c r="Q61" s="341">
        <v>1324</v>
      </c>
      <c r="R61" s="341">
        <v>1502</v>
      </c>
      <c r="S61" s="344">
        <v>16.66</v>
      </c>
      <c r="T61" s="339">
        <v>47.98</v>
      </c>
      <c r="U61" s="341">
        <v>1564</v>
      </c>
      <c r="V61" s="337">
        <v>171.9</v>
      </c>
      <c r="W61" s="337">
        <v>269.10000000000002</v>
      </c>
      <c r="X61" s="339">
        <v>4.03</v>
      </c>
      <c r="Y61" s="344">
        <v>65.3</v>
      </c>
      <c r="Z61" s="345">
        <v>73.099999999999994</v>
      </c>
      <c r="AA61" s="351">
        <v>587.6</v>
      </c>
      <c r="AB61" s="347">
        <v>1</v>
      </c>
      <c r="AC61" s="347">
        <v>1</v>
      </c>
      <c r="AD61" s="348" t="s">
        <v>616</v>
      </c>
      <c r="AE61" s="347">
        <v>2</v>
      </c>
      <c r="AF61" s="347">
        <v>3</v>
      </c>
      <c r="AG61" s="349" t="s">
        <v>616</v>
      </c>
      <c r="AH61" s="336"/>
    </row>
    <row r="62" spans="1:34" ht="13.5" customHeight="1">
      <c r="A62" s="81"/>
      <c r="B62" s="139"/>
      <c r="C62" s="83"/>
      <c r="D62" s="83"/>
      <c r="E62" s="84"/>
      <c r="F62" s="84"/>
      <c r="G62" s="90"/>
      <c r="H62" s="91"/>
      <c r="I62" s="84"/>
      <c r="J62" s="84"/>
      <c r="K62" s="83"/>
      <c r="L62" s="86"/>
      <c r="M62" s="87"/>
      <c r="N62" s="88"/>
      <c r="O62" s="89"/>
      <c r="P62" s="86"/>
      <c r="Q62" s="86"/>
      <c r="R62" s="86"/>
      <c r="S62" s="89"/>
      <c r="T62" s="91"/>
      <c r="U62" s="86"/>
      <c r="V62" s="84"/>
      <c r="W62" s="84"/>
      <c r="X62" s="91"/>
      <c r="Y62" s="89"/>
      <c r="Z62" s="40"/>
      <c r="AA62" s="50"/>
      <c r="AB62" s="21"/>
      <c r="AC62" s="21"/>
      <c r="AD62" s="43"/>
      <c r="AE62" s="21"/>
      <c r="AF62" s="21"/>
      <c r="AG62" s="42"/>
      <c r="AH62" s="83"/>
    </row>
    <row r="63" spans="1:34" s="350" customFormat="1" ht="13.5" customHeight="1">
      <c r="A63" s="334" t="s">
        <v>655</v>
      </c>
      <c r="B63" s="335">
        <v>67.2</v>
      </c>
      <c r="C63" s="336">
        <v>447</v>
      </c>
      <c r="D63" s="336">
        <v>190</v>
      </c>
      <c r="E63" s="337">
        <v>7.6</v>
      </c>
      <c r="F63" s="337">
        <v>13.1</v>
      </c>
      <c r="G63" s="338">
        <v>21</v>
      </c>
      <c r="H63" s="339">
        <v>85.55</v>
      </c>
      <c r="I63" s="337">
        <v>420.8</v>
      </c>
      <c r="J63" s="337">
        <v>378.8</v>
      </c>
      <c r="K63" s="336" t="s">
        <v>656</v>
      </c>
      <c r="L63" s="341">
        <v>100</v>
      </c>
      <c r="M63" s="342">
        <v>102</v>
      </c>
      <c r="N63" s="343">
        <v>1.603</v>
      </c>
      <c r="O63" s="344">
        <v>23.87</v>
      </c>
      <c r="P63" s="341">
        <v>29760</v>
      </c>
      <c r="Q63" s="341">
        <v>1331</v>
      </c>
      <c r="R63" s="341">
        <v>1494</v>
      </c>
      <c r="S63" s="344">
        <v>18.649999999999999</v>
      </c>
      <c r="T63" s="339">
        <v>42.26</v>
      </c>
      <c r="U63" s="341">
        <v>1502</v>
      </c>
      <c r="V63" s="337">
        <v>158.1</v>
      </c>
      <c r="W63" s="337">
        <v>245.7</v>
      </c>
      <c r="X63" s="339">
        <v>4.1900000000000004</v>
      </c>
      <c r="Y63" s="344">
        <v>58.4</v>
      </c>
      <c r="Z63" s="345">
        <v>45.67</v>
      </c>
      <c r="AA63" s="351">
        <v>704.9</v>
      </c>
      <c r="AB63" s="347">
        <v>1</v>
      </c>
      <c r="AC63" s="347">
        <v>1</v>
      </c>
      <c r="AD63" s="348" t="s">
        <v>616</v>
      </c>
      <c r="AE63" s="347">
        <v>4</v>
      </c>
      <c r="AF63" s="347">
        <v>4</v>
      </c>
      <c r="AG63" s="349" t="s">
        <v>616</v>
      </c>
      <c r="AH63" s="336"/>
    </row>
    <row r="64" spans="1:34" ht="13.5" customHeight="1">
      <c r="A64" s="81" t="s">
        <v>657</v>
      </c>
      <c r="B64" s="139">
        <v>77.599999999999994</v>
      </c>
      <c r="C64" s="83">
        <v>450</v>
      </c>
      <c r="D64" s="83">
        <v>190</v>
      </c>
      <c r="E64" s="84">
        <v>9.4</v>
      </c>
      <c r="F64" s="84">
        <v>14.6</v>
      </c>
      <c r="G64" s="90">
        <v>21</v>
      </c>
      <c r="H64" s="91">
        <v>98.82</v>
      </c>
      <c r="I64" s="84">
        <v>420.8</v>
      </c>
      <c r="J64" s="84">
        <v>378.8</v>
      </c>
      <c r="K64" s="83" t="s">
        <v>656</v>
      </c>
      <c r="L64" s="86">
        <v>100</v>
      </c>
      <c r="M64" s="87">
        <v>102</v>
      </c>
      <c r="N64" s="88">
        <v>1.605</v>
      </c>
      <c r="O64" s="89">
        <v>20.69</v>
      </c>
      <c r="P64" s="86">
        <v>33740</v>
      </c>
      <c r="Q64" s="86">
        <v>1500</v>
      </c>
      <c r="R64" s="86">
        <v>1702</v>
      </c>
      <c r="S64" s="89">
        <v>18.48</v>
      </c>
      <c r="T64" s="91">
        <v>50.85</v>
      </c>
      <c r="U64" s="86">
        <v>1676</v>
      </c>
      <c r="V64" s="84">
        <v>176.4</v>
      </c>
      <c r="W64" s="84">
        <v>276.39999999999998</v>
      </c>
      <c r="X64" s="91">
        <v>4.12</v>
      </c>
      <c r="Y64" s="89">
        <v>63.2</v>
      </c>
      <c r="Z64" s="40">
        <v>66.87</v>
      </c>
      <c r="AA64" s="50">
        <v>791</v>
      </c>
      <c r="AB64" s="21">
        <v>1</v>
      </c>
      <c r="AC64" s="21">
        <v>1</v>
      </c>
      <c r="AD64" s="43" t="s">
        <v>616</v>
      </c>
      <c r="AE64" s="21">
        <v>3</v>
      </c>
      <c r="AF64" s="21">
        <v>4</v>
      </c>
      <c r="AG64" s="42" t="s">
        <v>616</v>
      </c>
      <c r="AH64" s="83"/>
    </row>
    <row r="65" spans="1:36" s="350" customFormat="1" ht="13.5" customHeight="1" thickBot="1">
      <c r="A65" s="334" t="s">
        <v>658</v>
      </c>
      <c r="B65" s="335">
        <v>92.4</v>
      </c>
      <c r="C65" s="336">
        <v>456</v>
      </c>
      <c r="D65" s="336">
        <v>192</v>
      </c>
      <c r="E65" s="337">
        <v>11</v>
      </c>
      <c r="F65" s="337">
        <v>17.600000000000001</v>
      </c>
      <c r="G65" s="338">
        <v>21</v>
      </c>
      <c r="H65" s="335">
        <v>117.7</v>
      </c>
      <c r="I65" s="337">
        <v>420.8</v>
      </c>
      <c r="J65" s="337">
        <v>378.8</v>
      </c>
      <c r="K65" s="336" t="s">
        <v>656</v>
      </c>
      <c r="L65" s="341">
        <v>102</v>
      </c>
      <c r="M65" s="342">
        <v>104</v>
      </c>
      <c r="N65" s="343">
        <v>1.6220000000000001</v>
      </c>
      <c r="O65" s="344">
        <v>17.559999999999999</v>
      </c>
      <c r="P65" s="341">
        <v>40920</v>
      </c>
      <c r="Q65" s="341">
        <v>1795</v>
      </c>
      <c r="R65" s="341">
        <v>2046</v>
      </c>
      <c r="S65" s="344">
        <v>18.649999999999999</v>
      </c>
      <c r="T65" s="339">
        <v>59.4</v>
      </c>
      <c r="U65" s="337">
        <v>2085</v>
      </c>
      <c r="V65" s="337">
        <v>217.2</v>
      </c>
      <c r="W65" s="337">
        <v>341</v>
      </c>
      <c r="X65" s="339">
        <v>4.21</v>
      </c>
      <c r="Y65" s="344">
        <v>70.8</v>
      </c>
      <c r="Z65" s="352">
        <v>109</v>
      </c>
      <c r="AA65" s="353">
        <v>997.6</v>
      </c>
      <c r="AB65" s="354">
        <v>1</v>
      </c>
      <c r="AC65" s="355">
        <v>1</v>
      </c>
      <c r="AD65" s="356" t="s">
        <v>616</v>
      </c>
      <c r="AE65" s="355">
        <v>2</v>
      </c>
      <c r="AF65" s="355">
        <v>4</v>
      </c>
      <c r="AG65" s="357" t="s">
        <v>616</v>
      </c>
      <c r="AH65" s="358"/>
    </row>
    <row r="66" spans="1:36" ht="13.5" customHeight="1" thickTop="1">
      <c r="A66" s="81"/>
      <c r="B66" s="139"/>
      <c r="C66" s="83"/>
      <c r="D66" s="83"/>
      <c r="E66" s="84"/>
      <c r="F66" s="84"/>
      <c r="G66" s="90"/>
      <c r="H66" s="82"/>
      <c r="I66" s="84"/>
      <c r="J66" s="84"/>
      <c r="K66" s="83"/>
      <c r="L66" s="86"/>
      <c r="M66" s="87"/>
      <c r="N66" s="88"/>
      <c r="O66" s="89"/>
      <c r="P66" s="86"/>
      <c r="Q66" s="86"/>
      <c r="R66" s="86"/>
      <c r="S66" s="89"/>
      <c r="T66" s="91"/>
      <c r="U66" s="86"/>
      <c r="V66" s="84"/>
      <c r="W66" s="84"/>
      <c r="X66" s="91"/>
      <c r="Y66" s="89"/>
      <c r="Z66" s="40"/>
      <c r="AA66" s="42"/>
      <c r="AB66" s="21"/>
      <c r="AC66" s="21"/>
      <c r="AD66" s="43"/>
      <c r="AE66" s="21"/>
      <c r="AF66" s="21"/>
      <c r="AG66" s="42"/>
      <c r="AH66" s="83"/>
    </row>
    <row r="67" spans="1:36" s="350" customFormat="1" ht="13.5" customHeight="1">
      <c r="A67" s="334" t="s">
        <v>659</v>
      </c>
      <c r="B67" s="335">
        <v>79.400000000000006</v>
      </c>
      <c r="C67" s="336">
        <v>497</v>
      </c>
      <c r="D67" s="336">
        <v>200</v>
      </c>
      <c r="E67" s="337">
        <v>8.4</v>
      </c>
      <c r="F67" s="337">
        <v>14.5</v>
      </c>
      <c r="G67" s="338">
        <v>21</v>
      </c>
      <c r="H67" s="335">
        <v>101.1</v>
      </c>
      <c r="I67" s="337">
        <v>468</v>
      </c>
      <c r="J67" s="337">
        <v>426</v>
      </c>
      <c r="K67" s="336" t="s">
        <v>656</v>
      </c>
      <c r="L67" s="341">
        <v>100</v>
      </c>
      <c r="M67" s="342">
        <v>112</v>
      </c>
      <c r="N67" s="343">
        <v>1.7410000000000001</v>
      </c>
      <c r="O67" s="344">
        <v>21.94</v>
      </c>
      <c r="P67" s="341">
        <v>42930</v>
      </c>
      <c r="Q67" s="341">
        <v>1728</v>
      </c>
      <c r="R67" s="341">
        <v>1946</v>
      </c>
      <c r="S67" s="344">
        <v>20.61</v>
      </c>
      <c r="T67" s="339">
        <v>50.41</v>
      </c>
      <c r="U67" s="341">
        <v>1939</v>
      </c>
      <c r="V67" s="337">
        <v>193.9</v>
      </c>
      <c r="W67" s="337">
        <v>301.60000000000002</v>
      </c>
      <c r="X67" s="339">
        <v>4.38</v>
      </c>
      <c r="Y67" s="344">
        <v>62</v>
      </c>
      <c r="Z67" s="347">
        <v>62.78</v>
      </c>
      <c r="AA67" s="349">
        <v>1125</v>
      </c>
      <c r="AB67" s="347">
        <v>1</v>
      </c>
      <c r="AC67" s="347">
        <v>1</v>
      </c>
      <c r="AD67" s="348" t="s">
        <v>616</v>
      </c>
      <c r="AE67" s="347">
        <v>4</v>
      </c>
      <c r="AF67" s="347">
        <v>4</v>
      </c>
      <c r="AG67" s="349" t="s">
        <v>616</v>
      </c>
      <c r="AH67" s="336"/>
    </row>
    <row r="68" spans="1:36" ht="13.5" customHeight="1">
      <c r="A68" s="81" t="s">
        <v>660</v>
      </c>
      <c r="B68" s="139">
        <v>90.7</v>
      </c>
      <c r="C68" s="83">
        <v>500</v>
      </c>
      <c r="D68" s="83">
        <v>200</v>
      </c>
      <c r="E68" s="84">
        <v>10.199999999999999</v>
      </c>
      <c r="F68" s="84">
        <v>16</v>
      </c>
      <c r="G68" s="90">
        <v>21</v>
      </c>
      <c r="H68" s="82">
        <v>115.5</v>
      </c>
      <c r="I68" s="84">
        <v>468</v>
      </c>
      <c r="J68" s="84">
        <v>426</v>
      </c>
      <c r="K68" s="83" t="s">
        <v>656</v>
      </c>
      <c r="L68" s="86">
        <v>102</v>
      </c>
      <c r="M68" s="87">
        <v>112</v>
      </c>
      <c r="N68" s="88">
        <v>1.744</v>
      </c>
      <c r="O68" s="89">
        <v>19.23</v>
      </c>
      <c r="P68" s="86">
        <v>48200</v>
      </c>
      <c r="Q68" s="86">
        <v>1928</v>
      </c>
      <c r="R68" s="86">
        <v>2194</v>
      </c>
      <c r="S68" s="89">
        <v>20.43</v>
      </c>
      <c r="T68" s="91">
        <v>59.87</v>
      </c>
      <c r="U68" s="86">
        <v>2142</v>
      </c>
      <c r="V68" s="84">
        <v>214.2</v>
      </c>
      <c r="W68" s="84">
        <v>335.9</v>
      </c>
      <c r="X68" s="91">
        <v>4.3099999999999996</v>
      </c>
      <c r="Y68" s="89">
        <v>66.8</v>
      </c>
      <c r="Z68" s="21">
        <v>89.29</v>
      </c>
      <c r="AA68" s="42">
        <v>1249</v>
      </c>
      <c r="AB68" s="21">
        <v>1</v>
      </c>
      <c r="AC68" s="21">
        <v>1</v>
      </c>
      <c r="AD68" s="43">
        <v>1</v>
      </c>
      <c r="AE68" s="21">
        <v>3</v>
      </c>
      <c r="AF68" s="21">
        <v>4</v>
      </c>
      <c r="AG68" s="42">
        <v>4</v>
      </c>
      <c r="AH68" s="83" t="s">
        <v>661</v>
      </c>
      <c r="AJ68" s="166"/>
    </row>
    <row r="69" spans="1:36" s="350" customFormat="1" ht="13.5" customHeight="1">
      <c r="A69" s="334" t="s">
        <v>662</v>
      </c>
      <c r="B69" s="335">
        <v>107</v>
      </c>
      <c r="C69" s="336">
        <v>506</v>
      </c>
      <c r="D69" s="336">
        <v>202</v>
      </c>
      <c r="E69" s="337">
        <v>12</v>
      </c>
      <c r="F69" s="337">
        <v>19</v>
      </c>
      <c r="G69" s="338">
        <v>21</v>
      </c>
      <c r="H69" s="335">
        <v>136.69999999999999</v>
      </c>
      <c r="I69" s="337">
        <v>468</v>
      </c>
      <c r="J69" s="337">
        <v>426</v>
      </c>
      <c r="K69" s="336" t="s">
        <v>656</v>
      </c>
      <c r="L69" s="341">
        <v>104</v>
      </c>
      <c r="M69" s="342">
        <v>114</v>
      </c>
      <c r="N69" s="343">
        <v>1.76</v>
      </c>
      <c r="O69" s="344">
        <v>16.399999999999999</v>
      </c>
      <c r="P69" s="341">
        <v>57780</v>
      </c>
      <c r="Q69" s="341">
        <v>2284</v>
      </c>
      <c r="R69" s="341">
        <v>2613</v>
      </c>
      <c r="S69" s="344">
        <v>20.56</v>
      </c>
      <c r="T69" s="339">
        <v>70.209999999999994</v>
      </c>
      <c r="U69" s="341">
        <v>2622</v>
      </c>
      <c r="V69" s="337">
        <v>259.60000000000002</v>
      </c>
      <c r="W69" s="337">
        <v>408.5</v>
      </c>
      <c r="X69" s="339">
        <v>4.38</v>
      </c>
      <c r="Y69" s="344">
        <v>74.599999999999994</v>
      </c>
      <c r="Z69" s="347">
        <v>143.5</v>
      </c>
      <c r="AA69" s="349">
        <v>1548</v>
      </c>
      <c r="AB69" s="347">
        <v>1</v>
      </c>
      <c r="AC69" s="347">
        <v>1</v>
      </c>
      <c r="AD69" s="348">
        <v>1</v>
      </c>
      <c r="AE69" s="347">
        <v>2</v>
      </c>
      <c r="AF69" s="347">
        <v>4</v>
      </c>
      <c r="AG69" s="349">
        <v>4</v>
      </c>
      <c r="AH69" s="336" t="s">
        <v>661</v>
      </c>
      <c r="AJ69" s="359"/>
    </row>
    <row r="70" spans="1:36" ht="13.5" customHeight="1">
      <c r="A70" s="81"/>
      <c r="B70" s="139"/>
      <c r="C70" s="83"/>
      <c r="D70" s="83"/>
      <c r="E70" s="84"/>
      <c r="F70" s="84"/>
      <c r="G70" s="90"/>
      <c r="H70" s="82"/>
      <c r="I70" s="84"/>
      <c r="J70" s="84"/>
      <c r="K70" s="83"/>
      <c r="L70" s="86"/>
      <c r="M70" s="87"/>
      <c r="N70" s="88"/>
      <c r="O70" s="89"/>
      <c r="P70" s="86"/>
      <c r="Q70" s="86"/>
      <c r="R70" s="86"/>
      <c r="S70" s="89"/>
      <c r="T70" s="91"/>
      <c r="U70" s="86"/>
      <c r="V70" s="84"/>
      <c r="W70" s="84"/>
      <c r="X70" s="91"/>
      <c r="Y70" s="89"/>
      <c r="Z70" s="21"/>
      <c r="AA70" s="42"/>
      <c r="AB70" s="21"/>
      <c r="AC70" s="21"/>
      <c r="AD70" s="43"/>
      <c r="AE70" s="21"/>
      <c r="AF70" s="21"/>
      <c r="AG70" s="42"/>
      <c r="AH70" s="83"/>
    </row>
    <row r="71" spans="1:36" s="350" customFormat="1" ht="13.5" customHeight="1">
      <c r="A71" s="334" t="s">
        <v>663</v>
      </c>
      <c r="B71" s="335">
        <v>92.1</v>
      </c>
      <c r="C71" s="336">
        <v>547</v>
      </c>
      <c r="D71" s="336">
        <v>210</v>
      </c>
      <c r="E71" s="337">
        <v>9</v>
      </c>
      <c r="F71" s="337">
        <v>15.7</v>
      </c>
      <c r="G71" s="338">
        <v>24</v>
      </c>
      <c r="H71" s="335">
        <v>117.3</v>
      </c>
      <c r="I71" s="337">
        <v>515.6</v>
      </c>
      <c r="J71" s="337">
        <v>467.6</v>
      </c>
      <c r="K71" s="336" t="s">
        <v>656</v>
      </c>
      <c r="L71" s="341">
        <v>106</v>
      </c>
      <c r="M71" s="342">
        <v>122</v>
      </c>
      <c r="N71" s="343">
        <v>1.875</v>
      </c>
      <c r="O71" s="344">
        <v>20.36</v>
      </c>
      <c r="P71" s="341">
        <v>59980</v>
      </c>
      <c r="Q71" s="341">
        <v>2193</v>
      </c>
      <c r="R71" s="341">
        <v>2475</v>
      </c>
      <c r="S71" s="344">
        <v>22.61</v>
      </c>
      <c r="T71" s="339">
        <v>60.3</v>
      </c>
      <c r="U71" s="341">
        <v>2432</v>
      </c>
      <c r="V71" s="337">
        <v>231.6</v>
      </c>
      <c r="W71" s="337">
        <v>361.5</v>
      </c>
      <c r="X71" s="339">
        <v>4.55</v>
      </c>
      <c r="Y71" s="344">
        <v>68.52</v>
      </c>
      <c r="Z71" s="347">
        <v>86.53</v>
      </c>
      <c r="AA71" s="349">
        <v>1710</v>
      </c>
      <c r="AB71" s="347">
        <v>1</v>
      </c>
      <c r="AC71" s="347">
        <v>1</v>
      </c>
      <c r="AD71" s="348" t="s">
        <v>616</v>
      </c>
      <c r="AE71" s="347">
        <v>4</v>
      </c>
      <c r="AF71" s="347">
        <v>4</v>
      </c>
      <c r="AG71" s="349" t="s">
        <v>616</v>
      </c>
      <c r="AH71" s="336"/>
    </row>
    <row r="72" spans="1:36" ht="13.5" customHeight="1">
      <c r="A72" s="81" t="s">
        <v>664</v>
      </c>
      <c r="B72" s="140">
        <v>106</v>
      </c>
      <c r="C72" s="83">
        <v>550</v>
      </c>
      <c r="D72" s="83">
        <v>210</v>
      </c>
      <c r="E72" s="84">
        <v>11.1</v>
      </c>
      <c r="F72" s="84">
        <v>17.2</v>
      </c>
      <c r="G72" s="90">
        <v>24</v>
      </c>
      <c r="H72" s="82">
        <v>134.4</v>
      </c>
      <c r="I72" s="84">
        <v>515.6</v>
      </c>
      <c r="J72" s="84">
        <v>467.6</v>
      </c>
      <c r="K72" s="83" t="s">
        <v>656</v>
      </c>
      <c r="L72" s="86">
        <v>110</v>
      </c>
      <c r="M72" s="87">
        <v>122</v>
      </c>
      <c r="N72" s="88">
        <v>1.877</v>
      </c>
      <c r="O72" s="89">
        <v>17.78</v>
      </c>
      <c r="P72" s="86">
        <v>67120</v>
      </c>
      <c r="Q72" s="86">
        <v>2441</v>
      </c>
      <c r="R72" s="86">
        <v>2787</v>
      </c>
      <c r="S72" s="89">
        <v>22.35</v>
      </c>
      <c r="T72" s="91">
        <v>72.34</v>
      </c>
      <c r="U72" s="86">
        <v>2668</v>
      </c>
      <c r="V72" s="84">
        <v>254.1</v>
      </c>
      <c r="W72" s="84">
        <v>400.5</v>
      </c>
      <c r="X72" s="91">
        <v>4.45</v>
      </c>
      <c r="Y72" s="89">
        <v>73.62</v>
      </c>
      <c r="Z72" s="21">
        <v>123.2</v>
      </c>
      <c r="AA72" s="42">
        <v>1884</v>
      </c>
      <c r="AB72" s="21">
        <v>1</v>
      </c>
      <c r="AC72" s="21">
        <v>1</v>
      </c>
      <c r="AD72" s="43">
        <v>1</v>
      </c>
      <c r="AE72" s="21">
        <v>4</v>
      </c>
      <c r="AF72" s="21">
        <v>4</v>
      </c>
      <c r="AG72" s="42">
        <v>4</v>
      </c>
      <c r="AH72" s="83" t="s">
        <v>661</v>
      </c>
    </row>
    <row r="73" spans="1:36" s="350" customFormat="1" ht="13.5" customHeight="1">
      <c r="A73" s="334" t="s">
        <v>665</v>
      </c>
      <c r="B73" s="342">
        <v>123</v>
      </c>
      <c r="C73" s="336">
        <v>556</v>
      </c>
      <c r="D73" s="336">
        <v>212</v>
      </c>
      <c r="E73" s="337">
        <v>12.7</v>
      </c>
      <c r="F73" s="337">
        <v>20.2</v>
      </c>
      <c r="G73" s="338">
        <v>24</v>
      </c>
      <c r="H73" s="335">
        <v>156.1</v>
      </c>
      <c r="I73" s="337">
        <v>515.6</v>
      </c>
      <c r="J73" s="337">
        <v>467.6</v>
      </c>
      <c r="K73" s="336" t="s">
        <v>656</v>
      </c>
      <c r="L73" s="341">
        <v>110</v>
      </c>
      <c r="M73" s="342">
        <v>122</v>
      </c>
      <c r="N73" s="343">
        <v>1.893</v>
      </c>
      <c r="O73" s="344">
        <v>15.45</v>
      </c>
      <c r="P73" s="341">
        <v>79160</v>
      </c>
      <c r="Q73" s="341">
        <v>2847</v>
      </c>
      <c r="R73" s="341">
        <v>3263</v>
      </c>
      <c r="S73" s="344">
        <v>22.52</v>
      </c>
      <c r="T73" s="339">
        <v>82.69</v>
      </c>
      <c r="U73" s="341">
        <v>3224</v>
      </c>
      <c r="V73" s="337">
        <v>304.2</v>
      </c>
      <c r="W73" s="337">
        <v>480.5</v>
      </c>
      <c r="X73" s="339">
        <v>4.55</v>
      </c>
      <c r="Y73" s="344">
        <v>81.22</v>
      </c>
      <c r="Z73" s="347">
        <v>187.5</v>
      </c>
      <c r="AA73" s="349">
        <v>2302</v>
      </c>
      <c r="AB73" s="347">
        <v>1</v>
      </c>
      <c r="AC73" s="347">
        <v>1</v>
      </c>
      <c r="AD73" s="348">
        <v>1</v>
      </c>
      <c r="AE73" s="347">
        <v>2</v>
      </c>
      <c r="AF73" s="347">
        <v>4</v>
      </c>
      <c r="AG73" s="349">
        <v>4</v>
      </c>
      <c r="AH73" s="336" t="s">
        <v>661</v>
      </c>
    </row>
    <row r="74" spans="1:36" ht="13.5" customHeight="1">
      <c r="A74" s="81"/>
      <c r="B74" s="140"/>
      <c r="C74" s="83"/>
      <c r="D74" s="83"/>
      <c r="E74" s="84"/>
      <c r="F74" s="84"/>
      <c r="G74" s="90"/>
      <c r="H74" s="82"/>
      <c r="I74" s="84"/>
      <c r="J74" s="84"/>
      <c r="K74" s="83"/>
      <c r="L74" s="86"/>
      <c r="M74" s="87"/>
      <c r="N74" s="88"/>
      <c r="O74" s="89"/>
      <c r="P74" s="86"/>
      <c r="Q74" s="86"/>
      <c r="R74" s="86"/>
      <c r="S74" s="89"/>
      <c r="T74" s="91"/>
      <c r="U74" s="86"/>
      <c r="V74" s="84"/>
      <c r="W74" s="84"/>
      <c r="X74" s="91"/>
      <c r="Y74" s="89"/>
      <c r="Z74" s="21"/>
      <c r="AA74" s="42"/>
      <c r="AB74" s="21"/>
      <c r="AC74" s="21"/>
      <c r="AD74" s="43"/>
      <c r="AE74" s="21"/>
      <c r="AF74" s="21"/>
      <c r="AG74" s="42"/>
      <c r="AH74" s="83"/>
    </row>
    <row r="75" spans="1:36" s="350" customFormat="1" ht="13.5" customHeight="1">
      <c r="A75" s="334" t="s">
        <v>666</v>
      </c>
      <c r="B75" s="342">
        <v>108</v>
      </c>
      <c r="C75" s="336">
        <v>597</v>
      </c>
      <c r="D75" s="336">
        <v>220</v>
      </c>
      <c r="E75" s="337">
        <v>9.8000000000000007</v>
      </c>
      <c r="F75" s="337">
        <v>17.5</v>
      </c>
      <c r="G75" s="338">
        <v>24</v>
      </c>
      <c r="H75" s="335">
        <v>137</v>
      </c>
      <c r="I75" s="337">
        <v>562</v>
      </c>
      <c r="J75" s="337">
        <v>514</v>
      </c>
      <c r="K75" s="336" t="s">
        <v>667</v>
      </c>
      <c r="L75" s="341">
        <v>114</v>
      </c>
      <c r="M75" s="342">
        <v>118</v>
      </c>
      <c r="N75" s="343">
        <v>2.0129999999999999</v>
      </c>
      <c r="O75" s="344">
        <v>18.72</v>
      </c>
      <c r="P75" s="341">
        <v>82920</v>
      </c>
      <c r="Q75" s="341">
        <v>2778</v>
      </c>
      <c r="R75" s="341">
        <v>3141</v>
      </c>
      <c r="S75" s="344">
        <v>24.6</v>
      </c>
      <c r="T75" s="339">
        <v>70.14</v>
      </c>
      <c r="U75" s="341">
        <v>3116</v>
      </c>
      <c r="V75" s="337">
        <v>283.3</v>
      </c>
      <c r="W75" s="337">
        <v>442.1</v>
      </c>
      <c r="X75" s="339">
        <v>4.7699999999999996</v>
      </c>
      <c r="Y75" s="344">
        <v>72.92</v>
      </c>
      <c r="Z75" s="347">
        <v>118.8</v>
      </c>
      <c r="AA75" s="349">
        <v>2607</v>
      </c>
      <c r="AB75" s="347">
        <v>1</v>
      </c>
      <c r="AC75" s="347">
        <v>1</v>
      </c>
      <c r="AD75" s="348" t="s">
        <v>616</v>
      </c>
      <c r="AE75" s="347">
        <v>4</v>
      </c>
      <c r="AF75" s="347">
        <v>4</v>
      </c>
      <c r="AG75" s="349" t="s">
        <v>616</v>
      </c>
      <c r="AH75" s="336"/>
    </row>
    <row r="76" spans="1:36" ht="13.5" customHeight="1">
      <c r="A76" s="81" t="s">
        <v>668</v>
      </c>
      <c r="B76" s="140">
        <v>122</v>
      </c>
      <c r="C76" s="83">
        <v>600</v>
      </c>
      <c r="D76" s="83">
        <v>220</v>
      </c>
      <c r="E76" s="84">
        <v>12</v>
      </c>
      <c r="F76" s="84">
        <v>19</v>
      </c>
      <c r="G76" s="90">
        <v>24</v>
      </c>
      <c r="H76" s="82">
        <v>156</v>
      </c>
      <c r="I76" s="84">
        <v>562</v>
      </c>
      <c r="J76" s="84">
        <v>514</v>
      </c>
      <c r="K76" s="83" t="s">
        <v>667</v>
      </c>
      <c r="L76" s="86">
        <v>116</v>
      </c>
      <c r="M76" s="87">
        <v>118</v>
      </c>
      <c r="N76" s="88">
        <v>2.0150000000000001</v>
      </c>
      <c r="O76" s="89">
        <v>16.45</v>
      </c>
      <c r="P76" s="86">
        <v>92080</v>
      </c>
      <c r="Q76" s="86">
        <v>3069</v>
      </c>
      <c r="R76" s="86">
        <v>3512</v>
      </c>
      <c r="S76" s="89">
        <v>24.3</v>
      </c>
      <c r="T76" s="91">
        <v>83.78</v>
      </c>
      <c r="U76" s="86">
        <v>3387</v>
      </c>
      <c r="V76" s="84">
        <v>307.89999999999998</v>
      </c>
      <c r="W76" s="84">
        <v>485.6</v>
      </c>
      <c r="X76" s="91">
        <v>4.66</v>
      </c>
      <c r="Y76" s="89">
        <v>78.12</v>
      </c>
      <c r="Z76" s="21">
        <v>165.4</v>
      </c>
      <c r="AA76" s="42">
        <v>2846</v>
      </c>
      <c r="AB76" s="21">
        <v>1</v>
      </c>
      <c r="AC76" s="21">
        <v>1</v>
      </c>
      <c r="AD76" s="43">
        <v>1</v>
      </c>
      <c r="AE76" s="21">
        <v>4</v>
      </c>
      <c r="AF76" s="21">
        <v>4</v>
      </c>
      <c r="AG76" s="42">
        <v>4</v>
      </c>
      <c r="AH76" s="83" t="s">
        <v>661</v>
      </c>
    </row>
    <row r="77" spans="1:36" s="350" customFormat="1" ht="13.5" customHeight="1">
      <c r="A77" s="334" t="s">
        <v>669</v>
      </c>
      <c r="B77" s="342">
        <v>154</v>
      </c>
      <c r="C77" s="336">
        <v>610</v>
      </c>
      <c r="D77" s="336">
        <v>224</v>
      </c>
      <c r="E77" s="337">
        <v>15</v>
      </c>
      <c r="F77" s="337">
        <v>24</v>
      </c>
      <c r="G77" s="338">
        <v>24</v>
      </c>
      <c r="H77" s="335">
        <v>196.8</v>
      </c>
      <c r="I77" s="337">
        <v>562</v>
      </c>
      <c r="J77" s="337">
        <v>514</v>
      </c>
      <c r="K77" s="336" t="s">
        <v>667</v>
      </c>
      <c r="L77" s="341">
        <v>118</v>
      </c>
      <c r="M77" s="342">
        <v>122</v>
      </c>
      <c r="N77" s="343">
        <v>2.0449999999999999</v>
      </c>
      <c r="O77" s="344">
        <v>13.24</v>
      </c>
      <c r="P77" s="341">
        <v>118300</v>
      </c>
      <c r="Q77" s="341">
        <v>3879</v>
      </c>
      <c r="R77" s="341">
        <v>4471</v>
      </c>
      <c r="S77" s="344">
        <v>24.52</v>
      </c>
      <c r="T77" s="339">
        <v>104.4</v>
      </c>
      <c r="U77" s="341">
        <v>4521</v>
      </c>
      <c r="V77" s="337">
        <v>403.6</v>
      </c>
      <c r="W77" s="337">
        <v>640.1</v>
      </c>
      <c r="X77" s="339">
        <v>4.79</v>
      </c>
      <c r="Y77" s="344">
        <v>91.12</v>
      </c>
      <c r="Z77" s="347">
        <v>318.10000000000002</v>
      </c>
      <c r="AA77" s="349">
        <v>3860</v>
      </c>
      <c r="AB77" s="347">
        <v>1</v>
      </c>
      <c r="AC77" s="347">
        <v>1</v>
      </c>
      <c r="AD77" s="348">
        <v>1</v>
      </c>
      <c r="AE77" s="347">
        <v>2</v>
      </c>
      <c r="AF77" s="347">
        <v>4</v>
      </c>
      <c r="AG77" s="349">
        <v>4</v>
      </c>
      <c r="AH77" s="336" t="s">
        <v>661</v>
      </c>
    </row>
    <row r="78" spans="1:36" ht="13.5" customHeight="1">
      <c r="A78" s="81"/>
      <c r="B78" s="140"/>
      <c r="C78" s="83"/>
      <c r="D78" s="83"/>
      <c r="E78" s="84"/>
      <c r="F78" s="84"/>
      <c r="G78" s="90"/>
      <c r="H78" s="82"/>
      <c r="I78" s="84"/>
      <c r="J78" s="84"/>
      <c r="K78" s="83"/>
      <c r="L78" s="86"/>
      <c r="M78" s="87"/>
      <c r="N78" s="88"/>
      <c r="O78" s="89"/>
      <c r="P78" s="86"/>
      <c r="Q78" s="86"/>
      <c r="R78" s="86"/>
      <c r="S78" s="89"/>
      <c r="T78" s="91"/>
      <c r="U78" s="86"/>
      <c r="V78" s="84"/>
      <c r="W78" s="84"/>
      <c r="X78" s="91"/>
      <c r="Y78" s="89"/>
      <c r="Z78" s="21"/>
      <c r="AA78" s="42"/>
      <c r="AB78" s="21"/>
      <c r="AC78" s="21"/>
      <c r="AD78" s="43"/>
      <c r="AE78" s="21"/>
      <c r="AF78" s="21"/>
      <c r="AG78" s="42"/>
      <c r="AH78" s="83"/>
    </row>
    <row r="79" spans="1:36" s="350" customFormat="1" ht="13.5" customHeight="1">
      <c r="A79" s="334" t="s">
        <v>670</v>
      </c>
      <c r="B79" s="342">
        <v>147</v>
      </c>
      <c r="C79" s="336">
        <v>753</v>
      </c>
      <c r="D79" s="336">
        <v>265</v>
      </c>
      <c r="E79" s="337">
        <v>13.2</v>
      </c>
      <c r="F79" s="337">
        <v>17</v>
      </c>
      <c r="G79" s="338">
        <v>17</v>
      </c>
      <c r="H79" s="335">
        <v>187.5</v>
      </c>
      <c r="I79" s="337">
        <v>719</v>
      </c>
      <c r="J79" s="337">
        <v>685</v>
      </c>
      <c r="K79" s="336" t="s">
        <v>667</v>
      </c>
      <c r="L79" s="341">
        <v>104</v>
      </c>
      <c r="M79" s="342">
        <v>164</v>
      </c>
      <c r="N79" s="343">
        <v>2.5099999999999998</v>
      </c>
      <c r="O79" s="344">
        <v>17.059999999999999</v>
      </c>
      <c r="P79" s="341">
        <v>166100</v>
      </c>
      <c r="Q79" s="341">
        <v>4411</v>
      </c>
      <c r="R79" s="341">
        <v>5110</v>
      </c>
      <c r="S79" s="344">
        <v>29.76</v>
      </c>
      <c r="T79" s="339">
        <v>105.4</v>
      </c>
      <c r="U79" s="341">
        <v>5289</v>
      </c>
      <c r="V79" s="337">
        <v>399.2</v>
      </c>
      <c r="W79" s="337">
        <v>630.79999999999995</v>
      </c>
      <c r="X79" s="339">
        <v>5.31</v>
      </c>
      <c r="Y79" s="344">
        <v>67.12</v>
      </c>
      <c r="Z79" s="347">
        <v>161.5</v>
      </c>
      <c r="AA79" s="349">
        <v>7141</v>
      </c>
      <c r="AB79" s="347">
        <v>1</v>
      </c>
      <c r="AC79" s="347">
        <v>1</v>
      </c>
      <c r="AD79" s="348" t="s">
        <v>616</v>
      </c>
      <c r="AE79" s="347">
        <v>4</v>
      </c>
      <c r="AF79" s="347">
        <v>4</v>
      </c>
      <c r="AG79" s="349" t="s">
        <v>616</v>
      </c>
      <c r="AH79" s="336"/>
    </row>
    <row r="80" spans="1:36" ht="13.5" customHeight="1">
      <c r="A80" s="81" t="s">
        <v>671</v>
      </c>
      <c r="B80" s="140">
        <v>173</v>
      </c>
      <c r="C80" s="83">
        <v>762</v>
      </c>
      <c r="D80" s="83">
        <v>267</v>
      </c>
      <c r="E80" s="84">
        <v>14.4</v>
      </c>
      <c r="F80" s="84">
        <v>21.6</v>
      </c>
      <c r="G80" s="90">
        <v>17</v>
      </c>
      <c r="H80" s="82">
        <v>221.3</v>
      </c>
      <c r="I80" s="84">
        <v>718.8</v>
      </c>
      <c r="J80" s="84">
        <v>684.8</v>
      </c>
      <c r="K80" s="83" t="s">
        <v>667</v>
      </c>
      <c r="L80" s="86">
        <v>104</v>
      </c>
      <c r="M80" s="87">
        <v>166</v>
      </c>
      <c r="N80" s="88">
        <v>2.5339999999999998</v>
      </c>
      <c r="O80" s="89">
        <v>14.58</v>
      </c>
      <c r="P80" s="86">
        <v>205800</v>
      </c>
      <c r="Q80" s="86">
        <v>5402</v>
      </c>
      <c r="R80" s="86">
        <v>6218</v>
      </c>
      <c r="S80" s="89">
        <v>30.49</v>
      </c>
      <c r="T80" s="91">
        <v>116.4</v>
      </c>
      <c r="U80" s="86">
        <v>6873</v>
      </c>
      <c r="V80" s="84">
        <v>514.9</v>
      </c>
      <c r="W80" s="84">
        <v>809.9</v>
      </c>
      <c r="X80" s="91">
        <v>5.57</v>
      </c>
      <c r="Y80" s="89">
        <v>77.52</v>
      </c>
      <c r="Z80" s="21">
        <v>273.60000000000002</v>
      </c>
      <c r="AA80" s="42">
        <v>9391</v>
      </c>
      <c r="AB80" s="21">
        <v>1</v>
      </c>
      <c r="AC80" s="21">
        <v>1</v>
      </c>
      <c r="AD80" s="43">
        <v>1</v>
      </c>
      <c r="AE80" s="21">
        <v>4</v>
      </c>
      <c r="AF80" s="21">
        <v>4</v>
      </c>
      <c r="AG80" s="42">
        <v>4</v>
      </c>
      <c r="AH80" s="83" t="s">
        <v>661</v>
      </c>
    </row>
    <row r="81" spans="1:34" s="350" customFormat="1" ht="13.5" customHeight="1">
      <c r="A81" s="334" t="s">
        <v>672</v>
      </c>
      <c r="B81" s="342">
        <v>196</v>
      </c>
      <c r="C81" s="336">
        <v>770</v>
      </c>
      <c r="D81" s="336">
        <v>268</v>
      </c>
      <c r="E81" s="337">
        <v>15.6</v>
      </c>
      <c r="F81" s="337">
        <v>25.4</v>
      </c>
      <c r="G81" s="338">
        <v>17</v>
      </c>
      <c r="H81" s="335">
        <v>250.8</v>
      </c>
      <c r="I81" s="337">
        <v>719.2</v>
      </c>
      <c r="J81" s="337">
        <v>685.2</v>
      </c>
      <c r="K81" s="336" t="s">
        <v>667</v>
      </c>
      <c r="L81" s="341">
        <v>106</v>
      </c>
      <c r="M81" s="342">
        <v>166</v>
      </c>
      <c r="N81" s="343">
        <v>2.552</v>
      </c>
      <c r="O81" s="344">
        <v>12.96</v>
      </c>
      <c r="P81" s="341">
        <v>240300</v>
      </c>
      <c r="Q81" s="341">
        <v>6241</v>
      </c>
      <c r="R81" s="341">
        <v>7174</v>
      </c>
      <c r="S81" s="344">
        <v>30.95</v>
      </c>
      <c r="T81" s="339">
        <v>127.3</v>
      </c>
      <c r="U81" s="341">
        <v>8175</v>
      </c>
      <c r="V81" s="337">
        <v>610.1</v>
      </c>
      <c r="W81" s="337">
        <v>958.8</v>
      </c>
      <c r="X81" s="339">
        <v>5.71</v>
      </c>
      <c r="Y81" s="344">
        <v>86.32</v>
      </c>
      <c r="Z81" s="347">
        <v>408.9</v>
      </c>
      <c r="AA81" s="349">
        <v>11290</v>
      </c>
      <c r="AB81" s="347">
        <v>1</v>
      </c>
      <c r="AC81" s="347">
        <v>1</v>
      </c>
      <c r="AD81" s="348">
        <v>1</v>
      </c>
      <c r="AE81" s="347">
        <v>4</v>
      </c>
      <c r="AF81" s="347">
        <v>4</v>
      </c>
      <c r="AG81" s="349">
        <v>4</v>
      </c>
      <c r="AH81" s="336" t="s">
        <v>661</v>
      </c>
    </row>
    <row r="82" spans="1:34" ht="13.5" customHeight="1">
      <c r="A82" s="81"/>
      <c r="B82" s="140"/>
      <c r="C82" s="83"/>
      <c r="D82" s="83"/>
      <c r="E82" s="84"/>
      <c r="F82" s="83"/>
      <c r="G82" s="90"/>
      <c r="H82" s="91"/>
      <c r="I82" s="83"/>
      <c r="J82" s="83"/>
      <c r="K82" s="83"/>
      <c r="L82" s="86"/>
      <c r="M82" s="87"/>
      <c r="N82" s="88"/>
      <c r="O82" s="89"/>
      <c r="P82" s="86"/>
      <c r="Q82" s="86"/>
      <c r="R82" s="86"/>
      <c r="S82" s="84"/>
      <c r="T82" s="91"/>
      <c r="U82" s="86"/>
      <c r="V82" s="84"/>
      <c r="W82" s="84"/>
      <c r="X82" s="91"/>
      <c r="Y82" s="89"/>
      <c r="Z82" s="21"/>
      <c r="AA82" s="42"/>
      <c r="AB82" s="21"/>
      <c r="AC82" s="21"/>
      <c r="AD82" s="43"/>
      <c r="AE82" s="21"/>
      <c r="AF82" s="21"/>
      <c r="AG82" s="42"/>
      <c r="AH82" s="83"/>
    </row>
    <row r="83" spans="1:34" ht="13.5" customHeight="1"/>
    <row r="84" spans="1:34" ht="13.5" hidden="1" customHeight="1">
      <c r="A84" s="101"/>
      <c r="B84" s="61"/>
      <c r="C84" s="61"/>
      <c r="D84" s="61"/>
      <c r="E84" s="101"/>
      <c r="F84" s="167"/>
      <c r="G84" s="101"/>
      <c r="H84" s="167"/>
      <c r="I84" s="101"/>
      <c r="J84" s="101"/>
      <c r="K84" s="101"/>
      <c r="L84" s="162"/>
      <c r="M84" s="102"/>
      <c r="N84" s="102"/>
      <c r="O84" s="102"/>
      <c r="P84" s="102"/>
      <c r="Q84" s="102"/>
      <c r="R84" s="102"/>
      <c r="S84" s="102"/>
      <c r="T84" s="102"/>
      <c r="U84" s="101"/>
      <c r="V84" s="102"/>
      <c r="W84" s="102"/>
      <c r="X84" s="102"/>
      <c r="Y84" s="102"/>
      <c r="Z84" s="59"/>
      <c r="AA84" s="59"/>
      <c r="AB84" s="101"/>
      <c r="AC84" s="59"/>
      <c r="AD84" s="59"/>
      <c r="AE84" s="59"/>
      <c r="AF84" s="59"/>
      <c r="AG84" s="59"/>
      <c r="AH84" s="102"/>
    </row>
    <row r="85" spans="1:34" ht="13.5" hidden="1" customHeight="1">
      <c r="A85" s="101"/>
      <c r="B85" s="61"/>
      <c r="C85" s="61"/>
      <c r="D85" s="61"/>
      <c r="E85" s="101"/>
      <c r="F85" s="167"/>
      <c r="G85" s="101"/>
      <c r="H85" s="167"/>
      <c r="I85" s="101"/>
      <c r="J85" s="101"/>
      <c r="K85" s="101"/>
      <c r="L85" s="162"/>
      <c r="M85" s="102"/>
      <c r="N85" s="102"/>
      <c r="O85" s="102"/>
      <c r="P85" s="102"/>
      <c r="Q85" s="102"/>
      <c r="R85" s="168"/>
      <c r="S85" s="102"/>
      <c r="T85" s="102"/>
      <c r="U85" s="101"/>
      <c r="V85" s="102"/>
      <c r="W85" s="102"/>
      <c r="X85" s="102"/>
      <c r="Y85" s="102"/>
      <c r="Z85" s="59"/>
      <c r="AA85" s="59"/>
      <c r="AB85" s="101"/>
      <c r="AC85" s="59"/>
      <c r="AD85" s="59"/>
      <c r="AE85" s="59"/>
      <c r="AF85" s="59"/>
      <c r="AG85" s="59"/>
      <c r="AH85" s="102"/>
    </row>
    <row r="86" spans="1:34" ht="13.5" hidden="1" customHeight="1">
      <c r="A86" s="101"/>
      <c r="B86" s="61"/>
      <c r="C86" s="61"/>
      <c r="D86" s="61"/>
      <c r="E86" s="101"/>
      <c r="F86" s="167"/>
      <c r="G86" s="101"/>
      <c r="H86" s="167"/>
      <c r="I86" s="101"/>
      <c r="J86" s="101"/>
      <c r="K86" s="101"/>
      <c r="L86" s="162"/>
      <c r="M86" s="102"/>
      <c r="N86" s="102"/>
      <c r="O86" s="102"/>
      <c r="P86" s="102"/>
      <c r="Q86" s="102"/>
      <c r="R86" s="162"/>
      <c r="S86" s="102"/>
      <c r="T86" s="102"/>
      <c r="U86" s="101"/>
      <c r="V86" s="102"/>
      <c r="W86" s="102"/>
      <c r="X86" s="102"/>
      <c r="Y86" s="102"/>
      <c r="Z86" s="59"/>
      <c r="AA86" s="59"/>
      <c r="AB86" s="101"/>
      <c r="AC86" s="59"/>
      <c r="AD86" s="59"/>
      <c r="AE86" s="59"/>
      <c r="AF86" s="59"/>
      <c r="AG86" s="59"/>
      <c r="AH86" s="102"/>
    </row>
    <row r="87" spans="1:34" s="102" customFormat="1" ht="13.5" hidden="1" customHeight="1">
      <c r="A87" s="125"/>
      <c r="B87" s="61"/>
      <c r="C87" s="61"/>
      <c r="D87" s="61"/>
      <c r="E87" s="125"/>
      <c r="F87" s="167"/>
      <c r="G87" s="101"/>
      <c r="H87" s="167"/>
      <c r="I87" s="101"/>
      <c r="J87" s="101"/>
      <c r="K87" s="125"/>
      <c r="L87" s="162"/>
      <c r="U87" s="101"/>
      <c r="Z87" s="59"/>
      <c r="AA87" s="59"/>
      <c r="AB87" s="101"/>
      <c r="AC87" s="59"/>
      <c r="AD87" s="59"/>
      <c r="AE87" s="59"/>
      <c r="AF87" s="59"/>
      <c r="AG87" s="59"/>
    </row>
    <row r="88" spans="1:34" s="102" customFormat="1" ht="13.5" hidden="1" customHeight="1">
      <c r="A88" s="101"/>
      <c r="B88" s="61"/>
      <c r="C88" s="61"/>
      <c r="D88" s="61"/>
      <c r="E88" s="101"/>
      <c r="F88" s="101"/>
      <c r="G88" s="101"/>
      <c r="H88" s="101"/>
      <c r="I88" s="101"/>
      <c r="J88" s="101"/>
      <c r="K88" s="101"/>
      <c r="L88" s="162"/>
      <c r="Z88" s="59"/>
      <c r="AA88" s="59"/>
      <c r="AB88" s="59"/>
      <c r="AC88" s="59"/>
      <c r="AD88" s="59"/>
      <c r="AE88" s="59"/>
      <c r="AF88" s="59"/>
      <c r="AG88" s="59"/>
    </row>
    <row r="89" spans="1:34" s="102" customFormat="1" ht="13.5" hidden="1" customHeight="1">
      <c r="A89" s="98"/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160"/>
      <c r="M89" s="99"/>
      <c r="N89" s="99"/>
      <c r="O89" s="99"/>
      <c r="P89" s="99"/>
      <c r="Q89" s="99"/>
      <c r="R89" s="99"/>
      <c r="S89" s="99"/>
      <c r="T89" s="99"/>
      <c r="U89" s="99"/>
      <c r="V89" s="99"/>
      <c r="W89" s="99"/>
      <c r="X89" s="99"/>
      <c r="Y89" s="99"/>
      <c r="Z89" s="100"/>
      <c r="AA89" s="100"/>
      <c r="AB89" s="100"/>
      <c r="AC89" s="100"/>
      <c r="AD89" s="100"/>
      <c r="AE89" s="100"/>
      <c r="AF89" s="100"/>
      <c r="AG89" s="100"/>
      <c r="AH89" s="99"/>
    </row>
    <row r="90" spans="1:34" s="102" customFormat="1" ht="13.5" hidden="1" customHeight="1">
      <c r="A90" s="98"/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160"/>
      <c r="M90" s="99"/>
      <c r="N90" s="99"/>
      <c r="O90" s="99"/>
      <c r="P90" s="99"/>
      <c r="Q90" s="99"/>
      <c r="R90" s="99"/>
      <c r="S90" s="99"/>
      <c r="T90" s="99"/>
      <c r="U90" s="99"/>
      <c r="V90" s="99"/>
      <c r="W90" s="99"/>
      <c r="X90" s="99"/>
      <c r="Y90" s="99"/>
      <c r="Z90" s="100"/>
      <c r="AA90" s="100"/>
      <c r="AB90" s="100"/>
      <c r="AC90" s="100"/>
      <c r="AD90" s="100"/>
      <c r="AE90" s="100"/>
      <c r="AF90" s="100"/>
      <c r="AG90" s="100"/>
      <c r="AH90" s="99"/>
    </row>
    <row r="91" spans="1:34" s="102" customFormat="1" ht="13.5" hidden="1" customHeight="1">
      <c r="A91" s="98"/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160"/>
      <c r="M91" s="99"/>
      <c r="N91" s="99"/>
      <c r="O91" s="99"/>
      <c r="P91" s="99"/>
      <c r="Q91" s="99"/>
      <c r="R91" s="99"/>
      <c r="S91" s="99"/>
      <c r="T91" s="99"/>
      <c r="U91" s="99"/>
      <c r="V91" s="99"/>
      <c r="W91" s="99"/>
      <c r="X91" s="99"/>
      <c r="Y91" s="99"/>
      <c r="Z91" s="100"/>
      <c r="AA91" s="100"/>
      <c r="AB91" s="100"/>
      <c r="AC91" s="100"/>
      <c r="AD91" s="100"/>
      <c r="AE91" s="100"/>
      <c r="AF91" s="100"/>
      <c r="AG91" s="100"/>
      <c r="AH91" s="99"/>
    </row>
    <row r="92" spans="1:34" ht="13.5" hidden="1" customHeight="1"/>
    <row r="93" spans="1:34" ht="13.5" hidden="1" customHeight="1"/>
    <row r="94" spans="1:34" ht="13.5" hidden="1" customHeight="1"/>
    <row r="95" spans="1:34" ht="13.5" hidden="1" customHeight="1"/>
    <row r="96" spans="1:34" ht="13.5" hidden="1" customHeight="1"/>
    <row r="97" ht="13.5" hidden="1" customHeight="1"/>
    <row r="98" ht="13.5" hidden="1" customHeight="1"/>
    <row r="99" ht="13.5" hidden="1" customHeight="1"/>
    <row r="100" ht="13.5" hidden="1" customHeight="1"/>
    <row r="101" ht="13.5" hidden="1" customHeight="1"/>
    <row r="102" ht="13.5" hidden="1" customHeight="1"/>
    <row r="103" ht="13.5" hidden="1" customHeight="1"/>
    <row r="104" ht="13.5" hidden="1" customHeight="1"/>
    <row r="105" ht="13.5" hidden="1" customHeight="1"/>
    <row r="106" ht="13.5" hidden="1" customHeight="1"/>
    <row r="107" ht="13.5" hidden="1" customHeight="1"/>
    <row r="108" ht="13.5" hidden="1" customHeight="1"/>
    <row r="109" ht="13.5" hidden="1" customHeight="1"/>
    <row r="110" ht="13.5" hidden="1" customHeight="1"/>
    <row r="111" ht="13.5" hidden="1" customHeight="1"/>
    <row r="112" ht="13.5" hidden="1" customHeight="1"/>
    <row r="113" ht="13.5" hidden="1" customHeight="1"/>
    <row r="114" ht="13.5" hidden="1" customHeight="1"/>
    <row r="115" ht="13.5" hidden="1" customHeight="1"/>
    <row r="116" ht="13.5" hidden="1" customHeight="1"/>
    <row r="117" ht="13.5" hidden="1" customHeight="1"/>
    <row r="118" ht="13.5" hidden="1" customHeight="1"/>
    <row r="119" ht="13.5" hidden="1" customHeight="1"/>
    <row r="120" ht="13.5" hidden="1" customHeight="1"/>
    <row r="121" ht="13.5" hidden="1" customHeight="1"/>
    <row r="122" ht="13.5" hidden="1" customHeight="1"/>
    <row r="123" ht="13.5" hidden="1" customHeight="1"/>
    <row r="124" ht="13.5" hidden="1" customHeight="1"/>
    <row r="125" ht="13.5" hidden="1" customHeight="1"/>
    <row r="126" ht="13.5" hidden="1" customHeight="1"/>
    <row r="127" ht="13.5" hidden="1" customHeight="1"/>
    <row r="128" ht="13.5" hidden="1" customHeight="1"/>
    <row r="129" ht="13.5" hidden="1" customHeight="1"/>
    <row r="130" ht="13.5" hidden="1" customHeight="1"/>
    <row r="131" ht="13.5" hidden="1" customHeight="1"/>
    <row r="132" ht="13.5" hidden="1" customHeight="1"/>
    <row r="133" ht="13.5" hidden="1" customHeight="1"/>
    <row r="134" ht="13.5" hidden="1" customHeight="1"/>
    <row r="135" ht="13.5" hidden="1" customHeight="1"/>
    <row r="136" ht="13.5" hidden="1" customHeight="1"/>
    <row r="137" ht="13.5" hidden="1" customHeight="1"/>
    <row r="138" ht="13.5" hidden="1" customHeight="1"/>
    <row r="139" ht="13.5" hidden="1" customHeight="1"/>
    <row r="140" ht="13.5" hidden="1" customHeight="1"/>
    <row r="141" ht="13.5" hidden="1" customHeight="1"/>
    <row r="142" ht="13.5" hidden="1" customHeight="1"/>
    <row r="143" ht="13.5" hidden="1" customHeight="1"/>
    <row r="144" ht="13.5" hidden="1" customHeight="1"/>
    <row r="145" ht="13.5" hidden="1" customHeight="1"/>
    <row r="146" ht="13.5" hidden="1" customHeight="1"/>
    <row r="147" ht="13.5" hidden="1" customHeight="1"/>
    <row r="148" ht="13.5" hidden="1" customHeight="1"/>
    <row r="149" ht="13.5" hidden="1" customHeight="1"/>
    <row r="150" ht="13.5" hidden="1" customHeight="1"/>
    <row r="151" ht="13.5" hidden="1" customHeight="1"/>
    <row r="152" ht="13.5" hidden="1" customHeight="1"/>
    <row r="153" ht="13.5" hidden="1" customHeight="1"/>
    <row r="154" ht="13.5" hidden="1" customHeight="1"/>
    <row r="155" ht="13.5" hidden="1" customHeight="1"/>
    <row r="156" ht="13.5" hidden="1" customHeight="1"/>
    <row r="157" ht="13.5" hidden="1" customHeight="1"/>
    <row r="158" ht="13.5" hidden="1" customHeight="1"/>
    <row r="159" ht="13.5" hidden="1" customHeight="1"/>
    <row r="160" ht="13.5" hidden="1" customHeight="1"/>
    <row r="161" ht="13.5" hidden="1" customHeight="1"/>
    <row r="162" ht="13.5" hidden="1" customHeight="1"/>
    <row r="163" ht="13.5" hidden="1" customHeight="1"/>
    <row r="164" ht="13.5" hidden="1" customHeight="1"/>
    <row r="165" ht="13.5" hidden="1" customHeight="1"/>
    <row r="166" ht="13.5" hidden="1" customHeight="1"/>
    <row r="167" ht="13.5" hidden="1" customHeight="1"/>
    <row r="168" ht="13.5" hidden="1" customHeight="1"/>
    <row r="169" ht="13.5" hidden="1" customHeight="1"/>
    <row r="170" ht="13.5" hidden="1" customHeight="1"/>
    <row r="171" ht="13.5" hidden="1" customHeight="1"/>
    <row r="172" ht="13.5" hidden="1" customHeight="1"/>
    <row r="173" ht="13.5" hidden="1" customHeight="1"/>
    <row r="174" ht="13.5" hidden="1" customHeight="1"/>
    <row r="175" ht="13.5" hidden="1" customHeight="1"/>
    <row r="176" ht="13.5" hidden="1" customHeight="1"/>
    <row r="177" ht="13.5" hidden="1" customHeight="1"/>
    <row r="178" ht="13.5" hidden="1" customHeight="1"/>
    <row r="179" ht="13.5" hidden="1" customHeight="1"/>
    <row r="180" ht="13.5" hidden="1" customHeight="1"/>
    <row r="181" ht="13.5" hidden="1" customHeight="1"/>
    <row r="182" ht="13.5" hidden="1" customHeight="1"/>
    <row r="183" ht="13.5" hidden="1" customHeight="1"/>
    <row r="184" ht="13.5" hidden="1" customHeight="1"/>
    <row r="185" ht="13.5" hidden="1" customHeight="1"/>
    <row r="186" ht="13.5" hidden="1" customHeight="1"/>
    <row r="187" ht="13.5" hidden="1" customHeight="1"/>
    <row r="188" ht="13.5" hidden="1" customHeight="1"/>
    <row r="189" ht="13.5" hidden="1" customHeight="1"/>
    <row r="190" ht="13.5" hidden="1" customHeight="1"/>
    <row r="191" ht="13.5" hidden="1" customHeight="1"/>
    <row r="192" ht="13.5" hidden="1" customHeight="1"/>
    <row r="193" ht="13.5" hidden="1" customHeight="1"/>
    <row r="194" ht="13.5" hidden="1" customHeight="1"/>
    <row r="195" ht="13.5" hidden="1" customHeight="1"/>
    <row r="196" ht="13.5" hidden="1" customHeight="1"/>
    <row r="197" ht="13.5" hidden="1" customHeight="1"/>
    <row r="198" ht="13.5" hidden="1" customHeight="1"/>
    <row r="199" ht="13.5" hidden="1" customHeight="1"/>
    <row r="200" ht="13.5" hidden="1" customHeight="1"/>
    <row r="201" ht="13.5" hidden="1" customHeight="1"/>
    <row r="202" ht="13.5" hidden="1" customHeight="1"/>
    <row r="203" ht="13.5" hidden="1" customHeight="1"/>
    <row r="204" ht="13.5" hidden="1" customHeight="1"/>
    <row r="205" ht="13.5" hidden="1" customHeight="1"/>
    <row r="206" ht="13.5" hidden="1" customHeight="1"/>
    <row r="207" ht="13.5" hidden="1" customHeight="1"/>
    <row r="208" ht="13.5" hidden="1" customHeight="1"/>
    <row r="209" ht="13.5" hidden="1" customHeight="1"/>
    <row r="210" ht="13.5" hidden="1" customHeight="1"/>
    <row r="211" ht="13.5" hidden="1" customHeight="1"/>
    <row r="212" ht="13.5" hidden="1" customHeight="1"/>
    <row r="213" ht="13.5" hidden="1" customHeight="1"/>
    <row r="214" ht="13.5" hidden="1" customHeight="1"/>
    <row r="215" ht="13.5" hidden="1" customHeight="1"/>
    <row r="216" ht="13.5" hidden="1" customHeight="1"/>
    <row r="217" ht="13.5" hidden="1" customHeight="1"/>
    <row r="218" ht="13.5" hidden="1" customHeight="1"/>
    <row r="219" ht="13.5" hidden="1" customHeight="1"/>
    <row r="220" ht="13.5" hidden="1" customHeight="1"/>
    <row r="221" ht="13.5" hidden="1" customHeight="1"/>
    <row r="222" ht="13.5" hidden="1" customHeight="1"/>
    <row r="223" ht="13.5" hidden="1" customHeight="1"/>
    <row r="224" ht="13.5" hidden="1" customHeight="1"/>
    <row r="225" ht="13.5" hidden="1" customHeight="1"/>
    <row r="226" ht="13.5" hidden="1" customHeight="1"/>
    <row r="227" ht="13.5" hidden="1" customHeight="1"/>
    <row r="228" ht="13.5" hidden="1" customHeight="1"/>
    <row r="229" ht="13.5" hidden="1" customHeight="1"/>
    <row r="230" ht="13.5" hidden="1" customHeight="1"/>
    <row r="231" ht="13.5" hidden="1" customHeight="1"/>
    <row r="232" ht="13.5" hidden="1" customHeight="1"/>
    <row r="233" ht="13.5" hidden="1" customHeight="1"/>
    <row r="234" ht="13.5" hidden="1" customHeight="1"/>
    <row r="235" ht="13.5" hidden="1" customHeight="1"/>
    <row r="236" ht="13.5" hidden="1" customHeight="1"/>
    <row r="237" ht="13.5" hidden="1" customHeight="1"/>
    <row r="238" ht="13.5" hidden="1" customHeight="1"/>
    <row r="239" ht="13.5" hidden="1" customHeight="1"/>
    <row r="240" ht="13.5" hidden="1" customHeight="1"/>
    <row r="241" ht="13.5" hidden="1" customHeight="1"/>
    <row r="242" ht="13.5" hidden="1" customHeight="1"/>
    <row r="243" ht="13.5" hidden="1" customHeight="1"/>
    <row r="244" ht="13.5" hidden="1" customHeight="1"/>
    <row r="245" ht="13.5" hidden="1" customHeight="1"/>
    <row r="246" ht="13.5" hidden="1" customHeight="1"/>
    <row r="247" ht="13.5" hidden="1" customHeight="1"/>
    <row r="248" ht="13.5" hidden="1" customHeight="1"/>
    <row r="249" ht="13.5" hidden="1" customHeight="1"/>
    <row r="250" ht="13.5" hidden="1" customHeight="1"/>
    <row r="251" ht="13.5" hidden="1" customHeight="1"/>
    <row r="252" ht="13.5" hidden="1" customHeight="1"/>
    <row r="253" ht="13.5" hidden="1" customHeight="1"/>
    <row r="254" ht="13.5" hidden="1" customHeight="1"/>
    <row r="255" ht="13.5" hidden="1" customHeight="1"/>
    <row r="256" ht="13.5" hidden="1" customHeight="1"/>
    <row r="257" ht="13.5" hidden="1" customHeight="1"/>
    <row r="258" ht="13.5" hidden="1" customHeight="1"/>
    <row r="259" ht="13.5" hidden="1" customHeight="1"/>
    <row r="260" ht="13.5" hidden="1" customHeight="1"/>
    <row r="261" ht="13.5" hidden="1" customHeight="1"/>
    <row r="262" ht="13.5" hidden="1" customHeight="1"/>
    <row r="263" ht="13.5" hidden="1" customHeight="1"/>
    <row r="264" ht="13.5" hidden="1" customHeight="1"/>
    <row r="265" ht="13.5" hidden="1" customHeight="1"/>
    <row r="266" ht="13.5" hidden="1" customHeight="1"/>
    <row r="267" ht="13.5" hidden="1" customHeight="1"/>
    <row r="268" ht="13.5" hidden="1" customHeight="1"/>
    <row r="269" ht="13.5" hidden="1" customHeight="1"/>
    <row r="270" ht="13.5" hidden="1" customHeight="1"/>
    <row r="271" ht="13.5" hidden="1" customHeight="1"/>
    <row r="272" ht="13.5" hidden="1" customHeight="1"/>
    <row r="273" ht="13.5" hidden="1" customHeight="1"/>
    <row r="274" ht="13.5" hidden="1" customHeight="1"/>
    <row r="275" ht="13.5" hidden="1" customHeight="1"/>
    <row r="276" ht="13.5" hidden="1" customHeight="1"/>
    <row r="277" ht="13.5" hidden="1" customHeight="1"/>
    <row r="278" ht="13.5" hidden="1" customHeight="1"/>
    <row r="279" ht="13.5" hidden="1" customHeight="1"/>
    <row r="280" ht="13.5" hidden="1" customHeight="1"/>
    <row r="281" ht="13.5" hidden="1" customHeight="1"/>
    <row r="282" ht="13.5" hidden="1" customHeight="1"/>
    <row r="283" ht="13.5" hidden="1" customHeight="1"/>
    <row r="284" ht="13.5" hidden="1" customHeight="1"/>
    <row r="285" ht="13.5" hidden="1" customHeight="1"/>
    <row r="286" ht="13.5" hidden="1" customHeight="1"/>
    <row r="287" ht="13.5" hidden="1" customHeight="1"/>
    <row r="288" ht="13.5" hidden="1" customHeight="1"/>
    <row r="289" ht="13.5" hidden="1" customHeight="1"/>
    <row r="290" ht="13.5" hidden="1" customHeight="1"/>
    <row r="291" ht="13.5" hidden="1" customHeight="1"/>
    <row r="292" ht="13.5" hidden="1" customHeight="1"/>
    <row r="293" ht="13.5" hidden="1" customHeight="1"/>
    <row r="294" ht="13.5" hidden="1" customHeight="1"/>
    <row r="295" ht="13.5" hidden="1" customHeight="1"/>
    <row r="296" ht="13.5" hidden="1" customHeight="1"/>
    <row r="297" ht="13.5" hidden="1" customHeight="1"/>
    <row r="298" ht="13.5" hidden="1" customHeight="1"/>
    <row r="299" ht="13.5" hidden="1" customHeight="1"/>
    <row r="300" ht="13.5" hidden="1" customHeight="1"/>
    <row r="301" ht="13.5" hidden="1" customHeight="1"/>
    <row r="302" ht="13.5" hidden="1" customHeight="1"/>
    <row r="303" ht="13.5" hidden="1" customHeight="1"/>
    <row r="304" ht="13.5" hidden="1" customHeight="1"/>
    <row r="305" ht="13.5" hidden="1" customHeight="1"/>
    <row r="306" ht="13.5" hidden="1" customHeight="1"/>
    <row r="307" ht="13.5" hidden="1" customHeight="1"/>
    <row r="308" ht="13.5" hidden="1" customHeight="1"/>
    <row r="309" ht="13.5" hidden="1" customHeight="1"/>
    <row r="310" ht="13.5" hidden="1" customHeight="1"/>
    <row r="311" ht="13.5" hidden="1" customHeight="1"/>
    <row r="312" ht="13.5" hidden="1" customHeight="1"/>
    <row r="313" ht="13.5" hidden="1" customHeight="1"/>
    <row r="314" ht="13.5" hidden="1" customHeight="1"/>
    <row r="315" ht="13.5" hidden="1" customHeight="1"/>
    <row r="316" ht="13.5" hidden="1" customHeight="1"/>
    <row r="317" ht="13.5" hidden="1" customHeight="1"/>
    <row r="318" ht="13.5" hidden="1" customHeight="1"/>
    <row r="319" ht="13.5" hidden="1" customHeight="1"/>
    <row r="320" ht="13.5" hidden="1" customHeight="1"/>
    <row r="321" ht="13.5" hidden="1" customHeight="1"/>
    <row r="322" ht="14.1" customHeight="1"/>
  </sheetData>
  <mergeCells count="2">
    <mergeCell ref="AB11:AD11"/>
    <mergeCell ref="AE11:AG11"/>
  </mergeCells>
  <phoneticPr fontId="0" type="noConversion"/>
  <pageMargins left="0.75" right="0.75" top="1" bottom="1" header="0.4921259845" footer="0.4921259845"/>
  <pageSetup paperSize="9" scale="60" orientation="landscape" horizontalDpi="4294967292" verticalDpi="4294967292" r:id="rId1"/>
  <headerFooter alignWithMargins="0">
    <oddFooter>&amp;LLe &amp;D&amp;CProfilés &amp;A du &amp;F&amp;RPage &amp;P sur &amp;N</oddFooter>
  </headerFooter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H351"/>
  <sheetViews>
    <sheetView zoomScale="115" zoomScaleNormal="115" workbookViewId="0">
      <pane xSplit="1" ySplit="14" topLeftCell="B155" activePane="bottomRight" state="frozen"/>
      <selection pane="topRight" activeCell="B1" sqref="B1"/>
      <selection pane="bottomLeft" activeCell="A15" sqref="A15"/>
      <selection pane="bottomRight" activeCell="M160" sqref="M160"/>
    </sheetView>
  </sheetViews>
  <sheetFormatPr defaultColWidth="0" defaultRowHeight="0" customHeight="1" zeroHeight="1"/>
  <cols>
    <col min="1" max="1" width="14.85546875" style="98" customWidth="1"/>
    <col min="2" max="2" width="4.85546875" style="99" customWidth="1"/>
    <col min="3" max="6" width="5.85546875" style="99" customWidth="1"/>
    <col min="7" max="7" width="5.85546875" style="66" customWidth="1"/>
    <col min="8" max="8" width="7.42578125" style="99" customWidth="1"/>
    <col min="9" max="11" width="5.140625" style="99" customWidth="1"/>
    <col min="12" max="12" width="7" style="160" customWidth="1"/>
    <col min="13" max="13" width="7" style="99" customWidth="1"/>
    <col min="14" max="14" width="6.42578125" style="161" customWidth="1"/>
    <col min="15" max="15" width="6.42578125" style="99" customWidth="1"/>
    <col min="16" max="16" width="7.28515625" style="99" bestFit="1" customWidth="1"/>
    <col min="17" max="17" width="5.140625" style="99" customWidth="1"/>
    <col min="18" max="18" width="5.85546875" style="99" customWidth="1"/>
    <col min="19" max="19" width="4.85546875" style="99" customWidth="1"/>
    <col min="20" max="20" width="6.140625" style="99" customWidth="1"/>
    <col min="21" max="21" width="5.85546875" style="99" customWidth="1"/>
    <col min="22" max="23" width="6.140625" style="99" customWidth="1"/>
    <col min="24" max="24" width="5" style="161" customWidth="1"/>
    <col min="25" max="25" width="5.7109375" style="99" customWidth="1"/>
    <col min="26" max="27" width="6.28515625" style="100" customWidth="1"/>
    <col min="28" max="33" width="3.28515625" style="100" customWidth="1"/>
    <col min="34" max="34" width="3" style="99" customWidth="1"/>
    <col min="35" max="16384" width="10.85546875" style="99" hidden="1"/>
  </cols>
  <sheetData>
    <row r="1" spans="1:34" s="382" customFormat="1" ht="9" customHeight="1">
      <c r="A1" s="381"/>
      <c r="G1" s="383"/>
      <c r="L1" s="384"/>
      <c r="N1" s="385"/>
      <c r="X1" s="385"/>
      <c r="Z1" s="386"/>
      <c r="AA1" s="386"/>
      <c r="AB1" s="386"/>
      <c r="AC1" s="386"/>
      <c r="AD1" s="386"/>
      <c r="AE1" s="386"/>
      <c r="AF1" s="386"/>
      <c r="AG1" s="386"/>
    </row>
    <row r="2" spans="1:34" s="61" customFormat="1" ht="18.75" customHeight="1">
      <c r="A2" s="423" t="s">
        <v>1811</v>
      </c>
      <c r="B2" s="322"/>
      <c r="C2" s="322"/>
      <c r="D2" s="322"/>
      <c r="E2" s="322"/>
      <c r="F2" s="324"/>
      <c r="G2" s="322"/>
      <c r="H2" s="324"/>
      <c r="I2" s="322"/>
      <c r="J2" s="322"/>
      <c r="K2" s="321"/>
      <c r="L2" s="326"/>
      <c r="M2" s="322"/>
      <c r="N2" s="380"/>
      <c r="O2" s="322"/>
      <c r="P2" s="322"/>
      <c r="Q2" s="322"/>
      <c r="R2" s="322"/>
      <c r="S2" s="322"/>
      <c r="T2" s="322"/>
      <c r="U2" s="322"/>
      <c r="V2" s="322"/>
      <c r="W2" s="322"/>
      <c r="X2" s="380"/>
      <c r="Y2" s="322"/>
      <c r="Z2" s="325"/>
      <c r="AA2" s="325"/>
      <c r="AB2" s="325"/>
      <c r="AC2" s="325"/>
      <c r="AD2" s="325"/>
      <c r="AE2" s="325"/>
      <c r="AF2" s="325"/>
      <c r="AG2" s="325"/>
      <c r="AH2" s="322"/>
    </row>
    <row r="3" spans="1:34" s="61" customFormat="1" ht="18.75" customHeight="1">
      <c r="A3" s="423" t="s">
        <v>1812</v>
      </c>
      <c r="B3" s="322"/>
      <c r="C3" s="322"/>
      <c r="D3" s="322"/>
      <c r="E3" s="322"/>
      <c r="F3" s="324"/>
      <c r="G3" s="322"/>
      <c r="H3" s="324"/>
      <c r="I3" s="322"/>
      <c r="J3" s="322"/>
      <c r="K3" s="321"/>
      <c r="L3" s="326"/>
      <c r="M3" s="322"/>
      <c r="N3" s="380"/>
      <c r="O3" s="322"/>
      <c r="P3" s="322"/>
      <c r="Q3" s="322"/>
      <c r="R3" s="322"/>
      <c r="S3" s="322"/>
      <c r="T3" s="322"/>
      <c r="U3" s="322"/>
      <c r="V3" s="322"/>
      <c r="W3" s="322"/>
      <c r="X3" s="380"/>
      <c r="Y3" s="322"/>
      <c r="Z3" s="325"/>
      <c r="AA3" s="325"/>
      <c r="AB3" s="325"/>
      <c r="AC3" s="325"/>
      <c r="AD3" s="325"/>
      <c r="AE3" s="325"/>
      <c r="AF3" s="325"/>
      <c r="AG3" s="325"/>
      <c r="AH3" s="322"/>
    </row>
    <row r="4" spans="1:34" s="61" customFormat="1" ht="18.75" customHeight="1">
      <c r="A4" s="321"/>
      <c r="B4" s="322"/>
      <c r="C4" s="322"/>
      <c r="D4" s="322"/>
      <c r="E4" s="322"/>
      <c r="F4" s="324"/>
      <c r="G4" s="322"/>
      <c r="H4" s="324"/>
      <c r="I4" s="322"/>
      <c r="J4" s="322"/>
      <c r="K4" s="321"/>
      <c r="L4" s="326"/>
      <c r="M4" s="322"/>
      <c r="N4" s="380"/>
      <c r="O4" s="322"/>
      <c r="P4" s="322"/>
      <c r="Q4" s="322"/>
      <c r="R4" s="322"/>
      <c r="S4" s="322"/>
      <c r="T4" s="322"/>
      <c r="U4" s="322"/>
      <c r="V4" s="322"/>
      <c r="W4" s="322"/>
      <c r="X4" s="380"/>
      <c r="Y4" s="322"/>
      <c r="Z4" s="325"/>
      <c r="AA4" s="325"/>
      <c r="AB4" s="325"/>
      <c r="AC4" s="325"/>
      <c r="AD4" s="325"/>
      <c r="AE4" s="325"/>
      <c r="AF4" s="325"/>
      <c r="AG4" s="325"/>
      <c r="AH4" s="322"/>
    </row>
    <row r="5" spans="1:34" s="61" customFormat="1" ht="14.1" customHeight="1">
      <c r="A5" s="322" t="s">
        <v>673</v>
      </c>
      <c r="B5" s="322"/>
      <c r="C5" s="322"/>
      <c r="D5" s="322"/>
      <c r="E5" s="322"/>
      <c r="F5" s="324"/>
      <c r="G5" s="322"/>
      <c r="H5" s="324"/>
      <c r="I5" s="322"/>
      <c r="J5" s="322"/>
      <c r="K5" s="322"/>
      <c r="L5" s="326"/>
      <c r="M5" s="322"/>
      <c r="N5" s="380"/>
      <c r="O5" s="322"/>
      <c r="P5" s="322"/>
      <c r="Q5" s="322"/>
      <c r="R5" s="322"/>
      <c r="S5" s="322"/>
      <c r="T5" s="322"/>
      <c r="U5" s="322"/>
      <c r="V5" s="322"/>
      <c r="W5" s="322"/>
      <c r="X5" s="380"/>
      <c r="Y5" s="322"/>
      <c r="Z5" s="325"/>
      <c r="AA5" s="325"/>
      <c r="AB5" s="325"/>
      <c r="AC5" s="325"/>
      <c r="AD5" s="325"/>
      <c r="AE5" s="325"/>
      <c r="AF5" s="325"/>
      <c r="AG5" s="325"/>
      <c r="AH5" s="322"/>
    </row>
    <row r="6" spans="1:34" s="61" customFormat="1" ht="14.1" customHeight="1">
      <c r="A6" s="322" t="s">
        <v>1810</v>
      </c>
      <c r="B6" s="322"/>
      <c r="C6" s="322"/>
      <c r="D6" s="322"/>
      <c r="E6" s="322"/>
      <c r="F6" s="324"/>
      <c r="G6" s="322"/>
      <c r="H6" s="324"/>
      <c r="I6" s="322"/>
      <c r="J6" s="322"/>
      <c r="K6" s="322"/>
      <c r="L6" s="326"/>
      <c r="M6" s="322"/>
      <c r="N6" s="380"/>
      <c r="O6" s="322"/>
      <c r="P6" s="322"/>
      <c r="Q6" s="322"/>
      <c r="R6" s="322"/>
      <c r="S6" s="322"/>
      <c r="T6" s="322"/>
      <c r="U6" s="322"/>
      <c r="V6" s="322"/>
      <c r="W6" s="322"/>
      <c r="X6" s="380"/>
      <c r="Y6" s="322"/>
      <c r="Z6" s="325"/>
      <c r="AA6" s="325"/>
      <c r="AB6" s="325"/>
      <c r="AC6" s="325"/>
      <c r="AD6" s="325"/>
      <c r="AE6" s="325"/>
      <c r="AF6" s="325"/>
      <c r="AG6" s="325"/>
      <c r="AH6" s="322"/>
    </row>
    <row r="7" spans="1:34" s="61" customFormat="1" ht="14.1" customHeight="1">
      <c r="A7" s="322" t="s">
        <v>674</v>
      </c>
      <c r="B7" s="322"/>
      <c r="C7" s="322"/>
      <c r="D7" s="322"/>
      <c r="E7" s="322"/>
      <c r="F7" s="324"/>
      <c r="G7" s="322"/>
      <c r="H7" s="324"/>
      <c r="I7" s="322"/>
      <c r="J7" s="322"/>
      <c r="K7" s="322"/>
      <c r="L7" s="326"/>
      <c r="M7" s="322"/>
      <c r="N7" s="380"/>
      <c r="O7" s="322"/>
      <c r="P7" s="322"/>
      <c r="Q7" s="322"/>
      <c r="R7" s="322"/>
      <c r="S7" s="322"/>
      <c r="T7" s="322"/>
      <c r="U7" s="322"/>
      <c r="V7" s="322"/>
      <c r="W7" s="322"/>
      <c r="X7" s="380"/>
      <c r="Y7" s="322"/>
      <c r="Z7" s="325"/>
      <c r="AA7" s="325"/>
      <c r="AB7" s="325"/>
      <c r="AC7" s="325"/>
      <c r="AD7" s="325"/>
      <c r="AE7" s="325"/>
      <c r="AF7" s="325"/>
      <c r="AG7" s="325"/>
      <c r="AH7" s="322"/>
    </row>
    <row r="8" spans="1:34" s="61" customFormat="1" ht="14.1" customHeight="1">
      <c r="A8" s="322" t="s">
        <v>675</v>
      </c>
      <c r="B8" s="322"/>
      <c r="C8" s="322"/>
      <c r="D8" s="322"/>
      <c r="E8" s="322"/>
      <c r="F8" s="324"/>
      <c r="G8" s="322"/>
      <c r="H8" s="324"/>
      <c r="I8" s="322"/>
      <c r="J8" s="322"/>
      <c r="K8" s="322"/>
      <c r="L8" s="326"/>
      <c r="M8" s="322"/>
      <c r="N8" s="380"/>
      <c r="O8" s="322"/>
      <c r="P8" s="322"/>
      <c r="Q8" s="322"/>
      <c r="R8" s="322"/>
      <c r="S8" s="322"/>
      <c r="T8" s="322"/>
      <c r="U8" s="322"/>
      <c r="V8" s="322"/>
      <c r="W8" s="322"/>
      <c r="X8" s="380"/>
      <c r="Y8" s="322"/>
      <c r="Z8" s="325"/>
      <c r="AA8" s="325"/>
      <c r="AB8" s="325"/>
      <c r="AC8" s="325"/>
      <c r="AD8" s="325"/>
      <c r="AE8" s="325"/>
      <c r="AF8" s="325"/>
      <c r="AG8" s="325"/>
      <c r="AH8" s="322"/>
    </row>
    <row r="9" spans="1:34" s="61" customFormat="1" ht="6" customHeight="1" thickBot="1">
      <c r="A9" s="322"/>
      <c r="B9" s="322"/>
      <c r="C9" s="322"/>
      <c r="D9" s="322"/>
      <c r="E9" s="322"/>
      <c r="F9" s="322"/>
      <c r="G9" s="323"/>
      <c r="H9" s="322"/>
      <c r="I9" s="322"/>
      <c r="J9" s="322"/>
      <c r="K9" s="322"/>
      <c r="L9" s="326"/>
      <c r="M9" s="322"/>
      <c r="N9" s="380"/>
      <c r="O9" s="322"/>
      <c r="P9" s="322"/>
      <c r="Q9" s="322"/>
      <c r="R9" s="322"/>
      <c r="S9" s="322"/>
      <c r="T9" s="322"/>
      <c r="U9" s="322"/>
      <c r="V9" s="322"/>
      <c r="W9" s="322"/>
      <c r="X9" s="380"/>
      <c r="Y9" s="322"/>
      <c r="Z9" s="325"/>
      <c r="AA9" s="325"/>
      <c r="AB9" s="325"/>
      <c r="AC9" s="325"/>
      <c r="AD9" s="325"/>
      <c r="AE9" s="325"/>
      <c r="AF9" s="325"/>
      <c r="AG9" s="325"/>
      <c r="AH9" s="322"/>
    </row>
    <row r="10" spans="1:34" s="61" customFormat="1" ht="14.1" customHeight="1" thickTop="1" thickBot="1">
      <c r="A10" s="327"/>
      <c r="B10" s="328"/>
      <c r="C10" s="327"/>
      <c r="D10" s="363"/>
      <c r="E10" s="363"/>
      <c r="F10" s="363"/>
      <c r="G10" s="364"/>
      <c r="H10" s="366" t="s">
        <v>1799</v>
      </c>
      <c r="I10" s="327"/>
      <c r="J10" s="363"/>
      <c r="K10" s="363"/>
      <c r="L10" s="368"/>
      <c r="M10" s="364"/>
      <c r="N10" s="327"/>
      <c r="O10" s="364"/>
      <c r="P10" s="370"/>
      <c r="Q10" s="362"/>
      <c r="R10" s="362"/>
      <c r="S10" s="362"/>
      <c r="T10" s="362"/>
      <c r="U10" s="362" t="s">
        <v>1804</v>
      </c>
      <c r="V10" s="362"/>
      <c r="W10" s="362"/>
      <c r="X10" s="362"/>
      <c r="Y10" s="362"/>
      <c r="Z10" s="371"/>
      <c r="AA10" s="372"/>
      <c r="AB10" s="374"/>
      <c r="AC10" s="375"/>
      <c r="AD10" s="375" t="s">
        <v>1806</v>
      </c>
      <c r="AE10" s="375"/>
      <c r="AF10" s="375"/>
      <c r="AG10" s="376"/>
      <c r="AH10" s="66" t="s">
        <v>570</v>
      </c>
    </row>
    <row r="11" spans="1:34" s="61" customFormat="1" ht="14.1" customHeight="1" thickTop="1" thickBot="1">
      <c r="A11" s="329" t="s">
        <v>1799</v>
      </c>
      <c r="B11" s="330"/>
      <c r="C11" s="329"/>
      <c r="D11" s="360"/>
      <c r="E11" s="360" t="s">
        <v>1800</v>
      </c>
      <c r="F11" s="360"/>
      <c r="G11" s="365"/>
      <c r="H11" s="367" t="s">
        <v>1801</v>
      </c>
      <c r="I11" s="329"/>
      <c r="J11" s="360" t="s">
        <v>1802</v>
      </c>
      <c r="K11" s="360"/>
      <c r="L11" s="369"/>
      <c r="M11" s="365"/>
      <c r="N11" s="329" t="s">
        <v>1803</v>
      </c>
      <c r="O11" s="365"/>
      <c r="P11" s="370"/>
      <c r="Q11" s="362" t="s">
        <v>1859</v>
      </c>
      <c r="R11" s="362"/>
      <c r="S11" s="362"/>
      <c r="T11" s="373"/>
      <c r="U11" s="370"/>
      <c r="V11" s="362" t="s">
        <v>1860</v>
      </c>
      <c r="W11" s="362"/>
      <c r="X11" s="373"/>
      <c r="Y11" s="331"/>
      <c r="Z11" s="332"/>
      <c r="AA11" s="333"/>
      <c r="AB11" s="377"/>
      <c r="AC11" s="378"/>
      <c r="AD11" s="378" t="s">
        <v>1807</v>
      </c>
      <c r="AE11" s="378"/>
      <c r="AF11" s="378"/>
      <c r="AG11" s="379"/>
      <c r="AH11" s="66" t="s">
        <v>571</v>
      </c>
    </row>
    <row r="12" spans="1:34" s="61" customFormat="1" ht="14.1" customHeight="1" thickTop="1">
      <c r="A12" s="69" t="s">
        <v>1776</v>
      </c>
      <c r="B12" s="67" t="s">
        <v>1885</v>
      </c>
      <c r="C12" s="18" t="s">
        <v>1886</v>
      </c>
      <c r="D12" s="18" t="s">
        <v>1887</v>
      </c>
      <c r="E12" s="18" t="s">
        <v>1888</v>
      </c>
      <c r="F12" s="18" t="s">
        <v>1889</v>
      </c>
      <c r="G12" s="67" t="s">
        <v>1890</v>
      </c>
      <c r="H12" s="67" t="s">
        <v>1891</v>
      </c>
      <c r="I12" s="18" t="s">
        <v>1892</v>
      </c>
      <c r="J12" s="18" t="s">
        <v>1893</v>
      </c>
      <c r="K12" s="18" t="s">
        <v>1894</v>
      </c>
      <c r="L12" s="130" t="s">
        <v>1895</v>
      </c>
      <c r="M12" s="67" t="s">
        <v>1896</v>
      </c>
      <c r="N12" s="18" t="s">
        <v>1897</v>
      </c>
      <c r="O12" s="18" t="s">
        <v>1898</v>
      </c>
      <c r="P12" s="18" t="s">
        <v>1909</v>
      </c>
      <c r="Q12" s="18" t="s">
        <v>1899</v>
      </c>
      <c r="R12" s="18" t="s">
        <v>1900</v>
      </c>
      <c r="S12" s="18" t="s">
        <v>1901</v>
      </c>
      <c r="T12" s="67" t="s">
        <v>1902</v>
      </c>
      <c r="U12" s="18" t="s">
        <v>1910</v>
      </c>
      <c r="V12" s="18" t="s">
        <v>1903</v>
      </c>
      <c r="W12" s="18" t="s">
        <v>1904</v>
      </c>
      <c r="X12" s="67" t="s">
        <v>1905</v>
      </c>
      <c r="Y12" s="18" t="s">
        <v>1906</v>
      </c>
      <c r="Z12" s="13" t="s">
        <v>1907</v>
      </c>
      <c r="AA12" s="16" t="s">
        <v>1908</v>
      </c>
      <c r="AB12" s="374"/>
      <c r="AC12" s="375"/>
      <c r="AD12" s="376"/>
      <c r="AE12" s="374"/>
      <c r="AF12" s="375"/>
      <c r="AG12" s="376"/>
      <c r="AH12" s="66" t="s">
        <v>598</v>
      </c>
    </row>
    <row r="13" spans="1:34" s="153" customFormat="1" ht="12.75" customHeight="1" thickBot="1">
      <c r="A13" s="69"/>
      <c r="B13" s="67" t="s">
        <v>599</v>
      </c>
      <c r="C13" s="18" t="s">
        <v>600</v>
      </c>
      <c r="D13" s="18" t="s">
        <v>601</v>
      </c>
      <c r="E13" s="18" t="s">
        <v>601</v>
      </c>
      <c r="F13" s="18" t="s">
        <v>601</v>
      </c>
      <c r="G13" s="67" t="s">
        <v>601</v>
      </c>
      <c r="H13" s="67" t="s">
        <v>602</v>
      </c>
      <c r="I13" s="18" t="s">
        <v>601</v>
      </c>
      <c r="J13" s="18" t="s">
        <v>601</v>
      </c>
      <c r="K13" s="18"/>
      <c r="L13" s="129" t="s">
        <v>601</v>
      </c>
      <c r="M13" s="67" t="s">
        <v>601</v>
      </c>
      <c r="N13" s="18" t="s">
        <v>603</v>
      </c>
      <c r="O13" s="18" t="s">
        <v>604</v>
      </c>
      <c r="P13" s="18" t="s">
        <v>605</v>
      </c>
      <c r="Q13" s="18" t="s">
        <v>606</v>
      </c>
      <c r="R13" s="18" t="s">
        <v>606</v>
      </c>
      <c r="S13" s="18" t="s">
        <v>607</v>
      </c>
      <c r="T13" s="67" t="s">
        <v>608</v>
      </c>
      <c r="U13" s="18" t="s">
        <v>609</v>
      </c>
      <c r="V13" s="18" t="s">
        <v>610</v>
      </c>
      <c r="W13" s="18" t="s">
        <v>610</v>
      </c>
      <c r="X13" s="67" t="s">
        <v>607</v>
      </c>
      <c r="Y13" s="18" t="s">
        <v>601</v>
      </c>
      <c r="Z13" s="13" t="s">
        <v>611</v>
      </c>
      <c r="AA13" s="16" t="s">
        <v>612</v>
      </c>
      <c r="AB13" s="377"/>
      <c r="AC13" s="378" t="s">
        <v>1808</v>
      </c>
      <c r="AD13" s="379"/>
      <c r="AE13" s="377"/>
      <c r="AF13" s="378" t="s">
        <v>1809</v>
      </c>
      <c r="AG13" s="379"/>
      <c r="AH13" s="66" t="s">
        <v>613</v>
      </c>
    </row>
    <row r="14" spans="1:34" s="153" customFormat="1" ht="13.5" customHeight="1" thickTop="1" thickBot="1">
      <c r="A14" s="131"/>
      <c r="B14" s="132"/>
      <c r="C14" s="133"/>
      <c r="D14" s="133"/>
      <c r="E14" s="133"/>
      <c r="F14" s="133"/>
      <c r="G14" s="132"/>
      <c r="H14" s="132"/>
      <c r="I14" s="133"/>
      <c r="J14" s="133"/>
      <c r="K14" s="133"/>
      <c r="L14" s="134"/>
      <c r="M14" s="132"/>
      <c r="N14" s="133"/>
      <c r="O14" s="133"/>
      <c r="P14" s="133"/>
      <c r="Q14" s="133"/>
      <c r="R14" s="133"/>
      <c r="S14" s="133"/>
      <c r="T14" s="132"/>
      <c r="U14" s="133"/>
      <c r="V14" s="133"/>
      <c r="W14" s="133"/>
      <c r="X14" s="132"/>
      <c r="Y14" s="133"/>
      <c r="Z14" s="24"/>
      <c r="AA14" s="27"/>
      <c r="AB14" s="28">
        <v>235</v>
      </c>
      <c r="AC14" s="28">
        <v>355</v>
      </c>
      <c r="AD14" s="28">
        <v>460</v>
      </c>
      <c r="AE14" s="28">
        <v>235</v>
      </c>
      <c r="AF14" s="28">
        <v>355</v>
      </c>
      <c r="AG14" s="29">
        <v>460</v>
      </c>
      <c r="AH14" s="66" t="s">
        <v>578</v>
      </c>
    </row>
    <row r="15" spans="1:34" s="153" customFormat="1" ht="13.5" customHeight="1" thickTop="1">
      <c r="A15" s="69" t="s">
        <v>1776</v>
      </c>
      <c r="B15" s="67" t="s">
        <v>1885</v>
      </c>
      <c r="C15" s="18" t="s">
        <v>1886</v>
      </c>
      <c r="D15" s="18" t="s">
        <v>1887</v>
      </c>
      <c r="E15" s="18" t="s">
        <v>1888</v>
      </c>
      <c r="F15" s="18" t="s">
        <v>1889</v>
      </c>
      <c r="G15" s="67" t="s">
        <v>1890</v>
      </c>
      <c r="H15" s="67" t="s">
        <v>1891</v>
      </c>
      <c r="I15" s="18" t="s">
        <v>1892</v>
      </c>
      <c r="J15" s="18" t="s">
        <v>1893</v>
      </c>
      <c r="K15" s="18" t="s">
        <v>1894</v>
      </c>
      <c r="L15" s="130" t="s">
        <v>1895</v>
      </c>
      <c r="M15" s="67" t="s">
        <v>1896</v>
      </c>
      <c r="N15" s="18" t="s">
        <v>1897</v>
      </c>
      <c r="O15" s="18" t="s">
        <v>1898</v>
      </c>
      <c r="P15" s="18" t="s">
        <v>1909</v>
      </c>
      <c r="Q15" s="18" t="s">
        <v>1899</v>
      </c>
      <c r="R15" s="18" t="s">
        <v>1900</v>
      </c>
      <c r="S15" s="18" t="s">
        <v>1901</v>
      </c>
      <c r="T15" s="67" t="s">
        <v>1902</v>
      </c>
      <c r="U15" s="18" t="s">
        <v>1910</v>
      </c>
      <c r="V15" s="18" t="s">
        <v>1903</v>
      </c>
      <c r="W15" s="18" t="s">
        <v>1904</v>
      </c>
      <c r="X15" s="67" t="s">
        <v>1905</v>
      </c>
      <c r="Y15" s="18" t="s">
        <v>1906</v>
      </c>
      <c r="Z15" s="137"/>
      <c r="AA15" s="137"/>
      <c r="AB15" s="137"/>
      <c r="AC15" s="137"/>
      <c r="AD15" s="137"/>
      <c r="AE15" s="137"/>
      <c r="AF15" s="137"/>
      <c r="AG15" s="137"/>
      <c r="AH15" s="99" t="s">
        <v>614</v>
      </c>
    </row>
    <row r="16" spans="1:34" s="401" customFormat="1" ht="13.5" customHeight="1">
      <c r="A16" s="387" t="s">
        <v>676</v>
      </c>
      <c r="B16" s="388">
        <v>12.2</v>
      </c>
      <c r="C16" s="389">
        <v>91</v>
      </c>
      <c r="D16" s="389">
        <v>100</v>
      </c>
      <c r="E16" s="390">
        <v>4.2</v>
      </c>
      <c r="F16" s="390">
        <v>5.5</v>
      </c>
      <c r="G16" s="391">
        <v>12</v>
      </c>
      <c r="H16" s="392">
        <v>15.6</v>
      </c>
      <c r="I16" s="389">
        <v>80</v>
      </c>
      <c r="J16" s="389">
        <v>56</v>
      </c>
      <c r="K16" s="389" t="s">
        <v>625</v>
      </c>
      <c r="L16" s="393">
        <v>54</v>
      </c>
      <c r="M16" s="394">
        <v>58</v>
      </c>
      <c r="N16" s="395">
        <v>0.55300000000000005</v>
      </c>
      <c r="O16" s="395">
        <v>45.17</v>
      </c>
      <c r="P16" s="390">
        <v>236.5</v>
      </c>
      <c r="Q16" s="396">
        <v>51.98</v>
      </c>
      <c r="R16" s="396">
        <v>58.36</v>
      </c>
      <c r="S16" s="396">
        <v>3.89</v>
      </c>
      <c r="T16" s="392">
        <v>6.15</v>
      </c>
      <c r="U16" s="396">
        <v>92.06</v>
      </c>
      <c r="V16" s="396">
        <v>18.41</v>
      </c>
      <c r="W16" s="396">
        <v>28.44</v>
      </c>
      <c r="X16" s="392">
        <v>2.4300000000000002</v>
      </c>
      <c r="Y16" s="396">
        <v>29.26</v>
      </c>
      <c r="Z16" s="396">
        <v>2.5099999999999998</v>
      </c>
      <c r="AA16" s="397">
        <v>1.68</v>
      </c>
      <c r="AB16" s="398">
        <v>1</v>
      </c>
      <c r="AC16" s="398">
        <v>3</v>
      </c>
      <c r="AD16" s="399" t="s">
        <v>616</v>
      </c>
      <c r="AE16" s="398">
        <v>1</v>
      </c>
      <c r="AF16" s="398">
        <v>3</v>
      </c>
      <c r="AG16" s="400" t="s">
        <v>616</v>
      </c>
      <c r="AH16" s="389"/>
    </row>
    <row r="17" spans="1:34" s="153" customFormat="1" ht="13.5" customHeight="1">
      <c r="A17" s="81" t="s">
        <v>677</v>
      </c>
      <c r="B17" s="139">
        <v>16.7</v>
      </c>
      <c r="C17" s="83">
        <v>96</v>
      </c>
      <c r="D17" s="83">
        <v>100</v>
      </c>
      <c r="E17" s="84">
        <v>5</v>
      </c>
      <c r="F17" s="84">
        <v>8</v>
      </c>
      <c r="G17" s="90">
        <v>12</v>
      </c>
      <c r="H17" s="91">
        <v>21.24</v>
      </c>
      <c r="I17" s="83">
        <v>80</v>
      </c>
      <c r="J17" s="83">
        <v>56</v>
      </c>
      <c r="K17" s="83" t="s">
        <v>625</v>
      </c>
      <c r="L17" s="86">
        <v>54</v>
      </c>
      <c r="M17" s="87">
        <v>58</v>
      </c>
      <c r="N17" s="88">
        <v>0.56100000000000005</v>
      </c>
      <c r="O17" s="88">
        <v>33.68</v>
      </c>
      <c r="P17" s="84">
        <v>349.2</v>
      </c>
      <c r="Q17" s="89">
        <v>72.760000000000005</v>
      </c>
      <c r="R17" s="89">
        <v>83.01</v>
      </c>
      <c r="S17" s="89">
        <v>4.0599999999999996</v>
      </c>
      <c r="T17" s="91">
        <v>7.56</v>
      </c>
      <c r="U17" s="84">
        <v>133.80000000000001</v>
      </c>
      <c r="V17" s="89">
        <v>26.76</v>
      </c>
      <c r="W17" s="89">
        <v>41.14</v>
      </c>
      <c r="X17" s="91">
        <v>2.5099999999999998</v>
      </c>
      <c r="Y17" s="89">
        <v>35.06</v>
      </c>
      <c r="Z17" s="89">
        <v>5.24</v>
      </c>
      <c r="AA17" s="154">
        <v>2.58</v>
      </c>
      <c r="AB17" s="21">
        <v>1</v>
      </c>
      <c r="AC17" s="21">
        <v>1</v>
      </c>
      <c r="AD17" s="43" t="s">
        <v>616</v>
      </c>
      <c r="AE17" s="21">
        <v>1</v>
      </c>
      <c r="AF17" s="21">
        <v>1</v>
      </c>
      <c r="AG17" s="42" t="s">
        <v>616</v>
      </c>
      <c r="AH17" s="83"/>
    </row>
    <row r="18" spans="1:34" s="402" customFormat="1" ht="13.5" customHeight="1">
      <c r="A18" s="387" t="s">
        <v>678</v>
      </c>
      <c r="B18" s="388">
        <v>20.399999999999999</v>
      </c>
      <c r="C18" s="389">
        <v>100</v>
      </c>
      <c r="D18" s="389">
        <v>100</v>
      </c>
      <c r="E18" s="390">
        <v>6</v>
      </c>
      <c r="F18" s="390">
        <v>10</v>
      </c>
      <c r="G18" s="391">
        <v>12</v>
      </c>
      <c r="H18" s="392">
        <v>26.04</v>
      </c>
      <c r="I18" s="389">
        <v>80</v>
      </c>
      <c r="J18" s="389">
        <v>56</v>
      </c>
      <c r="K18" s="389" t="s">
        <v>625</v>
      </c>
      <c r="L18" s="393">
        <v>56</v>
      </c>
      <c r="M18" s="394">
        <v>58</v>
      </c>
      <c r="N18" s="395">
        <v>0.56699999999999995</v>
      </c>
      <c r="O18" s="395">
        <v>27.76</v>
      </c>
      <c r="P18" s="390">
        <v>449.5</v>
      </c>
      <c r="Q18" s="396">
        <v>89.91</v>
      </c>
      <c r="R18" s="396">
        <v>104.2</v>
      </c>
      <c r="S18" s="396">
        <v>4.16</v>
      </c>
      <c r="T18" s="392">
        <v>9.0399999999999991</v>
      </c>
      <c r="U18" s="390">
        <v>167.3</v>
      </c>
      <c r="V18" s="396">
        <v>33.450000000000003</v>
      </c>
      <c r="W18" s="396">
        <v>51.42</v>
      </c>
      <c r="X18" s="392">
        <v>2.5299999999999998</v>
      </c>
      <c r="Y18" s="396">
        <v>40.06</v>
      </c>
      <c r="Z18" s="396">
        <v>9.25</v>
      </c>
      <c r="AA18" s="397">
        <v>3.38</v>
      </c>
      <c r="AB18" s="398">
        <v>1</v>
      </c>
      <c r="AC18" s="398">
        <v>1</v>
      </c>
      <c r="AD18" s="399" t="s">
        <v>616</v>
      </c>
      <c r="AE18" s="398">
        <v>1</v>
      </c>
      <c r="AF18" s="398">
        <v>1</v>
      </c>
      <c r="AG18" s="400" t="s">
        <v>616</v>
      </c>
      <c r="AH18" s="389"/>
    </row>
    <row r="19" spans="1:34" s="66" customFormat="1" ht="13.5" customHeight="1">
      <c r="A19" s="81" t="s">
        <v>679</v>
      </c>
      <c r="B19" s="139">
        <v>41.8</v>
      </c>
      <c r="C19" s="83">
        <v>120</v>
      </c>
      <c r="D19" s="83">
        <v>106</v>
      </c>
      <c r="E19" s="84">
        <v>12</v>
      </c>
      <c r="F19" s="84">
        <v>20</v>
      </c>
      <c r="G19" s="90">
        <v>12</v>
      </c>
      <c r="H19" s="91">
        <v>53.24</v>
      </c>
      <c r="I19" s="83">
        <v>80</v>
      </c>
      <c r="J19" s="83">
        <v>56</v>
      </c>
      <c r="K19" s="83" t="s">
        <v>625</v>
      </c>
      <c r="L19" s="86">
        <v>62</v>
      </c>
      <c r="M19" s="87">
        <v>64</v>
      </c>
      <c r="N19" s="88">
        <v>0.61899999999999999</v>
      </c>
      <c r="O19" s="88">
        <v>14.82</v>
      </c>
      <c r="P19" s="84">
        <v>1143</v>
      </c>
      <c r="Q19" s="84">
        <v>190.4</v>
      </c>
      <c r="R19" s="89">
        <v>235.8</v>
      </c>
      <c r="S19" s="89">
        <v>4.63</v>
      </c>
      <c r="T19" s="91">
        <v>18.04</v>
      </c>
      <c r="U19" s="84">
        <v>399.2</v>
      </c>
      <c r="V19" s="89">
        <v>75.31</v>
      </c>
      <c r="W19" s="89">
        <v>116.3</v>
      </c>
      <c r="X19" s="91">
        <v>2.74</v>
      </c>
      <c r="Y19" s="89">
        <v>66.06</v>
      </c>
      <c r="Z19" s="89">
        <v>68.209999999999994</v>
      </c>
      <c r="AA19" s="154">
        <v>9.93</v>
      </c>
      <c r="AB19" s="21">
        <v>1</v>
      </c>
      <c r="AC19" s="21">
        <v>1</v>
      </c>
      <c r="AD19" s="43" t="s">
        <v>616</v>
      </c>
      <c r="AE19" s="21">
        <v>1</v>
      </c>
      <c r="AF19" s="21">
        <v>1</v>
      </c>
      <c r="AG19" s="42" t="s">
        <v>616</v>
      </c>
      <c r="AH19" s="83"/>
    </row>
    <row r="20" spans="1:34" s="66" customFormat="1" ht="13.5" customHeight="1">
      <c r="A20" s="81"/>
      <c r="B20" s="139"/>
      <c r="C20" s="83"/>
      <c r="D20" s="83"/>
      <c r="E20" s="84"/>
      <c r="F20" s="84"/>
      <c r="G20" s="90"/>
      <c r="H20" s="91"/>
      <c r="I20" s="83"/>
      <c r="J20" s="83"/>
      <c r="K20" s="83"/>
      <c r="L20" s="86"/>
      <c r="M20" s="87"/>
      <c r="N20" s="88"/>
      <c r="O20" s="88"/>
      <c r="P20" s="84"/>
      <c r="Q20" s="89"/>
      <c r="R20" s="89"/>
      <c r="S20" s="89"/>
      <c r="T20" s="91"/>
      <c r="U20" s="84"/>
      <c r="V20" s="89"/>
      <c r="W20" s="89"/>
      <c r="X20" s="91"/>
      <c r="Y20" s="89"/>
      <c r="Z20" s="89"/>
      <c r="AA20" s="154"/>
      <c r="AB20" s="21"/>
      <c r="AC20" s="21"/>
      <c r="AD20" s="43"/>
      <c r="AE20" s="21"/>
      <c r="AF20" s="21"/>
      <c r="AG20" s="42"/>
      <c r="AH20" s="83"/>
    </row>
    <row r="21" spans="1:34" s="402" customFormat="1" ht="13.5" customHeight="1">
      <c r="A21" s="387" t="s">
        <v>680</v>
      </c>
      <c r="B21" s="388">
        <v>14.6</v>
      </c>
      <c r="C21" s="389">
        <v>109</v>
      </c>
      <c r="D21" s="389">
        <v>120</v>
      </c>
      <c r="E21" s="390">
        <v>4.2</v>
      </c>
      <c r="F21" s="390">
        <v>5.5</v>
      </c>
      <c r="G21" s="391">
        <v>12</v>
      </c>
      <c r="H21" s="392">
        <v>18.55</v>
      </c>
      <c r="I21" s="389">
        <v>98</v>
      </c>
      <c r="J21" s="389">
        <v>74</v>
      </c>
      <c r="K21" s="389" t="s">
        <v>632</v>
      </c>
      <c r="L21" s="393">
        <v>58</v>
      </c>
      <c r="M21" s="394">
        <v>68</v>
      </c>
      <c r="N21" s="395">
        <v>0.66900000000000004</v>
      </c>
      <c r="O21" s="395">
        <v>45.94</v>
      </c>
      <c r="P21" s="390">
        <v>413.4</v>
      </c>
      <c r="Q21" s="396">
        <v>75.849999999999994</v>
      </c>
      <c r="R21" s="396">
        <v>84.12</v>
      </c>
      <c r="S21" s="396">
        <v>4.72</v>
      </c>
      <c r="T21" s="392">
        <v>6.9</v>
      </c>
      <c r="U21" s="390">
        <v>158.80000000000001</v>
      </c>
      <c r="V21" s="396">
        <v>26.47</v>
      </c>
      <c r="W21" s="396">
        <v>40.619999999999997</v>
      </c>
      <c r="X21" s="392">
        <v>2.93</v>
      </c>
      <c r="Y21" s="396">
        <v>29.26</v>
      </c>
      <c r="Z21" s="396">
        <v>2.78</v>
      </c>
      <c r="AA21" s="397">
        <v>4.24</v>
      </c>
      <c r="AB21" s="398">
        <v>2</v>
      </c>
      <c r="AC21" s="398">
        <v>3</v>
      </c>
      <c r="AD21" s="399" t="s">
        <v>616</v>
      </c>
      <c r="AE21" s="398">
        <v>2</v>
      </c>
      <c r="AF21" s="398">
        <v>3</v>
      </c>
      <c r="AG21" s="400" t="s">
        <v>616</v>
      </c>
      <c r="AH21" s="389"/>
    </row>
    <row r="22" spans="1:34" s="66" customFormat="1" ht="13.5" customHeight="1">
      <c r="A22" s="81" t="s">
        <v>681</v>
      </c>
      <c r="B22" s="139">
        <v>19.899999999999999</v>
      </c>
      <c r="C22" s="83">
        <v>114</v>
      </c>
      <c r="D22" s="83">
        <v>120</v>
      </c>
      <c r="E22" s="84">
        <v>5</v>
      </c>
      <c r="F22" s="84">
        <v>8</v>
      </c>
      <c r="G22" s="90">
        <v>12</v>
      </c>
      <c r="H22" s="91">
        <v>25.34</v>
      </c>
      <c r="I22" s="83">
        <v>98</v>
      </c>
      <c r="J22" s="83">
        <v>74</v>
      </c>
      <c r="K22" s="83" t="s">
        <v>632</v>
      </c>
      <c r="L22" s="86">
        <v>58</v>
      </c>
      <c r="M22" s="87">
        <v>68</v>
      </c>
      <c r="N22" s="88">
        <v>0.67700000000000005</v>
      </c>
      <c r="O22" s="88">
        <v>34.06</v>
      </c>
      <c r="P22" s="84">
        <v>606.20000000000005</v>
      </c>
      <c r="Q22" s="84">
        <v>106.3</v>
      </c>
      <c r="R22" s="84">
        <v>119.5</v>
      </c>
      <c r="S22" s="89">
        <v>4.8899999999999997</v>
      </c>
      <c r="T22" s="91">
        <v>8.4600000000000009</v>
      </c>
      <c r="U22" s="84">
        <v>230.9</v>
      </c>
      <c r="V22" s="89">
        <v>38.479999999999997</v>
      </c>
      <c r="W22" s="89">
        <v>58.85</v>
      </c>
      <c r="X22" s="91">
        <v>3.02</v>
      </c>
      <c r="Y22" s="89">
        <v>35.06</v>
      </c>
      <c r="Z22" s="89">
        <v>5.99</v>
      </c>
      <c r="AA22" s="154">
        <v>6.47</v>
      </c>
      <c r="AB22" s="21">
        <v>1</v>
      </c>
      <c r="AC22" s="21">
        <v>1</v>
      </c>
      <c r="AD22" s="43" t="s">
        <v>616</v>
      </c>
      <c r="AE22" s="21">
        <v>1</v>
      </c>
      <c r="AF22" s="21">
        <v>1</v>
      </c>
      <c r="AG22" s="42" t="s">
        <v>616</v>
      </c>
      <c r="AH22" s="83"/>
    </row>
    <row r="23" spans="1:34" s="402" customFormat="1" ht="13.5" customHeight="1">
      <c r="A23" s="387" t="s">
        <v>682</v>
      </c>
      <c r="B23" s="388">
        <v>26.7</v>
      </c>
      <c r="C23" s="389">
        <v>120</v>
      </c>
      <c r="D23" s="389">
        <v>120</v>
      </c>
      <c r="E23" s="390">
        <v>6.5</v>
      </c>
      <c r="F23" s="390">
        <v>11</v>
      </c>
      <c r="G23" s="391">
        <v>12</v>
      </c>
      <c r="H23" s="392">
        <v>34.01</v>
      </c>
      <c r="I23" s="389">
        <v>98</v>
      </c>
      <c r="J23" s="389">
        <v>74</v>
      </c>
      <c r="K23" s="389" t="s">
        <v>632</v>
      </c>
      <c r="L23" s="393">
        <v>60</v>
      </c>
      <c r="M23" s="394">
        <v>68</v>
      </c>
      <c r="N23" s="395">
        <v>0.68600000000000005</v>
      </c>
      <c r="O23" s="395">
        <v>25.71</v>
      </c>
      <c r="P23" s="390">
        <v>864.4</v>
      </c>
      <c r="Q23" s="390">
        <v>144.1</v>
      </c>
      <c r="R23" s="390">
        <v>165.2</v>
      </c>
      <c r="S23" s="396">
        <v>5.04</v>
      </c>
      <c r="T23" s="392">
        <v>10.96</v>
      </c>
      <c r="U23" s="390">
        <v>317.5</v>
      </c>
      <c r="V23" s="396">
        <v>52.92</v>
      </c>
      <c r="W23" s="396">
        <v>80.97</v>
      </c>
      <c r="X23" s="392">
        <v>3.06</v>
      </c>
      <c r="Y23" s="396">
        <v>42.56</v>
      </c>
      <c r="Z23" s="396">
        <v>13.84</v>
      </c>
      <c r="AA23" s="397">
        <v>9.41</v>
      </c>
      <c r="AB23" s="398">
        <v>1</v>
      </c>
      <c r="AC23" s="398">
        <v>1</v>
      </c>
      <c r="AD23" s="399" t="s">
        <v>616</v>
      </c>
      <c r="AE23" s="398">
        <v>1</v>
      </c>
      <c r="AF23" s="398">
        <v>1</v>
      </c>
      <c r="AG23" s="400" t="s">
        <v>616</v>
      </c>
      <c r="AH23" s="389"/>
    </row>
    <row r="24" spans="1:34" s="66" customFormat="1" ht="13.5" customHeight="1">
      <c r="A24" s="81" t="s">
        <v>683</v>
      </c>
      <c r="B24" s="139">
        <v>52.1</v>
      </c>
      <c r="C24" s="83">
        <v>140</v>
      </c>
      <c r="D24" s="83">
        <v>126</v>
      </c>
      <c r="E24" s="84">
        <v>12.5</v>
      </c>
      <c r="F24" s="84">
        <v>21</v>
      </c>
      <c r="G24" s="90">
        <v>12</v>
      </c>
      <c r="H24" s="91">
        <v>66.41</v>
      </c>
      <c r="I24" s="83">
        <v>98</v>
      </c>
      <c r="J24" s="83">
        <v>74</v>
      </c>
      <c r="K24" s="83" t="s">
        <v>632</v>
      </c>
      <c r="L24" s="86">
        <v>66</v>
      </c>
      <c r="M24" s="87">
        <v>74</v>
      </c>
      <c r="N24" s="88">
        <v>0.73799999999999999</v>
      </c>
      <c r="O24" s="88">
        <v>14.16</v>
      </c>
      <c r="P24" s="84">
        <v>2018</v>
      </c>
      <c r="Q24" s="84">
        <v>288.2</v>
      </c>
      <c r="R24" s="84">
        <v>350.6</v>
      </c>
      <c r="S24" s="89">
        <v>5.51</v>
      </c>
      <c r="T24" s="91">
        <v>21.15</v>
      </c>
      <c r="U24" s="84">
        <v>702.8</v>
      </c>
      <c r="V24" s="89">
        <v>111.6</v>
      </c>
      <c r="W24" s="89">
        <v>171.6</v>
      </c>
      <c r="X24" s="91">
        <v>3.25</v>
      </c>
      <c r="Y24" s="89">
        <v>68.56</v>
      </c>
      <c r="Z24" s="89">
        <v>91.66</v>
      </c>
      <c r="AA24" s="154">
        <v>24.79</v>
      </c>
      <c r="AB24" s="21">
        <v>1</v>
      </c>
      <c r="AC24" s="21">
        <v>1</v>
      </c>
      <c r="AD24" s="43" t="s">
        <v>616</v>
      </c>
      <c r="AE24" s="21">
        <v>1</v>
      </c>
      <c r="AF24" s="21">
        <v>1</v>
      </c>
      <c r="AG24" s="42" t="s">
        <v>616</v>
      </c>
      <c r="AH24" s="83"/>
    </row>
    <row r="25" spans="1:34" s="66" customFormat="1" ht="13.5" customHeight="1">
      <c r="A25" s="81"/>
      <c r="B25" s="139"/>
      <c r="C25" s="83"/>
      <c r="D25" s="83"/>
      <c r="E25" s="84"/>
      <c r="F25" s="84"/>
      <c r="G25" s="90"/>
      <c r="H25" s="91"/>
      <c r="I25" s="83"/>
      <c r="J25" s="83"/>
      <c r="K25" s="83"/>
      <c r="L25" s="86"/>
      <c r="M25" s="87"/>
      <c r="N25" s="88"/>
      <c r="O25" s="88"/>
      <c r="P25" s="84"/>
      <c r="Q25" s="84"/>
      <c r="R25" s="84"/>
      <c r="S25" s="89"/>
      <c r="T25" s="91"/>
      <c r="U25" s="84"/>
      <c r="V25" s="89"/>
      <c r="W25" s="89"/>
      <c r="X25" s="91"/>
      <c r="Y25" s="89"/>
      <c r="Z25" s="89"/>
      <c r="AA25" s="154"/>
      <c r="AB25" s="21"/>
      <c r="AC25" s="21"/>
      <c r="AD25" s="43"/>
      <c r="AE25" s="21"/>
      <c r="AF25" s="21"/>
      <c r="AG25" s="42"/>
      <c r="AH25" s="83"/>
    </row>
    <row r="26" spans="1:34" s="402" customFormat="1" ht="13.5" customHeight="1">
      <c r="A26" s="387" t="s">
        <v>684</v>
      </c>
      <c r="B26" s="388">
        <v>18.100000000000001</v>
      </c>
      <c r="C26" s="389">
        <v>128</v>
      </c>
      <c r="D26" s="389">
        <v>140</v>
      </c>
      <c r="E26" s="390">
        <v>4.3</v>
      </c>
      <c r="F26" s="390">
        <v>6</v>
      </c>
      <c r="G26" s="391">
        <v>12</v>
      </c>
      <c r="H26" s="392">
        <v>23.02</v>
      </c>
      <c r="I26" s="389">
        <v>116</v>
      </c>
      <c r="J26" s="389">
        <v>92</v>
      </c>
      <c r="K26" s="389" t="s">
        <v>639</v>
      </c>
      <c r="L26" s="393">
        <v>64</v>
      </c>
      <c r="M26" s="394">
        <v>76</v>
      </c>
      <c r="N26" s="395">
        <v>0.78700000000000003</v>
      </c>
      <c r="O26" s="395">
        <v>43.53</v>
      </c>
      <c r="P26" s="390">
        <v>719.5</v>
      </c>
      <c r="Q26" s="390">
        <v>112.4</v>
      </c>
      <c r="R26" s="390">
        <v>123.8</v>
      </c>
      <c r="S26" s="396">
        <v>5.59</v>
      </c>
      <c r="T26" s="392">
        <v>7.92</v>
      </c>
      <c r="U26" s="390">
        <v>274.8</v>
      </c>
      <c r="V26" s="396">
        <v>39.26</v>
      </c>
      <c r="W26" s="396">
        <v>59.93</v>
      </c>
      <c r="X26" s="392">
        <v>3.45</v>
      </c>
      <c r="Y26" s="396">
        <v>30.36</v>
      </c>
      <c r="Z26" s="396">
        <v>3.54</v>
      </c>
      <c r="AA26" s="397">
        <v>10.210000000000001</v>
      </c>
      <c r="AB26" s="398">
        <v>3</v>
      </c>
      <c r="AC26" s="398">
        <v>3</v>
      </c>
      <c r="AD26" s="399" t="s">
        <v>616</v>
      </c>
      <c r="AE26" s="398">
        <v>3</v>
      </c>
      <c r="AF26" s="398">
        <v>3</v>
      </c>
      <c r="AG26" s="400" t="s">
        <v>616</v>
      </c>
      <c r="AH26" s="389"/>
    </row>
    <row r="27" spans="1:34" s="66" customFormat="1" ht="13.5" customHeight="1">
      <c r="A27" s="81" t="s">
        <v>685</v>
      </c>
      <c r="B27" s="139">
        <v>24.7</v>
      </c>
      <c r="C27" s="83">
        <v>133</v>
      </c>
      <c r="D27" s="83">
        <v>140</v>
      </c>
      <c r="E27" s="84">
        <v>5.5</v>
      </c>
      <c r="F27" s="84">
        <v>8.5</v>
      </c>
      <c r="G27" s="90">
        <v>12</v>
      </c>
      <c r="H27" s="91">
        <v>31.42</v>
      </c>
      <c r="I27" s="83">
        <v>116</v>
      </c>
      <c r="J27" s="83">
        <v>92</v>
      </c>
      <c r="K27" s="83" t="s">
        <v>639</v>
      </c>
      <c r="L27" s="86">
        <v>64</v>
      </c>
      <c r="M27" s="87">
        <v>76</v>
      </c>
      <c r="N27" s="88">
        <v>0.79400000000000004</v>
      </c>
      <c r="O27" s="88">
        <v>32.21</v>
      </c>
      <c r="P27" s="84">
        <v>1033</v>
      </c>
      <c r="Q27" s="84">
        <v>155.4</v>
      </c>
      <c r="R27" s="84">
        <v>173.5</v>
      </c>
      <c r="S27" s="89">
        <v>5.73</v>
      </c>
      <c r="T27" s="91">
        <v>10.119999999999999</v>
      </c>
      <c r="U27" s="84">
        <v>389.3</v>
      </c>
      <c r="V27" s="89">
        <v>55.62</v>
      </c>
      <c r="W27" s="89">
        <v>84.85</v>
      </c>
      <c r="X27" s="91">
        <v>3.52</v>
      </c>
      <c r="Y27" s="89">
        <v>36.56</v>
      </c>
      <c r="Z27" s="89">
        <v>8.1300000000000008</v>
      </c>
      <c r="AA27" s="154">
        <v>15.06</v>
      </c>
      <c r="AB27" s="21">
        <v>1</v>
      </c>
      <c r="AC27" s="21">
        <v>2</v>
      </c>
      <c r="AD27" s="43" t="s">
        <v>616</v>
      </c>
      <c r="AE27" s="21">
        <v>1</v>
      </c>
      <c r="AF27" s="21">
        <v>2</v>
      </c>
      <c r="AG27" s="42" t="s">
        <v>616</v>
      </c>
      <c r="AH27" s="83"/>
    </row>
    <row r="28" spans="1:34" s="402" customFormat="1" ht="13.5" customHeight="1">
      <c r="A28" s="387" t="s">
        <v>686</v>
      </c>
      <c r="B28" s="388">
        <v>33.700000000000003</v>
      </c>
      <c r="C28" s="389">
        <v>140</v>
      </c>
      <c r="D28" s="389">
        <v>140</v>
      </c>
      <c r="E28" s="390">
        <v>7</v>
      </c>
      <c r="F28" s="390">
        <v>12</v>
      </c>
      <c r="G28" s="391">
        <v>12</v>
      </c>
      <c r="H28" s="392">
        <v>42.96</v>
      </c>
      <c r="I28" s="389">
        <v>116</v>
      </c>
      <c r="J28" s="389">
        <v>92</v>
      </c>
      <c r="K28" s="389" t="s">
        <v>639</v>
      </c>
      <c r="L28" s="393">
        <v>66</v>
      </c>
      <c r="M28" s="394">
        <v>76</v>
      </c>
      <c r="N28" s="395">
        <v>0.80500000000000005</v>
      </c>
      <c r="O28" s="395">
        <v>23.88</v>
      </c>
      <c r="P28" s="390">
        <v>1509</v>
      </c>
      <c r="Q28" s="390">
        <v>215.6</v>
      </c>
      <c r="R28" s="390">
        <v>245.4</v>
      </c>
      <c r="S28" s="396">
        <v>5.93</v>
      </c>
      <c r="T28" s="392">
        <v>13.08</v>
      </c>
      <c r="U28" s="390">
        <v>549.70000000000005</v>
      </c>
      <c r="V28" s="396">
        <v>78.52</v>
      </c>
      <c r="W28" s="396">
        <v>119.8</v>
      </c>
      <c r="X28" s="392">
        <v>3.58</v>
      </c>
      <c r="Y28" s="396">
        <v>45.06</v>
      </c>
      <c r="Z28" s="396">
        <v>20.059999999999999</v>
      </c>
      <c r="AA28" s="397">
        <v>22.48</v>
      </c>
      <c r="AB28" s="398">
        <v>1</v>
      </c>
      <c r="AC28" s="398">
        <v>1</v>
      </c>
      <c r="AD28" s="399" t="s">
        <v>616</v>
      </c>
      <c r="AE28" s="398">
        <v>1</v>
      </c>
      <c r="AF28" s="398">
        <v>1</v>
      </c>
      <c r="AG28" s="400" t="s">
        <v>616</v>
      </c>
      <c r="AH28" s="389"/>
    </row>
    <row r="29" spans="1:34" s="66" customFormat="1" ht="13.5" customHeight="1">
      <c r="A29" s="81" t="s">
        <v>687</v>
      </c>
      <c r="B29" s="139">
        <v>63.2</v>
      </c>
      <c r="C29" s="83">
        <v>160</v>
      </c>
      <c r="D29" s="83">
        <v>146</v>
      </c>
      <c r="E29" s="84">
        <v>13</v>
      </c>
      <c r="F29" s="84">
        <v>22</v>
      </c>
      <c r="G29" s="90">
        <v>12</v>
      </c>
      <c r="H29" s="91">
        <v>80.56</v>
      </c>
      <c r="I29" s="83">
        <v>116</v>
      </c>
      <c r="J29" s="83">
        <v>92</v>
      </c>
      <c r="K29" s="83" t="s">
        <v>639</v>
      </c>
      <c r="L29" s="86">
        <v>72</v>
      </c>
      <c r="M29" s="87">
        <v>82</v>
      </c>
      <c r="N29" s="88">
        <v>0.85699999999999998</v>
      </c>
      <c r="O29" s="88">
        <v>13.56</v>
      </c>
      <c r="P29" s="84">
        <v>3291</v>
      </c>
      <c r="Q29" s="84">
        <v>411.4</v>
      </c>
      <c r="R29" s="84">
        <v>493.8</v>
      </c>
      <c r="S29" s="89">
        <v>6.39</v>
      </c>
      <c r="T29" s="91">
        <v>24.46</v>
      </c>
      <c r="U29" s="84">
        <v>1144</v>
      </c>
      <c r="V29" s="89">
        <v>156.80000000000001</v>
      </c>
      <c r="W29" s="89">
        <v>240.5</v>
      </c>
      <c r="X29" s="91">
        <v>3.77</v>
      </c>
      <c r="Y29" s="89">
        <v>71.06</v>
      </c>
      <c r="Z29" s="89">
        <v>120</v>
      </c>
      <c r="AA29" s="154">
        <v>54.33</v>
      </c>
      <c r="AB29" s="21">
        <v>1</v>
      </c>
      <c r="AC29" s="21">
        <v>1</v>
      </c>
      <c r="AD29" s="43" t="s">
        <v>616</v>
      </c>
      <c r="AE29" s="21">
        <v>1</v>
      </c>
      <c r="AF29" s="21">
        <v>1</v>
      </c>
      <c r="AG29" s="42" t="s">
        <v>616</v>
      </c>
      <c r="AH29" s="83"/>
    </row>
    <row r="30" spans="1:34" s="66" customFormat="1" ht="13.5" customHeight="1">
      <c r="A30" s="81"/>
      <c r="B30" s="139"/>
      <c r="C30" s="83"/>
      <c r="D30" s="83"/>
      <c r="E30" s="84"/>
      <c r="F30" s="84"/>
      <c r="G30" s="90"/>
      <c r="H30" s="91"/>
      <c r="I30" s="83"/>
      <c r="J30" s="83"/>
      <c r="K30" s="83"/>
      <c r="L30" s="86"/>
      <c r="M30" s="87"/>
      <c r="N30" s="88"/>
      <c r="O30" s="88"/>
      <c r="P30" s="84"/>
      <c r="Q30" s="84"/>
      <c r="R30" s="84"/>
      <c r="S30" s="89"/>
      <c r="T30" s="91"/>
      <c r="U30" s="84"/>
      <c r="V30" s="89"/>
      <c r="W30" s="89"/>
      <c r="X30" s="91"/>
      <c r="Y30" s="89"/>
      <c r="Z30" s="89"/>
      <c r="AA30" s="154"/>
      <c r="AB30" s="21"/>
      <c r="AC30" s="21"/>
      <c r="AD30" s="43"/>
      <c r="AE30" s="21"/>
      <c r="AF30" s="21"/>
      <c r="AG30" s="42"/>
      <c r="AH30" s="83"/>
    </row>
    <row r="31" spans="1:34" s="402" customFormat="1" ht="13.5" customHeight="1">
      <c r="A31" s="387" t="s">
        <v>688</v>
      </c>
      <c r="B31" s="388">
        <v>23.8</v>
      </c>
      <c r="C31" s="389">
        <v>148</v>
      </c>
      <c r="D31" s="389">
        <v>160</v>
      </c>
      <c r="E31" s="390">
        <v>4.5</v>
      </c>
      <c r="F31" s="390">
        <v>7</v>
      </c>
      <c r="G31" s="391">
        <v>15</v>
      </c>
      <c r="H31" s="392">
        <v>30.36</v>
      </c>
      <c r="I31" s="389">
        <v>134</v>
      </c>
      <c r="J31" s="389">
        <v>104</v>
      </c>
      <c r="K31" s="389" t="s">
        <v>689</v>
      </c>
      <c r="L31" s="393">
        <v>76</v>
      </c>
      <c r="M31" s="394">
        <v>84</v>
      </c>
      <c r="N31" s="395">
        <v>0.90100000000000002</v>
      </c>
      <c r="O31" s="395">
        <v>37.81</v>
      </c>
      <c r="P31" s="390">
        <v>1283</v>
      </c>
      <c r="Q31" s="390">
        <v>173.4</v>
      </c>
      <c r="R31" s="390">
        <v>190.4</v>
      </c>
      <c r="S31" s="396">
        <v>6.5</v>
      </c>
      <c r="T31" s="392">
        <v>10.38</v>
      </c>
      <c r="U31" s="390">
        <v>478.7</v>
      </c>
      <c r="V31" s="396">
        <v>59.84</v>
      </c>
      <c r="W31" s="396">
        <v>91.36</v>
      </c>
      <c r="X31" s="392">
        <v>3.97</v>
      </c>
      <c r="Y31" s="396">
        <v>36.07</v>
      </c>
      <c r="Z31" s="396">
        <v>6.33</v>
      </c>
      <c r="AA31" s="397">
        <v>23.75</v>
      </c>
      <c r="AB31" s="398">
        <v>3</v>
      </c>
      <c r="AC31" s="398">
        <v>3</v>
      </c>
      <c r="AD31" s="399" t="s">
        <v>616</v>
      </c>
      <c r="AE31" s="398">
        <v>3</v>
      </c>
      <c r="AF31" s="398">
        <v>3</v>
      </c>
      <c r="AG31" s="400" t="s">
        <v>616</v>
      </c>
      <c r="AH31" s="389"/>
    </row>
    <row r="32" spans="1:34" s="66" customFormat="1" ht="13.5" customHeight="1">
      <c r="A32" s="81" t="s">
        <v>690</v>
      </c>
      <c r="B32" s="139">
        <v>30.4</v>
      </c>
      <c r="C32" s="83">
        <v>152</v>
      </c>
      <c r="D32" s="83">
        <v>160</v>
      </c>
      <c r="E32" s="84">
        <v>6</v>
      </c>
      <c r="F32" s="84">
        <v>9</v>
      </c>
      <c r="G32" s="90">
        <v>15</v>
      </c>
      <c r="H32" s="91">
        <v>38.770000000000003</v>
      </c>
      <c r="I32" s="83">
        <v>134</v>
      </c>
      <c r="J32" s="83">
        <v>104</v>
      </c>
      <c r="K32" s="83" t="s">
        <v>689</v>
      </c>
      <c r="L32" s="86">
        <v>78</v>
      </c>
      <c r="M32" s="87">
        <v>84</v>
      </c>
      <c r="N32" s="88">
        <v>0.90600000000000003</v>
      </c>
      <c r="O32" s="88">
        <v>29.78</v>
      </c>
      <c r="P32" s="84">
        <v>1673</v>
      </c>
      <c r="Q32" s="84">
        <v>220.1</v>
      </c>
      <c r="R32" s="84">
        <v>245.1</v>
      </c>
      <c r="S32" s="89">
        <v>6.57</v>
      </c>
      <c r="T32" s="91">
        <v>13.21</v>
      </c>
      <c r="U32" s="84">
        <v>615.6</v>
      </c>
      <c r="V32" s="89">
        <v>76.95</v>
      </c>
      <c r="W32" s="84">
        <v>117.6</v>
      </c>
      <c r="X32" s="91">
        <v>3.98</v>
      </c>
      <c r="Y32" s="89">
        <v>41.57</v>
      </c>
      <c r="Z32" s="89">
        <v>12.19</v>
      </c>
      <c r="AA32" s="154">
        <v>31.41</v>
      </c>
      <c r="AB32" s="21">
        <v>1</v>
      </c>
      <c r="AC32" s="21">
        <v>2</v>
      </c>
      <c r="AD32" s="43" t="s">
        <v>616</v>
      </c>
      <c r="AE32" s="21">
        <v>1</v>
      </c>
      <c r="AF32" s="21">
        <v>2</v>
      </c>
      <c r="AG32" s="42" t="s">
        <v>616</v>
      </c>
      <c r="AH32" s="83"/>
    </row>
    <row r="33" spans="1:34" s="402" customFormat="1" ht="13.5" customHeight="1">
      <c r="A33" s="387" t="s">
        <v>691</v>
      </c>
      <c r="B33" s="388">
        <v>42.6</v>
      </c>
      <c r="C33" s="389">
        <v>160</v>
      </c>
      <c r="D33" s="389">
        <v>160</v>
      </c>
      <c r="E33" s="390">
        <v>8</v>
      </c>
      <c r="F33" s="390">
        <v>13</v>
      </c>
      <c r="G33" s="391">
        <v>15</v>
      </c>
      <c r="H33" s="392">
        <v>54.25</v>
      </c>
      <c r="I33" s="389">
        <v>134</v>
      </c>
      <c r="J33" s="389">
        <v>104</v>
      </c>
      <c r="K33" s="389" t="s">
        <v>689</v>
      </c>
      <c r="L33" s="393">
        <v>80</v>
      </c>
      <c r="M33" s="394">
        <v>84</v>
      </c>
      <c r="N33" s="395">
        <v>0.91800000000000004</v>
      </c>
      <c r="O33" s="395">
        <v>21.56</v>
      </c>
      <c r="P33" s="390">
        <v>2492</v>
      </c>
      <c r="Q33" s="390">
        <v>311.5</v>
      </c>
      <c r="R33" s="390">
        <v>354</v>
      </c>
      <c r="S33" s="396">
        <v>6.78</v>
      </c>
      <c r="T33" s="392">
        <v>17.59</v>
      </c>
      <c r="U33" s="390">
        <v>889.2</v>
      </c>
      <c r="V33" s="390">
        <v>111.2</v>
      </c>
      <c r="W33" s="390">
        <v>170</v>
      </c>
      <c r="X33" s="392">
        <v>4.05</v>
      </c>
      <c r="Y33" s="396">
        <v>51.57</v>
      </c>
      <c r="Z33" s="396">
        <v>31.24</v>
      </c>
      <c r="AA33" s="397">
        <v>47.94</v>
      </c>
      <c r="AB33" s="398">
        <v>1</v>
      </c>
      <c r="AC33" s="398">
        <v>1</v>
      </c>
      <c r="AD33" s="399" t="s">
        <v>616</v>
      </c>
      <c r="AE33" s="398">
        <v>1</v>
      </c>
      <c r="AF33" s="398">
        <v>1</v>
      </c>
      <c r="AG33" s="400" t="s">
        <v>616</v>
      </c>
      <c r="AH33" s="389"/>
    </row>
    <row r="34" spans="1:34" s="66" customFormat="1" ht="13.5" customHeight="1">
      <c r="A34" s="81" t="s">
        <v>692</v>
      </c>
      <c r="B34" s="139">
        <v>76.2</v>
      </c>
      <c r="C34" s="83">
        <v>180</v>
      </c>
      <c r="D34" s="83">
        <v>166</v>
      </c>
      <c r="E34" s="84">
        <v>14</v>
      </c>
      <c r="F34" s="84">
        <v>23</v>
      </c>
      <c r="G34" s="90">
        <v>15</v>
      </c>
      <c r="H34" s="91">
        <v>97.05</v>
      </c>
      <c r="I34" s="83">
        <v>134</v>
      </c>
      <c r="J34" s="83">
        <v>104</v>
      </c>
      <c r="K34" s="83" t="s">
        <v>689</v>
      </c>
      <c r="L34" s="86">
        <v>86</v>
      </c>
      <c r="M34" s="87">
        <v>90</v>
      </c>
      <c r="N34" s="88">
        <v>0.97</v>
      </c>
      <c r="O34" s="88">
        <v>12.74</v>
      </c>
      <c r="P34" s="84">
        <v>5098</v>
      </c>
      <c r="Q34" s="84">
        <v>566.5</v>
      </c>
      <c r="R34" s="84">
        <v>674.6</v>
      </c>
      <c r="S34" s="89">
        <v>7.25</v>
      </c>
      <c r="T34" s="91">
        <v>30.81</v>
      </c>
      <c r="U34" s="84">
        <v>1759</v>
      </c>
      <c r="V34" s="84">
        <v>211.9</v>
      </c>
      <c r="W34" s="84">
        <v>325.5</v>
      </c>
      <c r="X34" s="91">
        <v>4.26</v>
      </c>
      <c r="Y34" s="89">
        <v>77.569999999999993</v>
      </c>
      <c r="Z34" s="89">
        <v>162.4</v>
      </c>
      <c r="AA34" s="154">
        <v>108.1</v>
      </c>
      <c r="AB34" s="21">
        <v>1</v>
      </c>
      <c r="AC34" s="21">
        <v>1</v>
      </c>
      <c r="AD34" s="43" t="s">
        <v>616</v>
      </c>
      <c r="AE34" s="21">
        <v>1</v>
      </c>
      <c r="AF34" s="21">
        <v>1</v>
      </c>
      <c r="AG34" s="42" t="s">
        <v>616</v>
      </c>
      <c r="AH34" s="83"/>
    </row>
    <row r="35" spans="1:34" s="66" customFormat="1" ht="13.5" customHeight="1">
      <c r="A35" s="81"/>
      <c r="B35" s="139"/>
      <c r="C35" s="83"/>
      <c r="D35" s="83"/>
      <c r="E35" s="84"/>
      <c r="F35" s="84"/>
      <c r="G35" s="90"/>
      <c r="H35" s="91"/>
      <c r="I35" s="83"/>
      <c r="J35" s="83"/>
      <c r="K35" s="83"/>
      <c r="L35" s="86"/>
      <c r="M35" s="87"/>
      <c r="N35" s="88"/>
      <c r="O35" s="88"/>
      <c r="P35" s="84"/>
      <c r="Q35" s="84"/>
      <c r="R35" s="84"/>
      <c r="S35" s="89"/>
      <c r="T35" s="91"/>
      <c r="U35" s="84"/>
      <c r="V35" s="84"/>
      <c r="W35" s="84"/>
      <c r="X35" s="91"/>
      <c r="Y35" s="89"/>
      <c r="Z35" s="89"/>
      <c r="AA35" s="154"/>
      <c r="AB35" s="21"/>
      <c r="AC35" s="21"/>
      <c r="AD35" s="43"/>
      <c r="AE35" s="21"/>
      <c r="AF35" s="21"/>
      <c r="AG35" s="42"/>
      <c r="AH35" s="83"/>
    </row>
    <row r="36" spans="1:34" s="402" customFormat="1" ht="13.5" customHeight="1">
      <c r="A36" s="387" t="s">
        <v>693</v>
      </c>
      <c r="B36" s="388">
        <v>28.7</v>
      </c>
      <c r="C36" s="389">
        <v>167</v>
      </c>
      <c r="D36" s="389">
        <v>180</v>
      </c>
      <c r="E36" s="390">
        <v>5</v>
      </c>
      <c r="F36" s="390">
        <v>7.5</v>
      </c>
      <c r="G36" s="391">
        <v>15</v>
      </c>
      <c r="H36" s="392">
        <v>36.53</v>
      </c>
      <c r="I36" s="389">
        <v>152</v>
      </c>
      <c r="J36" s="389">
        <v>122</v>
      </c>
      <c r="K36" s="389" t="s">
        <v>656</v>
      </c>
      <c r="L36" s="393">
        <v>84</v>
      </c>
      <c r="M36" s="394">
        <v>92</v>
      </c>
      <c r="N36" s="395">
        <v>1.018</v>
      </c>
      <c r="O36" s="395">
        <v>35.51</v>
      </c>
      <c r="P36" s="390">
        <v>1967</v>
      </c>
      <c r="Q36" s="390">
        <v>235.6</v>
      </c>
      <c r="R36" s="390">
        <v>258.2</v>
      </c>
      <c r="S36" s="396">
        <v>7.34</v>
      </c>
      <c r="T36" s="392">
        <v>12.16</v>
      </c>
      <c r="U36" s="390">
        <v>730</v>
      </c>
      <c r="V36" s="390">
        <v>81.11</v>
      </c>
      <c r="W36" s="390">
        <v>123.6</v>
      </c>
      <c r="X36" s="392">
        <v>4.47</v>
      </c>
      <c r="Y36" s="396">
        <v>37.57</v>
      </c>
      <c r="Z36" s="396">
        <v>8.33</v>
      </c>
      <c r="AA36" s="397">
        <v>46.36</v>
      </c>
      <c r="AB36" s="398">
        <v>3</v>
      </c>
      <c r="AC36" s="398">
        <v>3</v>
      </c>
      <c r="AD36" s="399" t="s">
        <v>616</v>
      </c>
      <c r="AE36" s="398">
        <v>3</v>
      </c>
      <c r="AF36" s="398">
        <v>3</v>
      </c>
      <c r="AG36" s="400" t="s">
        <v>616</v>
      </c>
      <c r="AH36" s="389"/>
    </row>
    <row r="37" spans="1:34" s="66" customFormat="1" ht="13.5" customHeight="1">
      <c r="A37" s="81" t="s">
        <v>694</v>
      </c>
      <c r="B37" s="139">
        <v>35.5</v>
      </c>
      <c r="C37" s="83">
        <v>171</v>
      </c>
      <c r="D37" s="83">
        <v>180</v>
      </c>
      <c r="E37" s="84">
        <v>6</v>
      </c>
      <c r="F37" s="84">
        <v>9.5</v>
      </c>
      <c r="G37" s="90">
        <v>15</v>
      </c>
      <c r="H37" s="91">
        <v>45.25</v>
      </c>
      <c r="I37" s="83">
        <v>152</v>
      </c>
      <c r="J37" s="83">
        <v>122</v>
      </c>
      <c r="K37" s="83" t="s">
        <v>656</v>
      </c>
      <c r="L37" s="86">
        <v>86</v>
      </c>
      <c r="M37" s="87">
        <v>92</v>
      </c>
      <c r="N37" s="88">
        <v>1.024</v>
      </c>
      <c r="O37" s="88">
        <v>28.83</v>
      </c>
      <c r="P37" s="84">
        <v>2510</v>
      </c>
      <c r="Q37" s="84">
        <v>293.60000000000002</v>
      </c>
      <c r="R37" s="84">
        <v>324.89999999999998</v>
      </c>
      <c r="S37" s="89">
        <v>7.45</v>
      </c>
      <c r="T37" s="91">
        <v>14.47</v>
      </c>
      <c r="U37" s="84">
        <v>924.6</v>
      </c>
      <c r="V37" s="84">
        <v>102.7</v>
      </c>
      <c r="W37" s="84">
        <v>156.5</v>
      </c>
      <c r="X37" s="91">
        <v>4.5199999999999996</v>
      </c>
      <c r="Y37" s="89">
        <v>42.57</v>
      </c>
      <c r="Z37" s="89">
        <v>14.8</v>
      </c>
      <c r="AA37" s="154">
        <v>60.21</v>
      </c>
      <c r="AB37" s="21">
        <v>1</v>
      </c>
      <c r="AC37" s="21">
        <v>3</v>
      </c>
      <c r="AD37" s="43" t="s">
        <v>616</v>
      </c>
      <c r="AE37" s="21">
        <v>1</v>
      </c>
      <c r="AF37" s="21">
        <v>3</v>
      </c>
      <c r="AG37" s="42" t="s">
        <v>616</v>
      </c>
      <c r="AH37" s="83"/>
    </row>
    <row r="38" spans="1:34" s="402" customFormat="1" ht="13.5" customHeight="1">
      <c r="A38" s="387" t="s">
        <v>695</v>
      </c>
      <c r="B38" s="388">
        <v>51.2</v>
      </c>
      <c r="C38" s="389">
        <v>180</v>
      </c>
      <c r="D38" s="389">
        <v>180</v>
      </c>
      <c r="E38" s="390">
        <v>8.5</v>
      </c>
      <c r="F38" s="390">
        <v>14</v>
      </c>
      <c r="G38" s="391">
        <v>15</v>
      </c>
      <c r="H38" s="392">
        <v>65.25</v>
      </c>
      <c r="I38" s="389">
        <v>152</v>
      </c>
      <c r="J38" s="389">
        <v>122</v>
      </c>
      <c r="K38" s="389" t="s">
        <v>656</v>
      </c>
      <c r="L38" s="393">
        <v>88</v>
      </c>
      <c r="M38" s="394">
        <v>92</v>
      </c>
      <c r="N38" s="395">
        <v>1.0369999999999999</v>
      </c>
      <c r="O38" s="395">
        <v>20.25</v>
      </c>
      <c r="P38" s="390">
        <v>3831</v>
      </c>
      <c r="Q38" s="390">
        <v>425.7</v>
      </c>
      <c r="R38" s="390">
        <v>481.4</v>
      </c>
      <c r="S38" s="396">
        <v>7.66</v>
      </c>
      <c r="T38" s="392">
        <v>20.239999999999998</v>
      </c>
      <c r="U38" s="390">
        <v>1363</v>
      </c>
      <c r="V38" s="390">
        <v>151.4</v>
      </c>
      <c r="W38" s="390">
        <v>231</v>
      </c>
      <c r="X38" s="392">
        <v>4.57</v>
      </c>
      <c r="Y38" s="396">
        <v>54.07</v>
      </c>
      <c r="Z38" s="396">
        <v>42.16</v>
      </c>
      <c r="AA38" s="397">
        <v>93.75</v>
      </c>
      <c r="AB38" s="398">
        <v>1</v>
      </c>
      <c r="AC38" s="398">
        <v>1</v>
      </c>
      <c r="AD38" s="399" t="s">
        <v>616</v>
      </c>
      <c r="AE38" s="398">
        <v>1</v>
      </c>
      <c r="AF38" s="398">
        <v>1</v>
      </c>
      <c r="AG38" s="400" t="s">
        <v>616</v>
      </c>
      <c r="AH38" s="389"/>
    </row>
    <row r="39" spans="1:34" s="66" customFormat="1" ht="13.5" customHeight="1">
      <c r="A39" s="81" t="s">
        <v>696</v>
      </c>
      <c r="B39" s="139">
        <v>88.9</v>
      </c>
      <c r="C39" s="83">
        <v>200</v>
      </c>
      <c r="D39" s="83">
        <v>186</v>
      </c>
      <c r="E39" s="84">
        <v>14.5</v>
      </c>
      <c r="F39" s="84">
        <v>24</v>
      </c>
      <c r="G39" s="90">
        <v>15</v>
      </c>
      <c r="H39" s="91">
        <v>113.3</v>
      </c>
      <c r="I39" s="83">
        <v>152</v>
      </c>
      <c r="J39" s="83">
        <v>122</v>
      </c>
      <c r="K39" s="83" t="s">
        <v>656</v>
      </c>
      <c r="L39" s="86">
        <v>94</v>
      </c>
      <c r="M39" s="87">
        <v>98</v>
      </c>
      <c r="N39" s="88">
        <v>1.089</v>
      </c>
      <c r="O39" s="88">
        <v>12.25</v>
      </c>
      <c r="P39" s="84">
        <v>7483</v>
      </c>
      <c r="Q39" s="84">
        <v>748.3</v>
      </c>
      <c r="R39" s="84">
        <v>883.4</v>
      </c>
      <c r="S39" s="89">
        <v>8.1300000000000008</v>
      </c>
      <c r="T39" s="91">
        <v>34.65</v>
      </c>
      <c r="U39" s="86">
        <v>2580</v>
      </c>
      <c r="V39" s="84">
        <v>277.39999999999998</v>
      </c>
      <c r="W39" s="84">
        <v>425.2</v>
      </c>
      <c r="X39" s="91">
        <v>4.7699999999999996</v>
      </c>
      <c r="Y39" s="89">
        <v>80.069999999999993</v>
      </c>
      <c r="Z39" s="89">
        <v>203.3</v>
      </c>
      <c r="AA39" s="154">
        <v>199.3</v>
      </c>
      <c r="AB39" s="21">
        <v>1</v>
      </c>
      <c r="AC39" s="21">
        <v>1</v>
      </c>
      <c r="AD39" s="43" t="s">
        <v>616</v>
      </c>
      <c r="AE39" s="21">
        <v>1</v>
      </c>
      <c r="AF39" s="21">
        <v>1</v>
      </c>
      <c r="AG39" s="42" t="s">
        <v>616</v>
      </c>
      <c r="AH39" s="83"/>
    </row>
    <row r="40" spans="1:34" s="66" customFormat="1" ht="13.5" customHeight="1">
      <c r="A40" s="81"/>
      <c r="B40" s="139"/>
      <c r="C40" s="83"/>
      <c r="D40" s="83"/>
      <c r="E40" s="84"/>
      <c r="F40" s="84"/>
      <c r="G40" s="90"/>
      <c r="H40" s="91"/>
      <c r="I40" s="83"/>
      <c r="J40" s="83"/>
      <c r="K40" s="83"/>
      <c r="L40" s="86"/>
      <c r="M40" s="87"/>
      <c r="N40" s="88"/>
      <c r="O40" s="88"/>
      <c r="P40" s="84"/>
      <c r="Q40" s="84"/>
      <c r="R40" s="84"/>
      <c r="S40" s="89"/>
      <c r="T40" s="91"/>
      <c r="U40" s="84"/>
      <c r="V40" s="84"/>
      <c r="W40" s="84"/>
      <c r="X40" s="91"/>
      <c r="Y40" s="89"/>
      <c r="Z40" s="89"/>
      <c r="AA40" s="154"/>
      <c r="AB40" s="21"/>
      <c r="AC40" s="21"/>
      <c r="AD40" s="43"/>
      <c r="AE40" s="21"/>
      <c r="AF40" s="21"/>
      <c r="AG40" s="42"/>
      <c r="AH40" s="83"/>
    </row>
    <row r="41" spans="1:34" s="402" customFormat="1" ht="13.5" customHeight="1">
      <c r="A41" s="387" t="s">
        <v>697</v>
      </c>
      <c r="B41" s="388">
        <v>34.6</v>
      </c>
      <c r="C41" s="389">
        <v>186</v>
      </c>
      <c r="D41" s="389">
        <v>200</v>
      </c>
      <c r="E41" s="390">
        <v>5.5</v>
      </c>
      <c r="F41" s="390">
        <v>8</v>
      </c>
      <c r="G41" s="391">
        <v>18</v>
      </c>
      <c r="H41" s="392">
        <v>44.13</v>
      </c>
      <c r="I41" s="389">
        <v>170</v>
      </c>
      <c r="J41" s="389">
        <v>134</v>
      </c>
      <c r="K41" s="389" t="s">
        <v>667</v>
      </c>
      <c r="L41" s="393">
        <v>96</v>
      </c>
      <c r="M41" s="394">
        <v>100</v>
      </c>
      <c r="N41" s="395">
        <v>1.1299999999999999</v>
      </c>
      <c r="O41" s="395">
        <v>32.619999999999997</v>
      </c>
      <c r="P41" s="390">
        <v>2944</v>
      </c>
      <c r="Q41" s="390">
        <v>316.60000000000002</v>
      </c>
      <c r="R41" s="390">
        <v>347.1</v>
      </c>
      <c r="S41" s="396">
        <v>8.17</v>
      </c>
      <c r="T41" s="392">
        <v>15.45</v>
      </c>
      <c r="U41" s="390">
        <v>1068</v>
      </c>
      <c r="V41" s="390">
        <v>106.8</v>
      </c>
      <c r="W41" s="390">
        <v>163.19999999999999</v>
      </c>
      <c r="X41" s="392">
        <v>4.92</v>
      </c>
      <c r="Y41" s="396">
        <v>42.59</v>
      </c>
      <c r="Z41" s="396">
        <v>12.69</v>
      </c>
      <c r="AA41" s="397">
        <v>84.49</v>
      </c>
      <c r="AB41" s="398">
        <v>3</v>
      </c>
      <c r="AC41" s="398">
        <v>4</v>
      </c>
      <c r="AD41" s="399" t="s">
        <v>616</v>
      </c>
      <c r="AE41" s="398">
        <v>3</v>
      </c>
      <c r="AF41" s="398">
        <v>4</v>
      </c>
      <c r="AG41" s="400" t="s">
        <v>616</v>
      </c>
      <c r="AH41" s="389"/>
    </row>
    <row r="42" spans="1:34" s="66" customFormat="1" ht="13.5" customHeight="1">
      <c r="A42" s="81" t="s">
        <v>698</v>
      </c>
      <c r="B42" s="139">
        <v>42.3</v>
      </c>
      <c r="C42" s="83">
        <v>190</v>
      </c>
      <c r="D42" s="83">
        <v>200</v>
      </c>
      <c r="E42" s="84">
        <v>6.5</v>
      </c>
      <c r="F42" s="84">
        <v>10</v>
      </c>
      <c r="G42" s="90">
        <v>18</v>
      </c>
      <c r="H42" s="91">
        <v>53.83</v>
      </c>
      <c r="I42" s="83">
        <v>170</v>
      </c>
      <c r="J42" s="83">
        <v>134</v>
      </c>
      <c r="K42" s="83" t="s">
        <v>667</v>
      </c>
      <c r="L42" s="86">
        <v>98</v>
      </c>
      <c r="M42" s="87">
        <v>100</v>
      </c>
      <c r="N42" s="88">
        <v>1.1359999999999999</v>
      </c>
      <c r="O42" s="88">
        <v>26.89</v>
      </c>
      <c r="P42" s="84">
        <v>3692</v>
      </c>
      <c r="Q42" s="84">
        <v>388.6</v>
      </c>
      <c r="R42" s="84">
        <v>429.5</v>
      </c>
      <c r="S42" s="89">
        <v>8.2799999999999994</v>
      </c>
      <c r="T42" s="91">
        <v>18.079999999999998</v>
      </c>
      <c r="U42" s="84">
        <v>1336</v>
      </c>
      <c r="V42" s="84">
        <v>133.6</v>
      </c>
      <c r="W42" s="84">
        <v>203.8</v>
      </c>
      <c r="X42" s="91">
        <v>4.9800000000000004</v>
      </c>
      <c r="Y42" s="89">
        <v>47.59</v>
      </c>
      <c r="Z42" s="89">
        <v>20.98</v>
      </c>
      <c r="AA42" s="155">
        <v>108</v>
      </c>
      <c r="AB42" s="21">
        <v>1</v>
      </c>
      <c r="AC42" s="21">
        <v>3</v>
      </c>
      <c r="AD42" s="43" t="s">
        <v>616</v>
      </c>
      <c r="AE42" s="21">
        <v>1</v>
      </c>
      <c r="AF42" s="21">
        <v>3</v>
      </c>
      <c r="AG42" s="42" t="s">
        <v>616</v>
      </c>
      <c r="AH42" s="83"/>
    </row>
    <row r="43" spans="1:34" s="402" customFormat="1" ht="13.5" customHeight="1">
      <c r="A43" s="387" t="s">
        <v>699</v>
      </c>
      <c r="B43" s="388">
        <v>61.3</v>
      </c>
      <c r="C43" s="389">
        <v>200</v>
      </c>
      <c r="D43" s="389">
        <v>200</v>
      </c>
      <c r="E43" s="390">
        <v>9</v>
      </c>
      <c r="F43" s="390">
        <v>15</v>
      </c>
      <c r="G43" s="391">
        <v>18</v>
      </c>
      <c r="H43" s="392">
        <v>78.08</v>
      </c>
      <c r="I43" s="389">
        <v>170</v>
      </c>
      <c r="J43" s="389">
        <v>134</v>
      </c>
      <c r="K43" s="389" t="s">
        <v>667</v>
      </c>
      <c r="L43" s="393">
        <v>100</v>
      </c>
      <c r="M43" s="394">
        <v>100</v>
      </c>
      <c r="N43" s="395">
        <v>1.151</v>
      </c>
      <c r="O43" s="395">
        <v>18.78</v>
      </c>
      <c r="P43" s="390">
        <v>5696</v>
      </c>
      <c r="Q43" s="390">
        <v>569.6</v>
      </c>
      <c r="R43" s="390">
        <v>642.5</v>
      </c>
      <c r="S43" s="396">
        <v>8.5399999999999991</v>
      </c>
      <c r="T43" s="392">
        <v>24.83</v>
      </c>
      <c r="U43" s="390">
        <v>2003</v>
      </c>
      <c r="V43" s="390">
        <v>200.3</v>
      </c>
      <c r="W43" s="390">
        <v>305.8</v>
      </c>
      <c r="X43" s="392">
        <v>5.07</v>
      </c>
      <c r="Y43" s="396">
        <v>60.09</v>
      </c>
      <c r="Z43" s="396">
        <v>59.28</v>
      </c>
      <c r="AA43" s="403">
        <v>171.1</v>
      </c>
      <c r="AB43" s="398">
        <v>1</v>
      </c>
      <c r="AC43" s="398">
        <v>1</v>
      </c>
      <c r="AD43" s="399" t="s">
        <v>616</v>
      </c>
      <c r="AE43" s="398">
        <v>1</v>
      </c>
      <c r="AF43" s="398">
        <v>1</v>
      </c>
      <c r="AG43" s="400" t="s">
        <v>616</v>
      </c>
      <c r="AH43" s="389"/>
    </row>
    <row r="44" spans="1:34" s="66" customFormat="1" ht="13.5" customHeight="1">
      <c r="A44" s="81" t="s">
        <v>700</v>
      </c>
      <c r="B44" s="139">
        <v>103</v>
      </c>
      <c r="C44" s="83">
        <v>220</v>
      </c>
      <c r="D44" s="83">
        <v>206</v>
      </c>
      <c r="E44" s="84">
        <v>15</v>
      </c>
      <c r="F44" s="84">
        <v>25</v>
      </c>
      <c r="G44" s="90">
        <v>18</v>
      </c>
      <c r="H44" s="91">
        <v>131.30000000000001</v>
      </c>
      <c r="I44" s="83">
        <v>170</v>
      </c>
      <c r="J44" s="83">
        <v>134</v>
      </c>
      <c r="K44" s="83" t="s">
        <v>667</v>
      </c>
      <c r="L44" s="86">
        <v>106</v>
      </c>
      <c r="M44" s="87">
        <v>106</v>
      </c>
      <c r="N44" s="88">
        <v>1.2030000000000001</v>
      </c>
      <c r="O44" s="88">
        <v>11.67</v>
      </c>
      <c r="P44" s="84">
        <v>10640</v>
      </c>
      <c r="Q44" s="84">
        <v>967.4</v>
      </c>
      <c r="R44" s="84">
        <v>1135</v>
      </c>
      <c r="S44" s="89">
        <v>9</v>
      </c>
      <c r="T44" s="91">
        <v>41.03</v>
      </c>
      <c r="U44" s="84">
        <v>3651</v>
      </c>
      <c r="V44" s="84">
        <v>354.5</v>
      </c>
      <c r="W44" s="84">
        <v>543.20000000000005</v>
      </c>
      <c r="X44" s="91">
        <v>5.27</v>
      </c>
      <c r="Y44" s="89">
        <v>86.09</v>
      </c>
      <c r="Z44" s="89">
        <v>259.39999999999998</v>
      </c>
      <c r="AA44" s="155">
        <v>346.3</v>
      </c>
      <c r="AB44" s="21">
        <v>1</v>
      </c>
      <c r="AC44" s="21">
        <v>1</v>
      </c>
      <c r="AD44" s="43" t="s">
        <v>616</v>
      </c>
      <c r="AE44" s="21">
        <v>1</v>
      </c>
      <c r="AF44" s="21">
        <v>1</v>
      </c>
      <c r="AG44" s="42" t="s">
        <v>616</v>
      </c>
      <c r="AH44" s="83"/>
    </row>
    <row r="45" spans="1:34" s="66" customFormat="1" ht="13.5" customHeight="1">
      <c r="A45" s="81"/>
      <c r="B45" s="139"/>
      <c r="C45" s="83"/>
      <c r="D45" s="83"/>
      <c r="E45" s="84"/>
      <c r="F45" s="84"/>
      <c r="G45" s="90"/>
      <c r="H45" s="91"/>
      <c r="I45" s="83"/>
      <c r="J45" s="83"/>
      <c r="K45" s="83"/>
      <c r="L45" s="86"/>
      <c r="M45" s="87"/>
      <c r="N45" s="88"/>
      <c r="O45" s="88"/>
      <c r="P45" s="84"/>
      <c r="Q45" s="84"/>
      <c r="R45" s="84"/>
      <c r="S45" s="89"/>
      <c r="T45" s="91"/>
      <c r="U45" s="84"/>
      <c r="V45" s="84"/>
      <c r="W45" s="84"/>
      <c r="X45" s="91"/>
      <c r="Y45" s="89"/>
      <c r="Z45" s="89"/>
      <c r="AA45" s="155"/>
      <c r="AB45" s="21"/>
      <c r="AC45" s="21"/>
      <c r="AD45" s="43"/>
      <c r="AE45" s="21"/>
      <c r="AF45" s="21"/>
      <c r="AG45" s="42"/>
      <c r="AH45" s="83"/>
    </row>
    <row r="46" spans="1:34" s="402" customFormat="1" ht="13.5" customHeight="1">
      <c r="A46" s="387" t="s">
        <v>701</v>
      </c>
      <c r="B46" s="388">
        <v>40.4</v>
      </c>
      <c r="C46" s="389">
        <v>205</v>
      </c>
      <c r="D46" s="389">
        <v>220</v>
      </c>
      <c r="E46" s="390">
        <v>6</v>
      </c>
      <c r="F46" s="390">
        <v>8.5</v>
      </c>
      <c r="G46" s="391">
        <v>18</v>
      </c>
      <c r="H46" s="392">
        <v>51.46</v>
      </c>
      <c r="I46" s="389">
        <v>188</v>
      </c>
      <c r="J46" s="389">
        <v>152</v>
      </c>
      <c r="K46" s="389" t="s">
        <v>667</v>
      </c>
      <c r="L46" s="393">
        <v>98</v>
      </c>
      <c r="M46" s="394">
        <v>118</v>
      </c>
      <c r="N46" s="395">
        <v>1.2470000000000001</v>
      </c>
      <c r="O46" s="395">
        <v>30.87</v>
      </c>
      <c r="P46" s="390">
        <v>4170</v>
      </c>
      <c r="Q46" s="390">
        <v>406.9</v>
      </c>
      <c r="R46" s="390">
        <v>445.5</v>
      </c>
      <c r="S46" s="396">
        <v>9</v>
      </c>
      <c r="T46" s="392">
        <v>17.63</v>
      </c>
      <c r="U46" s="390">
        <v>1510</v>
      </c>
      <c r="V46" s="390">
        <v>137.30000000000001</v>
      </c>
      <c r="W46" s="390">
        <v>209.3</v>
      </c>
      <c r="X46" s="392">
        <v>5.42</v>
      </c>
      <c r="Y46" s="396">
        <v>44.09</v>
      </c>
      <c r="Z46" s="396">
        <v>15.93</v>
      </c>
      <c r="AA46" s="403">
        <v>145.6</v>
      </c>
      <c r="AB46" s="398">
        <v>3</v>
      </c>
      <c r="AC46" s="398">
        <v>4</v>
      </c>
      <c r="AD46" s="399" t="s">
        <v>616</v>
      </c>
      <c r="AE46" s="398">
        <v>3</v>
      </c>
      <c r="AF46" s="398">
        <v>4</v>
      </c>
      <c r="AG46" s="400" t="s">
        <v>616</v>
      </c>
      <c r="AH46" s="389"/>
    </row>
    <row r="47" spans="1:34" s="66" customFormat="1" ht="13.5" customHeight="1">
      <c r="A47" s="81" t="s">
        <v>702</v>
      </c>
      <c r="B47" s="139">
        <v>50.5</v>
      </c>
      <c r="C47" s="83">
        <v>210</v>
      </c>
      <c r="D47" s="83">
        <v>220</v>
      </c>
      <c r="E47" s="84">
        <v>7</v>
      </c>
      <c r="F47" s="84">
        <v>11</v>
      </c>
      <c r="G47" s="90">
        <v>18</v>
      </c>
      <c r="H47" s="91">
        <v>64.34</v>
      </c>
      <c r="I47" s="83">
        <v>188</v>
      </c>
      <c r="J47" s="83">
        <v>152</v>
      </c>
      <c r="K47" s="83" t="s">
        <v>667</v>
      </c>
      <c r="L47" s="86">
        <v>98</v>
      </c>
      <c r="M47" s="87">
        <v>118</v>
      </c>
      <c r="N47" s="88">
        <v>1.2549999999999999</v>
      </c>
      <c r="O47" s="88">
        <v>24.85</v>
      </c>
      <c r="P47" s="84">
        <v>5410</v>
      </c>
      <c r="Q47" s="84">
        <v>515.20000000000005</v>
      </c>
      <c r="R47" s="84">
        <v>568.5</v>
      </c>
      <c r="S47" s="89">
        <v>9.17</v>
      </c>
      <c r="T47" s="91">
        <v>20.67</v>
      </c>
      <c r="U47" s="86">
        <v>1955</v>
      </c>
      <c r="V47" s="84">
        <v>177.7</v>
      </c>
      <c r="W47" s="84">
        <v>270.60000000000002</v>
      </c>
      <c r="X47" s="91">
        <v>5.51</v>
      </c>
      <c r="Y47" s="89">
        <v>50.09</v>
      </c>
      <c r="Z47" s="89">
        <v>28.46</v>
      </c>
      <c r="AA47" s="155">
        <v>193.3</v>
      </c>
      <c r="AB47" s="21">
        <v>1</v>
      </c>
      <c r="AC47" s="21">
        <v>3</v>
      </c>
      <c r="AD47" s="43" t="s">
        <v>616</v>
      </c>
      <c r="AE47" s="21">
        <v>1</v>
      </c>
      <c r="AF47" s="21">
        <v>3</v>
      </c>
      <c r="AG47" s="42" t="s">
        <v>616</v>
      </c>
      <c r="AH47" s="83"/>
    </row>
    <row r="48" spans="1:34" s="402" customFormat="1" ht="13.5" customHeight="1">
      <c r="A48" s="387" t="s">
        <v>703</v>
      </c>
      <c r="B48" s="388">
        <v>71.5</v>
      </c>
      <c r="C48" s="389">
        <v>220</v>
      </c>
      <c r="D48" s="389">
        <v>220</v>
      </c>
      <c r="E48" s="390">
        <v>9.5</v>
      </c>
      <c r="F48" s="390">
        <v>16</v>
      </c>
      <c r="G48" s="391">
        <v>18</v>
      </c>
      <c r="H48" s="392">
        <v>91.04</v>
      </c>
      <c r="I48" s="389">
        <v>188</v>
      </c>
      <c r="J48" s="389">
        <v>152</v>
      </c>
      <c r="K48" s="389" t="s">
        <v>667</v>
      </c>
      <c r="L48" s="393">
        <v>100</v>
      </c>
      <c r="M48" s="394">
        <v>118</v>
      </c>
      <c r="N48" s="395">
        <v>1.27</v>
      </c>
      <c r="O48" s="395">
        <v>17.77</v>
      </c>
      <c r="P48" s="390">
        <v>8091</v>
      </c>
      <c r="Q48" s="390">
        <v>735.5</v>
      </c>
      <c r="R48" s="390">
        <v>827</v>
      </c>
      <c r="S48" s="396">
        <v>9.43</v>
      </c>
      <c r="T48" s="392">
        <v>27.92</v>
      </c>
      <c r="U48" s="390">
        <v>2843</v>
      </c>
      <c r="V48" s="390">
        <v>258.5</v>
      </c>
      <c r="W48" s="390">
        <v>393.9</v>
      </c>
      <c r="X48" s="392">
        <v>5.59</v>
      </c>
      <c r="Y48" s="396">
        <v>62.59</v>
      </c>
      <c r="Z48" s="396">
        <v>76.569999999999993</v>
      </c>
      <c r="AA48" s="403">
        <v>295.39999999999998</v>
      </c>
      <c r="AB48" s="398">
        <v>1</v>
      </c>
      <c r="AC48" s="398">
        <v>1</v>
      </c>
      <c r="AD48" s="399" t="s">
        <v>616</v>
      </c>
      <c r="AE48" s="398">
        <v>1</v>
      </c>
      <c r="AF48" s="398">
        <v>1</v>
      </c>
      <c r="AG48" s="400" t="s">
        <v>616</v>
      </c>
      <c r="AH48" s="389"/>
    </row>
    <row r="49" spans="1:34" s="66" customFormat="1" ht="13.5" customHeight="1">
      <c r="A49" s="81" t="s">
        <v>704</v>
      </c>
      <c r="B49" s="139">
        <v>117</v>
      </c>
      <c r="C49" s="83">
        <v>240</v>
      </c>
      <c r="D49" s="83">
        <v>226</v>
      </c>
      <c r="E49" s="84">
        <v>15.5</v>
      </c>
      <c r="F49" s="84">
        <v>26</v>
      </c>
      <c r="G49" s="90">
        <v>18</v>
      </c>
      <c r="H49" s="91">
        <v>149.4</v>
      </c>
      <c r="I49" s="83">
        <v>188</v>
      </c>
      <c r="J49" s="83">
        <v>152</v>
      </c>
      <c r="K49" s="83" t="s">
        <v>667</v>
      </c>
      <c r="L49" s="86">
        <v>108</v>
      </c>
      <c r="M49" s="87">
        <v>124</v>
      </c>
      <c r="N49" s="88">
        <v>1.3220000000000001</v>
      </c>
      <c r="O49" s="88">
        <v>11.27</v>
      </c>
      <c r="P49" s="84">
        <v>14600</v>
      </c>
      <c r="Q49" s="84">
        <v>1217</v>
      </c>
      <c r="R49" s="84">
        <v>1419</v>
      </c>
      <c r="S49" s="89">
        <v>9.89</v>
      </c>
      <c r="T49" s="91">
        <v>45.31</v>
      </c>
      <c r="U49" s="84">
        <v>5012</v>
      </c>
      <c r="V49" s="84">
        <v>443.5</v>
      </c>
      <c r="W49" s="84">
        <v>678.6</v>
      </c>
      <c r="X49" s="91">
        <v>5.79</v>
      </c>
      <c r="Y49" s="89">
        <v>88.59</v>
      </c>
      <c r="Z49" s="89">
        <v>315.3</v>
      </c>
      <c r="AA49" s="155">
        <v>572.70000000000005</v>
      </c>
      <c r="AB49" s="21">
        <v>1</v>
      </c>
      <c r="AC49" s="21">
        <v>1</v>
      </c>
      <c r="AD49" s="43" t="s">
        <v>616</v>
      </c>
      <c r="AE49" s="21">
        <v>1</v>
      </c>
      <c r="AF49" s="21">
        <v>1</v>
      </c>
      <c r="AG49" s="42" t="s">
        <v>616</v>
      </c>
      <c r="AH49" s="83"/>
    </row>
    <row r="50" spans="1:34" s="66" customFormat="1" ht="13.5" customHeight="1">
      <c r="A50" s="81"/>
      <c r="B50" s="139"/>
      <c r="C50" s="83"/>
      <c r="D50" s="83"/>
      <c r="E50" s="84"/>
      <c r="F50" s="84"/>
      <c r="G50" s="90"/>
      <c r="H50" s="91"/>
      <c r="I50" s="83"/>
      <c r="J50" s="83"/>
      <c r="K50" s="83"/>
      <c r="L50" s="86"/>
      <c r="M50" s="87"/>
      <c r="N50" s="88"/>
      <c r="O50" s="88"/>
      <c r="P50" s="84"/>
      <c r="Q50" s="84"/>
      <c r="R50" s="84"/>
      <c r="S50" s="89"/>
      <c r="T50" s="91"/>
      <c r="U50" s="86"/>
      <c r="V50" s="84"/>
      <c r="W50" s="84"/>
      <c r="X50" s="91"/>
      <c r="Y50" s="89"/>
      <c r="Z50" s="89"/>
      <c r="AA50" s="155"/>
      <c r="AB50" s="21"/>
      <c r="AC50" s="21"/>
      <c r="AD50" s="43"/>
      <c r="AE50" s="21"/>
      <c r="AF50" s="21"/>
      <c r="AG50" s="42"/>
      <c r="AH50" s="83"/>
    </row>
    <row r="51" spans="1:34" s="402" customFormat="1" ht="13.5" customHeight="1">
      <c r="A51" s="387" t="s">
        <v>705</v>
      </c>
      <c r="B51" s="388">
        <v>47.4</v>
      </c>
      <c r="C51" s="389">
        <v>224</v>
      </c>
      <c r="D51" s="389">
        <v>240</v>
      </c>
      <c r="E51" s="390">
        <v>6.5</v>
      </c>
      <c r="F51" s="390">
        <v>9</v>
      </c>
      <c r="G51" s="391">
        <v>21</v>
      </c>
      <c r="H51" s="392">
        <v>60.38</v>
      </c>
      <c r="I51" s="389">
        <v>206</v>
      </c>
      <c r="J51" s="389">
        <v>164</v>
      </c>
      <c r="K51" s="389" t="s">
        <v>667</v>
      </c>
      <c r="L51" s="393">
        <v>104</v>
      </c>
      <c r="M51" s="394">
        <v>138</v>
      </c>
      <c r="N51" s="395">
        <v>1.359</v>
      </c>
      <c r="O51" s="395">
        <v>28.67</v>
      </c>
      <c r="P51" s="390">
        <v>5835</v>
      </c>
      <c r="Q51" s="390">
        <v>521</v>
      </c>
      <c r="R51" s="390">
        <v>570.6</v>
      </c>
      <c r="S51" s="396">
        <v>9.83</v>
      </c>
      <c r="T51" s="392">
        <v>21.54</v>
      </c>
      <c r="U51" s="393">
        <v>2077</v>
      </c>
      <c r="V51" s="390">
        <v>173.1</v>
      </c>
      <c r="W51" s="390">
        <v>264.39999999999998</v>
      </c>
      <c r="X51" s="392">
        <v>5.87</v>
      </c>
      <c r="Y51" s="396">
        <v>49.1</v>
      </c>
      <c r="Z51" s="396">
        <v>22.98</v>
      </c>
      <c r="AA51" s="403">
        <v>239.6</v>
      </c>
      <c r="AB51" s="398">
        <v>3</v>
      </c>
      <c r="AC51" s="398">
        <v>4</v>
      </c>
      <c r="AD51" s="399" t="s">
        <v>616</v>
      </c>
      <c r="AE51" s="398">
        <v>3</v>
      </c>
      <c r="AF51" s="398">
        <v>4</v>
      </c>
      <c r="AG51" s="400" t="s">
        <v>616</v>
      </c>
      <c r="AH51" s="389"/>
    </row>
    <row r="52" spans="1:34" s="66" customFormat="1" ht="13.5" customHeight="1">
      <c r="A52" s="33" t="s">
        <v>706</v>
      </c>
      <c r="B52" s="34">
        <v>60.3</v>
      </c>
      <c r="C52" s="21">
        <v>230</v>
      </c>
      <c r="D52" s="21">
        <v>240</v>
      </c>
      <c r="E52" s="36">
        <v>7.5</v>
      </c>
      <c r="F52" s="36">
        <v>12</v>
      </c>
      <c r="G52" s="43">
        <v>21</v>
      </c>
      <c r="H52" s="41">
        <v>76.84</v>
      </c>
      <c r="I52" s="21">
        <v>206</v>
      </c>
      <c r="J52" s="21">
        <v>164</v>
      </c>
      <c r="K52" s="21" t="s">
        <v>667</v>
      </c>
      <c r="L52" s="35">
        <v>104</v>
      </c>
      <c r="M52" s="38">
        <v>138</v>
      </c>
      <c r="N52" s="39">
        <v>1.369</v>
      </c>
      <c r="O52" s="39">
        <v>22.7</v>
      </c>
      <c r="P52" s="36">
        <v>7763</v>
      </c>
      <c r="Q52" s="36">
        <v>675.1</v>
      </c>
      <c r="R52" s="36">
        <v>744.6</v>
      </c>
      <c r="S52" s="40">
        <v>10.050000000000001</v>
      </c>
      <c r="T52" s="41">
        <v>25.18</v>
      </c>
      <c r="U52" s="35">
        <v>2769</v>
      </c>
      <c r="V52" s="36">
        <v>230.7</v>
      </c>
      <c r="W52" s="36">
        <v>351.7</v>
      </c>
      <c r="X52" s="41">
        <v>6</v>
      </c>
      <c r="Y52" s="89">
        <v>56.1</v>
      </c>
      <c r="Z52" s="89">
        <v>41.55</v>
      </c>
      <c r="AA52" s="155">
        <v>328.5</v>
      </c>
      <c r="AB52" s="21">
        <v>1</v>
      </c>
      <c r="AC52" s="21">
        <v>3</v>
      </c>
      <c r="AD52" s="43" t="s">
        <v>616</v>
      </c>
      <c r="AE52" s="21">
        <v>1</v>
      </c>
      <c r="AF52" s="21">
        <v>3</v>
      </c>
      <c r="AG52" s="42" t="s">
        <v>616</v>
      </c>
      <c r="AH52" s="156"/>
    </row>
    <row r="53" spans="1:34" s="402" customFormat="1" ht="13.5" customHeight="1">
      <c r="A53" s="387" t="s">
        <v>707</v>
      </c>
      <c r="B53" s="388">
        <v>83.2</v>
      </c>
      <c r="C53" s="389">
        <v>240</v>
      </c>
      <c r="D53" s="389">
        <v>240</v>
      </c>
      <c r="E53" s="390">
        <v>10</v>
      </c>
      <c r="F53" s="390">
        <v>17</v>
      </c>
      <c r="G53" s="391">
        <v>21</v>
      </c>
      <c r="H53" s="392">
        <v>106</v>
      </c>
      <c r="I53" s="389">
        <v>206</v>
      </c>
      <c r="J53" s="389">
        <v>164</v>
      </c>
      <c r="K53" s="389" t="s">
        <v>667</v>
      </c>
      <c r="L53" s="393">
        <v>108</v>
      </c>
      <c r="M53" s="394">
        <v>138</v>
      </c>
      <c r="N53" s="395">
        <v>1.3839999999999999</v>
      </c>
      <c r="O53" s="395">
        <v>16.63</v>
      </c>
      <c r="P53" s="390">
        <v>11260</v>
      </c>
      <c r="Q53" s="390">
        <v>938.3</v>
      </c>
      <c r="R53" s="390">
        <v>1053</v>
      </c>
      <c r="S53" s="396">
        <v>10.31</v>
      </c>
      <c r="T53" s="392">
        <v>33.229999999999997</v>
      </c>
      <c r="U53" s="393">
        <v>3923</v>
      </c>
      <c r="V53" s="390">
        <v>326.89999999999998</v>
      </c>
      <c r="W53" s="390">
        <v>498.4</v>
      </c>
      <c r="X53" s="392">
        <v>6.08</v>
      </c>
      <c r="Y53" s="396">
        <v>68.599999999999994</v>
      </c>
      <c r="Z53" s="396">
        <v>102.7</v>
      </c>
      <c r="AA53" s="403">
        <v>486.9</v>
      </c>
      <c r="AB53" s="398">
        <v>1</v>
      </c>
      <c r="AC53" s="398">
        <v>1</v>
      </c>
      <c r="AD53" s="399" t="s">
        <v>616</v>
      </c>
      <c r="AE53" s="398">
        <v>1</v>
      </c>
      <c r="AF53" s="398">
        <v>1</v>
      </c>
      <c r="AG53" s="400" t="s">
        <v>616</v>
      </c>
      <c r="AH53" s="389"/>
    </row>
    <row r="54" spans="1:34" s="66" customFormat="1" ht="13.5" customHeight="1">
      <c r="A54" s="81" t="s">
        <v>708</v>
      </c>
      <c r="B54" s="139">
        <v>157</v>
      </c>
      <c r="C54" s="83">
        <v>270</v>
      </c>
      <c r="D54" s="83">
        <v>248</v>
      </c>
      <c r="E54" s="84">
        <v>18</v>
      </c>
      <c r="F54" s="84">
        <v>32</v>
      </c>
      <c r="G54" s="90">
        <v>21</v>
      </c>
      <c r="H54" s="91">
        <v>199.6</v>
      </c>
      <c r="I54" s="83">
        <v>206</v>
      </c>
      <c r="J54" s="83">
        <v>164</v>
      </c>
      <c r="K54" s="83" t="s">
        <v>667</v>
      </c>
      <c r="L54" s="86">
        <v>116</v>
      </c>
      <c r="M54" s="87">
        <v>146</v>
      </c>
      <c r="N54" s="88">
        <v>1.46</v>
      </c>
      <c r="O54" s="88">
        <v>9.3179999999999996</v>
      </c>
      <c r="P54" s="84">
        <v>24290</v>
      </c>
      <c r="Q54" s="84">
        <v>1799</v>
      </c>
      <c r="R54" s="84">
        <v>2117</v>
      </c>
      <c r="S54" s="89">
        <v>11.03</v>
      </c>
      <c r="T54" s="91">
        <v>60.07</v>
      </c>
      <c r="U54" s="86">
        <v>8153</v>
      </c>
      <c r="V54" s="84">
        <v>657.5</v>
      </c>
      <c r="W54" s="84">
        <v>1006</v>
      </c>
      <c r="X54" s="91">
        <v>6.39</v>
      </c>
      <c r="Y54" s="89">
        <v>106.6</v>
      </c>
      <c r="Z54" s="89">
        <v>627.9</v>
      </c>
      <c r="AA54" s="155">
        <v>1152</v>
      </c>
      <c r="AB54" s="21">
        <v>1</v>
      </c>
      <c r="AC54" s="21">
        <v>1</v>
      </c>
      <c r="AD54" s="43" t="s">
        <v>616</v>
      </c>
      <c r="AE54" s="21">
        <v>1</v>
      </c>
      <c r="AF54" s="21">
        <v>1</v>
      </c>
      <c r="AG54" s="42" t="s">
        <v>616</v>
      </c>
      <c r="AH54" s="83"/>
    </row>
    <row r="55" spans="1:34" s="157" customFormat="1" ht="13.5" customHeight="1">
      <c r="A55" s="81"/>
      <c r="B55" s="140"/>
      <c r="C55" s="83"/>
      <c r="D55" s="83"/>
      <c r="E55" s="84"/>
      <c r="F55" s="84"/>
      <c r="G55" s="90"/>
      <c r="H55" s="91"/>
      <c r="I55" s="83"/>
      <c r="J55" s="83"/>
      <c r="K55" s="83"/>
      <c r="L55" s="86"/>
      <c r="M55" s="87"/>
      <c r="N55" s="88"/>
      <c r="O55" s="88"/>
      <c r="P55" s="84"/>
      <c r="Q55" s="84"/>
      <c r="R55" s="84"/>
      <c r="S55" s="89"/>
      <c r="T55" s="91"/>
      <c r="U55" s="86"/>
      <c r="V55" s="84"/>
      <c r="W55" s="84"/>
      <c r="X55" s="91"/>
      <c r="Y55" s="89"/>
      <c r="Z55" s="89"/>
      <c r="AA55" s="155"/>
      <c r="AB55" s="21"/>
      <c r="AC55" s="21"/>
      <c r="AD55" s="43"/>
      <c r="AE55" s="21"/>
      <c r="AF55" s="21"/>
      <c r="AG55" s="42"/>
      <c r="AH55" s="83"/>
    </row>
    <row r="56" spans="1:34" s="402" customFormat="1" ht="13.5" customHeight="1">
      <c r="A56" s="404" t="s">
        <v>709</v>
      </c>
      <c r="B56" s="405">
        <v>54.1</v>
      </c>
      <c r="C56" s="398">
        <v>244</v>
      </c>
      <c r="D56" s="398">
        <v>260</v>
      </c>
      <c r="E56" s="406">
        <v>6.5</v>
      </c>
      <c r="F56" s="406">
        <v>9.5</v>
      </c>
      <c r="G56" s="399">
        <v>24</v>
      </c>
      <c r="H56" s="407">
        <v>68.97</v>
      </c>
      <c r="I56" s="398">
        <v>225</v>
      </c>
      <c r="J56" s="398">
        <v>177</v>
      </c>
      <c r="K56" s="398" t="s">
        <v>667</v>
      </c>
      <c r="L56" s="408">
        <v>110</v>
      </c>
      <c r="M56" s="409">
        <v>158</v>
      </c>
      <c r="N56" s="410">
        <v>1.474</v>
      </c>
      <c r="O56" s="410">
        <v>27.22</v>
      </c>
      <c r="P56" s="406">
        <v>7981</v>
      </c>
      <c r="Q56" s="406">
        <v>654.1</v>
      </c>
      <c r="R56" s="406">
        <v>714.5</v>
      </c>
      <c r="S56" s="411">
        <v>10.76</v>
      </c>
      <c r="T56" s="407">
        <v>24.75</v>
      </c>
      <c r="U56" s="408">
        <v>2788</v>
      </c>
      <c r="V56" s="406">
        <v>214.5</v>
      </c>
      <c r="W56" s="406">
        <v>327.7</v>
      </c>
      <c r="X56" s="407">
        <v>6.36</v>
      </c>
      <c r="Y56" s="396">
        <v>53.62</v>
      </c>
      <c r="Z56" s="396">
        <v>30.31</v>
      </c>
      <c r="AA56" s="403">
        <v>382.6</v>
      </c>
      <c r="AB56" s="398">
        <v>3</v>
      </c>
      <c r="AC56" s="398">
        <v>4</v>
      </c>
      <c r="AD56" s="399" t="s">
        <v>616</v>
      </c>
      <c r="AE56" s="398">
        <v>3</v>
      </c>
      <c r="AF56" s="398">
        <v>4</v>
      </c>
      <c r="AG56" s="400" t="s">
        <v>616</v>
      </c>
      <c r="AH56" s="412"/>
    </row>
    <row r="57" spans="1:34" s="66" customFormat="1" ht="13.5" customHeight="1">
      <c r="A57" s="81" t="s">
        <v>710</v>
      </c>
      <c r="B57" s="34">
        <v>68.2</v>
      </c>
      <c r="C57" s="21">
        <v>250</v>
      </c>
      <c r="D57" s="21">
        <v>260</v>
      </c>
      <c r="E57" s="36">
        <v>7.5</v>
      </c>
      <c r="F57" s="36">
        <v>12.5</v>
      </c>
      <c r="G57" s="43">
        <v>24</v>
      </c>
      <c r="H57" s="41">
        <v>86.82</v>
      </c>
      <c r="I57" s="21">
        <v>225</v>
      </c>
      <c r="J57" s="21">
        <v>177</v>
      </c>
      <c r="K57" s="21" t="s">
        <v>667</v>
      </c>
      <c r="L57" s="35">
        <v>110</v>
      </c>
      <c r="M57" s="38">
        <v>158</v>
      </c>
      <c r="N57" s="39">
        <v>1.484</v>
      </c>
      <c r="O57" s="39">
        <v>21.77</v>
      </c>
      <c r="P57" s="36">
        <v>10450</v>
      </c>
      <c r="Q57" s="36">
        <v>836.4</v>
      </c>
      <c r="R57" s="36">
        <v>919.8</v>
      </c>
      <c r="S57" s="40">
        <v>10.97</v>
      </c>
      <c r="T57" s="41">
        <v>28.76</v>
      </c>
      <c r="U57" s="35">
        <v>3668</v>
      </c>
      <c r="V57" s="36">
        <v>282.10000000000002</v>
      </c>
      <c r="W57" s="36">
        <v>430.2</v>
      </c>
      <c r="X57" s="41">
        <v>6.5</v>
      </c>
      <c r="Y57" s="89">
        <v>60.62</v>
      </c>
      <c r="Z57" s="89">
        <v>52.37</v>
      </c>
      <c r="AA57" s="155">
        <v>516.4</v>
      </c>
      <c r="AB57" s="21">
        <v>2</v>
      </c>
      <c r="AC57" s="21">
        <v>3</v>
      </c>
      <c r="AD57" s="43">
        <v>3</v>
      </c>
      <c r="AE57" s="21">
        <v>2</v>
      </c>
      <c r="AF57" s="21">
        <v>3</v>
      </c>
      <c r="AG57" s="42">
        <v>3</v>
      </c>
      <c r="AH57" s="83" t="s">
        <v>661</v>
      </c>
    </row>
    <row r="58" spans="1:34" s="402" customFormat="1" ht="13.5" customHeight="1">
      <c r="A58" s="387" t="s">
        <v>711</v>
      </c>
      <c r="B58" s="405">
        <v>93</v>
      </c>
      <c r="C58" s="398">
        <v>260</v>
      </c>
      <c r="D58" s="398">
        <v>260</v>
      </c>
      <c r="E58" s="406">
        <v>10</v>
      </c>
      <c r="F58" s="406">
        <v>17.5</v>
      </c>
      <c r="G58" s="399">
        <v>24</v>
      </c>
      <c r="H58" s="407">
        <v>118.4</v>
      </c>
      <c r="I58" s="398">
        <v>225</v>
      </c>
      <c r="J58" s="398">
        <v>177</v>
      </c>
      <c r="K58" s="398" t="s">
        <v>667</v>
      </c>
      <c r="L58" s="408">
        <v>114</v>
      </c>
      <c r="M58" s="409">
        <v>158</v>
      </c>
      <c r="N58" s="410">
        <v>1.4990000000000001</v>
      </c>
      <c r="O58" s="410">
        <v>16.12</v>
      </c>
      <c r="P58" s="406">
        <v>14920</v>
      </c>
      <c r="Q58" s="406">
        <v>1148</v>
      </c>
      <c r="R58" s="406">
        <v>1283</v>
      </c>
      <c r="S58" s="411">
        <v>11.22</v>
      </c>
      <c r="T58" s="407">
        <v>37.590000000000003</v>
      </c>
      <c r="U58" s="408">
        <v>5135</v>
      </c>
      <c r="V58" s="406">
        <v>395</v>
      </c>
      <c r="W58" s="406">
        <v>602.20000000000005</v>
      </c>
      <c r="X58" s="407">
        <v>6.58</v>
      </c>
      <c r="Y58" s="396">
        <v>73.12</v>
      </c>
      <c r="Z58" s="396">
        <v>123.8</v>
      </c>
      <c r="AA58" s="403">
        <v>753.7</v>
      </c>
      <c r="AB58" s="398">
        <v>1</v>
      </c>
      <c r="AC58" s="398">
        <v>1</v>
      </c>
      <c r="AD58" s="399">
        <v>2</v>
      </c>
      <c r="AE58" s="398">
        <v>1</v>
      </c>
      <c r="AF58" s="398">
        <v>1</v>
      </c>
      <c r="AG58" s="400">
        <v>2</v>
      </c>
      <c r="AH58" s="389" t="s">
        <v>661</v>
      </c>
    </row>
    <row r="59" spans="1:34" s="157" customFormat="1" ht="13.5" customHeight="1">
      <c r="A59" s="81" t="s">
        <v>712</v>
      </c>
      <c r="B59" s="44">
        <v>172</v>
      </c>
      <c r="C59" s="21">
        <v>290</v>
      </c>
      <c r="D59" s="21">
        <v>268</v>
      </c>
      <c r="E59" s="36">
        <v>18</v>
      </c>
      <c r="F59" s="36">
        <v>32.5</v>
      </c>
      <c r="G59" s="43">
        <v>24</v>
      </c>
      <c r="H59" s="41">
        <v>219.6</v>
      </c>
      <c r="I59" s="21">
        <v>225</v>
      </c>
      <c r="J59" s="21">
        <v>177</v>
      </c>
      <c r="K59" s="21" t="s">
        <v>667</v>
      </c>
      <c r="L59" s="35">
        <v>122</v>
      </c>
      <c r="M59" s="38">
        <v>166</v>
      </c>
      <c r="N59" s="39">
        <v>1.575</v>
      </c>
      <c r="O59" s="39">
        <v>9.1329999999999991</v>
      </c>
      <c r="P59" s="36">
        <v>31310</v>
      </c>
      <c r="Q59" s="36">
        <v>2159</v>
      </c>
      <c r="R59" s="36">
        <v>2524</v>
      </c>
      <c r="S59" s="40">
        <v>11.94</v>
      </c>
      <c r="T59" s="41">
        <v>66.89</v>
      </c>
      <c r="U59" s="35">
        <v>10450</v>
      </c>
      <c r="V59" s="36">
        <v>779.7</v>
      </c>
      <c r="W59" s="36">
        <v>1192</v>
      </c>
      <c r="X59" s="41">
        <v>6.9</v>
      </c>
      <c r="Y59" s="89">
        <v>111.1</v>
      </c>
      <c r="Z59" s="89">
        <v>719</v>
      </c>
      <c r="AA59" s="155">
        <v>1728</v>
      </c>
      <c r="AB59" s="21">
        <v>1</v>
      </c>
      <c r="AC59" s="21">
        <v>1</v>
      </c>
      <c r="AD59" s="43">
        <v>1</v>
      </c>
      <c r="AE59" s="21">
        <v>1</v>
      </c>
      <c r="AF59" s="21">
        <v>1</v>
      </c>
      <c r="AG59" s="42">
        <v>1</v>
      </c>
      <c r="AH59" s="83" t="s">
        <v>661</v>
      </c>
    </row>
    <row r="60" spans="1:34" s="66" customFormat="1" ht="13.5" customHeight="1">
      <c r="A60" s="33"/>
      <c r="B60" s="34"/>
      <c r="C60" s="21"/>
      <c r="D60" s="21"/>
      <c r="E60" s="36"/>
      <c r="F60" s="36"/>
      <c r="G60" s="43"/>
      <c r="H60" s="41"/>
      <c r="I60" s="21"/>
      <c r="J60" s="21"/>
      <c r="K60" s="21"/>
      <c r="L60" s="35"/>
      <c r="M60" s="38"/>
      <c r="N60" s="39"/>
      <c r="O60" s="39"/>
      <c r="P60" s="36"/>
      <c r="Q60" s="36"/>
      <c r="R60" s="36"/>
      <c r="S60" s="40"/>
      <c r="T60" s="41"/>
      <c r="U60" s="35"/>
      <c r="V60" s="36"/>
      <c r="W60" s="36"/>
      <c r="X60" s="41"/>
      <c r="Y60" s="89"/>
      <c r="Z60" s="89"/>
      <c r="AA60" s="155"/>
      <c r="AB60" s="21"/>
      <c r="AC60" s="21"/>
      <c r="AD60" s="43"/>
      <c r="AE60" s="21"/>
      <c r="AF60" s="21"/>
      <c r="AG60" s="42"/>
      <c r="AH60" s="156"/>
    </row>
    <row r="61" spans="1:34" s="402" customFormat="1" ht="13.5" customHeight="1">
      <c r="A61" s="387" t="s">
        <v>713</v>
      </c>
      <c r="B61" s="388">
        <v>61.2</v>
      </c>
      <c r="C61" s="389">
        <v>264</v>
      </c>
      <c r="D61" s="389">
        <v>280</v>
      </c>
      <c r="E61" s="390">
        <v>7</v>
      </c>
      <c r="F61" s="390">
        <v>10</v>
      </c>
      <c r="G61" s="391">
        <v>24</v>
      </c>
      <c r="H61" s="392">
        <v>78.02</v>
      </c>
      <c r="I61" s="389">
        <v>244</v>
      </c>
      <c r="J61" s="389">
        <v>196</v>
      </c>
      <c r="K61" s="389" t="s">
        <v>667</v>
      </c>
      <c r="L61" s="393">
        <v>110</v>
      </c>
      <c r="M61" s="394">
        <v>178</v>
      </c>
      <c r="N61" s="395">
        <v>1.593</v>
      </c>
      <c r="O61" s="395">
        <v>26.01</v>
      </c>
      <c r="P61" s="390">
        <v>10560</v>
      </c>
      <c r="Q61" s="390">
        <v>799.8</v>
      </c>
      <c r="R61" s="390">
        <v>873.1</v>
      </c>
      <c r="S61" s="396">
        <v>11.63</v>
      </c>
      <c r="T61" s="392">
        <v>27.52</v>
      </c>
      <c r="U61" s="393">
        <v>3664</v>
      </c>
      <c r="V61" s="390">
        <v>261.7</v>
      </c>
      <c r="W61" s="390">
        <v>399.4</v>
      </c>
      <c r="X61" s="392">
        <v>6.85</v>
      </c>
      <c r="Y61" s="396">
        <v>55.12</v>
      </c>
      <c r="Z61" s="396">
        <v>36.22</v>
      </c>
      <c r="AA61" s="403">
        <v>590.1</v>
      </c>
      <c r="AB61" s="398">
        <v>3</v>
      </c>
      <c r="AC61" s="398">
        <v>4</v>
      </c>
      <c r="AD61" s="399" t="s">
        <v>616</v>
      </c>
      <c r="AE61" s="398">
        <v>3</v>
      </c>
      <c r="AF61" s="398">
        <v>4</v>
      </c>
      <c r="AG61" s="400" t="s">
        <v>616</v>
      </c>
      <c r="AH61" s="389"/>
    </row>
    <row r="62" spans="1:34" s="66" customFormat="1" ht="13.5" customHeight="1">
      <c r="A62" s="81" t="s">
        <v>714</v>
      </c>
      <c r="B62" s="139">
        <v>76.400000000000006</v>
      </c>
      <c r="C62" s="83">
        <v>270</v>
      </c>
      <c r="D62" s="83">
        <v>280</v>
      </c>
      <c r="E62" s="84">
        <v>8</v>
      </c>
      <c r="F62" s="84">
        <v>13</v>
      </c>
      <c r="G62" s="90">
        <v>24</v>
      </c>
      <c r="H62" s="91">
        <v>97.26</v>
      </c>
      <c r="I62" s="83">
        <v>244</v>
      </c>
      <c r="J62" s="83">
        <v>196</v>
      </c>
      <c r="K62" s="83" t="s">
        <v>667</v>
      </c>
      <c r="L62" s="86">
        <v>112</v>
      </c>
      <c r="M62" s="87">
        <v>178</v>
      </c>
      <c r="N62" s="88">
        <v>1.603</v>
      </c>
      <c r="O62" s="88">
        <v>20.99</v>
      </c>
      <c r="P62" s="84">
        <v>13670</v>
      </c>
      <c r="Q62" s="84">
        <v>1013</v>
      </c>
      <c r="R62" s="86">
        <v>1112</v>
      </c>
      <c r="S62" s="89">
        <v>11.86</v>
      </c>
      <c r="T62" s="91">
        <v>31.74</v>
      </c>
      <c r="U62" s="86">
        <v>4763</v>
      </c>
      <c r="V62" s="84">
        <v>340.2</v>
      </c>
      <c r="W62" s="84">
        <v>518.1</v>
      </c>
      <c r="X62" s="91">
        <v>7</v>
      </c>
      <c r="Y62" s="89">
        <v>62.12</v>
      </c>
      <c r="Z62" s="89">
        <v>62.1</v>
      </c>
      <c r="AA62" s="155">
        <v>785.4</v>
      </c>
      <c r="AB62" s="21">
        <v>2</v>
      </c>
      <c r="AC62" s="21">
        <v>3</v>
      </c>
      <c r="AD62" s="43">
        <v>4</v>
      </c>
      <c r="AE62" s="21">
        <v>2</v>
      </c>
      <c r="AF62" s="21">
        <v>3</v>
      </c>
      <c r="AG62" s="42">
        <v>4</v>
      </c>
      <c r="AH62" s="83" t="s">
        <v>661</v>
      </c>
    </row>
    <row r="63" spans="1:34" s="413" customFormat="1" ht="13.5" customHeight="1">
      <c r="A63" s="387" t="s">
        <v>715</v>
      </c>
      <c r="B63" s="394">
        <v>103</v>
      </c>
      <c r="C63" s="389">
        <v>280</v>
      </c>
      <c r="D63" s="389">
        <v>280</v>
      </c>
      <c r="E63" s="390">
        <v>10.5</v>
      </c>
      <c r="F63" s="390">
        <v>18</v>
      </c>
      <c r="G63" s="391">
        <v>24</v>
      </c>
      <c r="H63" s="392">
        <v>131.4</v>
      </c>
      <c r="I63" s="389">
        <v>244</v>
      </c>
      <c r="J63" s="389">
        <v>196</v>
      </c>
      <c r="K63" s="389" t="s">
        <v>667</v>
      </c>
      <c r="L63" s="393">
        <v>114</v>
      </c>
      <c r="M63" s="394">
        <v>178</v>
      </c>
      <c r="N63" s="395">
        <v>1.6180000000000001</v>
      </c>
      <c r="O63" s="395">
        <v>15.69</v>
      </c>
      <c r="P63" s="390">
        <v>19270</v>
      </c>
      <c r="Q63" s="390">
        <v>1376</v>
      </c>
      <c r="R63" s="393">
        <v>1534</v>
      </c>
      <c r="S63" s="396">
        <v>12.11</v>
      </c>
      <c r="T63" s="392">
        <v>41.09</v>
      </c>
      <c r="U63" s="393">
        <v>6595</v>
      </c>
      <c r="V63" s="390">
        <v>471</v>
      </c>
      <c r="W63" s="390">
        <v>717.6</v>
      </c>
      <c r="X63" s="392">
        <v>7.09</v>
      </c>
      <c r="Y63" s="396">
        <v>74.62</v>
      </c>
      <c r="Z63" s="396">
        <v>143.69999999999999</v>
      </c>
      <c r="AA63" s="403">
        <v>1130</v>
      </c>
      <c r="AB63" s="398">
        <v>1</v>
      </c>
      <c r="AC63" s="398">
        <v>1</v>
      </c>
      <c r="AD63" s="399">
        <v>2</v>
      </c>
      <c r="AE63" s="398">
        <v>1</v>
      </c>
      <c r="AF63" s="398">
        <v>1</v>
      </c>
      <c r="AG63" s="400">
        <v>2</v>
      </c>
      <c r="AH63" s="389" t="s">
        <v>661</v>
      </c>
    </row>
    <row r="64" spans="1:34" s="66" customFormat="1" ht="13.5" customHeight="1">
      <c r="A64" s="81" t="s">
        <v>716</v>
      </c>
      <c r="B64" s="139">
        <v>189</v>
      </c>
      <c r="C64" s="83">
        <v>310</v>
      </c>
      <c r="D64" s="83">
        <v>288</v>
      </c>
      <c r="E64" s="84">
        <v>18.5</v>
      </c>
      <c r="F64" s="84">
        <v>33</v>
      </c>
      <c r="G64" s="90">
        <v>24</v>
      </c>
      <c r="H64" s="91">
        <v>240.2</v>
      </c>
      <c r="I64" s="83">
        <v>244</v>
      </c>
      <c r="J64" s="83">
        <v>196</v>
      </c>
      <c r="K64" s="83" t="s">
        <v>667</v>
      </c>
      <c r="L64" s="86">
        <v>122</v>
      </c>
      <c r="M64" s="87">
        <v>186</v>
      </c>
      <c r="N64" s="88">
        <v>1.694</v>
      </c>
      <c r="O64" s="88">
        <v>8.984</v>
      </c>
      <c r="P64" s="84">
        <v>39550</v>
      </c>
      <c r="Q64" s="84">
        <v>2551</v>
      </c>
      <c r="R64" s="84">
        <v>2966</v>
      </c>
      <c r="S64" s="89">
        <v>12.83</v>
      </c>
      <c r="T64" s="91">
        <v>72.03</v>
      </c>
      <c r="U64" s="86">
        <v>13160</v>
      </c>
      <c r="V64" s="84">
        <v>914.1</v>
      </c>
      <c r="W64" s="84">
        <v>1397</v>
      </c>
      <c r="X64" s="91">
        <v>7.4</v>
      </c>
      <c r="Y64" s="89">
        <v>112.6</v>
      </c>
      <c r="Z64" s="89">
        <v>807.3</v>
      </c>
      <c r="AA64" s="155">
        <v>2520</v>
      </c>
      <c r="AB64" s="21">
        <v>1</v>
      </c>
      <c r="AC64" s="21">
        <v>1</v>
      </c>
      <c r="AD64" s="43">
        <v>1</v>
      </c>
      <c r="AE64" s="21">
        <v>1</v>
      </c>
      <c r="AF64" s="21">
        <v>1</v>
      </c>
      <c r="AG64" s="42">
        <v>1</v>
      </c>
      <c r="AH64" s="83" t="s">
        <v>661</v>
      </c>
    </row>
    <row r="65" spans="1:34" s="66" customFormat="1" ht="13.5" customHeight="1">
      <c r="A65" s="81"/>
      <c r="B65" s="139"/>
      <c r="C65" s="83"/>
      <c r="D65" s="83"/>
      <c r="E65" s="84"/>
      <c r="F65" s="84"/>
      <c r="G65" s="90"/>
      <c r="H65" s="91"/>
      <c r="I65" s="83"/>
      <c r="J65" s="83"/>
      <c r="K65" s="83"/>
      <c r="L65" s="86"/>
      <c r="M65" s="87"/>
      <c r="N65" s="88"/>
      <c r="O65" s="88"/>
      <c r="P65" s="84"/>
      <c r="Q65" s="84"/>
      <c r="R65" s="84"/>
      <c r="S65" s="89"/>
      <c r="T65" s="91"/>
      <c r="U65" s="86"/>
      <c r="V65" s="84"/>
      <c r="W65" s="84"/>
      <c r="X65" s="91"/>
      <c r="Y65" s="89"/>
      <c r="Z65" s="89"/>
      <c r="AA65" s="155"/>
      <c r="AB65" s="21"/>
      <c r="AC65" s="21"/>
      <c r="AD65" s="43"/>
      <c r="AE65" s="21"/>
      <c r="AF65" s="21"/>
      <c r="AG65" s="42"/>
      <c r="AH65" s="83"/>
    </row>
    <row r="66" spans="1:34" s="402" customFormat="1" ht="13.5" customHeight="1">
      <c r="A66" s="387" t="s">
        <v>717</v>
      </c>
      <c r="B66" s="388">
        <v>69.8</v>
      </c>
      <c r="C66" s="389">
        <v>283</v>
      </c>
      <c r="D66" s="389">
        <v>300</v>
      </c>
      <c r="E66" s="390">
        <v>7.5</v>
      </c>
      <c r="F66" s="390">
        <v>10.5</v>
      </c>
      <c r="G66" s="391">
        <v>27</v>
      </c>
      <c r="H66" s="392">
        <v>88.91</v>
      </c>
      <c r="I66" s="389">
        <v>262</v>
      </c>
      <c r="J66" s="389">
        <v>208</v>
      </c>
      <c r="K66" s="389" t="s">
        <v>667</v>
      </c>
      <c r="L66" s="393">
        <v>116</v>
      </c>
      <c r="M66" s="394">
        <v>198</v>
      </c>
      <c r="N66" s="395">
        <v>1.7050000000000001</v>
      </c>
      <c r="O66" s="395">
        <v>24.42</v>
      </c>
      <c r="P66" s="390">
        <v>13800</v>
      </c>
      <c r="Q66" s="393">
        <v>975.6</v>
      </c>
      <c r="R66" s="393">
        <v>1065</v>
      </c>
      <c r="S66" s="396">
        <v>12.46</v>
      </c>
      <c r="T66" s="392">
        <v>32.369999999999997</v>
      </c>
      <c r="U66" s="393">
        <v>4734</v>
      </c>
      <c r="V66" s="390">
        <v>315.60000000000002</v>
      </c>
      <c r="W66" s="390">
        <v>482.3</v>
      </c>
      <c r="X66" s="392">
        <v>7.3</v>
      </c>
      <c r="Y66" s="396">
        <v>60.13</v>
      </c>
      <c r="Z66" s="396">
        <v>49.35</v>
      </c>
      <c r="AA66" s="403">
        <v>877.2</v>
      </c>
      <c r="AB66" s="398">
        <v>3</v>
      </c>
      <c r="AC66" s="398">
        <v>4</v>
      </c>
      <c r="AD66" s="399" t="s">
        <v>616</v>
      </c>
      <c r="AE66" s="398">
        <v>3</v>
      </c>
      <c r="AF66" s="398">
        <v>4</v>
      </c>
      <c r="AG66" s="400" t="s">
        <v>616</v>
      </c>
      <c r="AH66" s="389"/>
    </row>
    <row r="67" spans="1:34" s="66" customFormat="1" ht="13.5" customHeight="1">
      <c r="A67" s="81" t="s">
        <v>718</v>
      </c>
      <c r="B67" s="140">
        <v>88.3</v>
      </c>
      <c r="C67" s="83">
        <v>290</v>
      </c>
      <c r="D67" s="83">
        <v>300</v>
      </c>
      <c r="E67" s="84">
        <v>8.5</v>
      </c>
      <c r="F67" s="84">
        <v>14</v>
      </c>
      <c r="G67" s="90">
        <v>27</v>
      </c>
      <c r="H67" s="91">
        <v>112.5</v>
      </c>
      <c r="I67" s="83">
        <v>262</v>
      </c>
      <c r="J67" s="83">
        <v>208</v>
      </c>
      <c r="K67" s="83" t="s">
        <v>667</v>
      </c>
      <c r="L67" s="86">
        <v>118</v>
      </c>
      <c r="M67" s="87">
        <v>198</v>
      </c>
      <c r="N67" s="88">
        <v>1.7170000000000001</v>
      </c>
      <c r="O67" s="88">
        <v>19.43</v>
      </c>
      <c r="P67" s="84">
        <v>18260</v>
      </c>
      <c r="Q67" s="86">
        <v>1260</v>
      </c>
      <c r="R67" s="86">
        <v>1383</v>
      </c>
      <c r="S67" s="89">
        <v>12.74</v>
      </c>
      <c r="T67" s="91">
        <v>37.28</v>
      </c>
      <c r="U67" s="86">
        <v>6310</v>
      </c>
      <c r="V67" s="84">
        <v>420.6</v>
      </c>
      <c r="W67" s="84">
        <v>641.20000000000005</v>
      </c>
      <c r="X67" s="91">
        <v>7.49</v>
      </c>
      <c r="Y67" s="89">
        <v>68.13</v>
      </c>
      <c r="Z67" s="89">
        <v>85.17</v>
      </c>
      <c r="AA67" s="158">
        <v>1200</v>
      </c>
      <c r="AB67" s="21">
        <v>2</v>
      </c>
      <c r="AC67" s="21">
        <v>3</v>
      </c>
      <c r="AD67" s="43">
        <v>3</v>
      </c>
      <c r="AE67" s="21">
        <v>2</v>
      </c>
      <c r="AF67" s="21">
        <v>3</v>
      </c>
      <c r="AG67" s="42">
        <v>3</v>
      </c>
      <c r="AH67" s="83" t="s">
        <v>661</v>
      </c>
    </row>
    <row r="68" spans="1:34" s="402" customFormat="1" ht="13.5" customHeight="1">
      <c r="A68" s="387" t="s">
        <v>719</v>
      </c>
      <c r="B68" s="388">
        <v>117</v>
      </c>
      <c r="C68" s="389">
        <v>300</v>
      </c>
      <c r="D68" s="389">
        <v>300</v>
      </c>
      <c r="E68" s="390">
        <v>11</v>
      </c>
      <c r="F68" s="390">
        <v>19</v>
      </c>
      <c r="G68" s="391">
        <v>27</v>
      </c>
      <c r="H68" s="392">
        <v>149.1</v>
      </c>
      <c r="I68" s="389">
        <v>262</v>
      </c>
      <c r="J68" s="389">
        <v>208</v>
      </c>
      <c r="K68" s="389" t="s">
        <v>667</v>
      </c>
      <c r="L68" s="393">
        <v>120</v>
      </c>
      <c r="M68" s="394">
        <v>198</v>
      </c>
      <c r="N68" s="395">
        <v>1.732</v>
      </c>
      <c r="O68" s="395">
        <v>14.8</v>
      </c>
      <c r="P68" s="390">
        <v>25170</v>
      </c>
      <c r="Q68" s="390">
        <v>1678</v>
      </c>
      <c r="R68" s="390">
        <v>1869</v>
      </c>
      <c r="S68" s="396">
        <v>12.99</v>
      </c>
      <c r="T68" s="392">
        <v>47.43</v>
      </c>
      <c r="U68" s="393">
        <v>8563</v>
      </c>
      <c r="V68" s="390">
        <v>570.9</v>
      </c>
      <c r="W68" s="390">
        <v>870.1</v>
      </c>
      <c r="X68" s="392">
        <v>7.58</v>
      </c>
      <c r="Y68" s="396">
        <v>80.63</v>
      </c>
      <c r="Z68" s="396">
        <v>185</v>
      </c>
      <c r="AA68" s="414">
        <v>1688</v>
      </c>
      <c r="AB68" s="398">
        <v>1</v>
      </c>
      <c r="AC68" s="398">
        <v>1</v>
      </c>
      <c r="AD68" s="399">
        <v>3</v>
      </c>
      <c r="AE68" s="398">
        <v>1</v>
      </c>
      <c r="AF68" s="398">
        <v>1</v>
      </c>
      <c r="AG68" s="400">
        <v>3</v>
      </c>
      <c r="AH68" s="389" t="s">
        <v>661</v>
      </c>
    </row>
    <row r="69" spans="1:34" s="66" customFormat="1" ht="13.5" customHeight="1">
      <c r="A69" s="81" t="s">
        <v>720</v>
      </c>
      <c r="B69" s="139">
        <v>238</v>
      </c>
      <c r="C69" s="83">
        <v>340</v>
      </c>
      <c r="D69" s="83">
        <v>310</v>
      </c>
      <c r="E69" s="84">
        <v>21</v>
      </c>
      <c r="F69" s="84">
        <v>39</v>
      </c>
      <c r="G69" s="90">
        <v>27</v>
      </c>
      <c r="H69" s="91">
        <v>303.10000000000002</v>
      </c>
      <c r="I69" s="83">
        <v>262</v>
      </c>
      <c r="J69" s="83">
        <v>208</v>
      </c>
      <c r="K69" s="83" t="s">
        <v>667</v>
      </c>
      <c r="L69" s="86">
        <v>132</v>
      </c>
      <c r="M69" s="87">
        <v>208</v>
      </c>
      <c r="N69" s="88">
        <v>1.8320000000000001</v>
      </c>
      <c r="O69" s="88">
        <v>7.6989999999999998</v>
      </c>
      <c r="P69" s="84">
        <v>59200</v>
      </c>
      <c r="Q69" s="86">
        <v>3482</v>
      </c>
      <c r="R69" s="86">
        <v>4078</v>
      </c>
      <c r="S69" s="89">
        <v>13.98</v>
      </c>
      <c r="T69" s="91">
        <v>90.53</v>
      </c>
      <c r="U69" s="86">
        <v>19400</v>
      </c>
      <c r="V69" s="84">
        <v>1252</v>
      </c>
      <c r="W69" s="84">
        <v>1913</v>
      </c>
      <c r="X69" s="91">
        <v>8</v>
      </c>
      <c r="Y69" s="89">
        <v>130.6</v>
      </c>
      <c r="Z69" s="89">
        <v>1408</v>
      </c>
      <c r="AA69" s="158">
        <v>4386</v>
      </c>
      <c r="AB69" s="21">
        <v>1</v>
      </c>
      <c r="AC69" s="21">
        <v>1</v>
      </c>
      <c r="AD69" s="43">
        <v>1</v>
      </c>
      <c r="AE69" s="21">
        <v>1</v>
      </c>
      <c r="AF69" s="21">
        <v>1</v>
      </c>
      <c r="AG69" s="42">
        <v>1</v>
      </c>
      <c r="AH69" s="83" t="s">
        <v>661</v>
      </c>
    </row>
    <row r="70" spans="1:34" s="66" customFormat="1" ht="13.5" customHeight="1">
      <c r="A70" s="81"/>
      <c r="B70" s="140"/>
      <c r="C70" s="83"/>
      <c r="D70" s="83"/>
      <c r="E70" s="84"/>
      <c r="F70" s="84"/>
      <c r="G70" s="90"/>
      <c r="H70" s="91"/>
      <c r="I70" s="83"/>
      <c r="J70" s="83"/>
      <c r="K70" s="83"/>
      <c r="L70" s="86"/>
      <c r="M70" s="87"/>
      <c r="N70" s="88"/>
      <c r="O70" s="88"/>
      <c r="P70" s="84"/>
      <c r="Q70" s="86"/>
      <c r="R70" s="86"/>
      <c r="S70" s="89"/>
      <c r="T70" s="91"/>
      <c r="U70" s="86"/>
      <c r="V70" s="84"/>
      <c r="W70" s="84"/>
      <c r="X70" s="91"/>
      <c r="Y70" s="89"/>
      <c r="Z70" s="89"/>
      <c r="AA70" s="158"/>
      <c r="AB70" s="21"/>
      <c r="AC70" s="21"/>
      <c r="AD70" s="43"/>
      <c r="AE70" s="21"/>
      <c r="AF70" s="21"/>
      <c r="AG70" s="42"/>
      <c r="AH70" s="83"/>
    </row>
    <row r="71" spans="1:34" s="402" customFormat="1" ht="13.5" customHeight="1">
      <c r="A71" s="387" t="s">
        <v>721</v>
      </c>
      <c r="B71" s="394">
        <v>74.2</v>
      </c>
      <c r="C71" s="389">
        <v>301</v>
      </c>
      <c r="D71" s="389">
        <v>300</v>
      </c>
      <c r="E71" s="390">
        <v>8</v>
      </c>
      <c r="F71" s="390">
        <v>11</v>
      </c>
      <c r="G71" s="391">
        <v>27</v>
      </c>
      <c r="H71" s="392">
        <v>94.58</v>
      </c>
      <c r="I71" s="389">
        <v>279</v>
      </c>
      <c r="J71" s="389">
        <v>225</v>
      </c>
      <c r="K71" s="389" t="s">
        <v>667</v>
      </c>
      <c r="L71" s="393">
        <v>118</v>
      </c>
      <c r="M71" s="394">
        <v>198</v>
      </c>
      <c r="N71" s="395">
        <v>1.74</v>
      </c>
      <c r="O71" s="395">
        <v>23.43</v>
      </c>
      <c r="P71" s="390">
        <v>16450</v>
      </c>
      <c r="Q71" s="393">
        <v>1093</v>
      </c>
      <c r="R71" s="393">
        <v>1196</v>
      </c>
      <c r="S71" s="396">
        <v>13.19</v>
      </c>
      <c r="T71" s="392">
        <v>35.4</v>
      </c>
      <c r="U71" s="393">
        <v>4959</v>
      </c>
      <c r="V71" s="390">
        <v>330.6</v>
      </c>
      <c r="W71" s="390">
        <v>505.7</v>
      </c>
      <c r="X71" s="392">
        <v>7.24</v>
      </c>
      <c r="Y71" s="396">
        <v>61.63</v>
      </c>
      <c r="Z71" s="396">
        <v>55.87</v>
      </c>
      <c r="AA71" s="414">
        <v>1041</v>
      </c>
      <c r="AB71" s="398">
        <v>3</v>
      </c>
      <c r="AC71" s="398">
        <v>4</v>
      </c>
      <c r="AD71" s="399" t="s">
        <v>616</v>
      </c>
      <c r="AE71" s="398">
        <v>3</v>
      </c>
      <c r="AF71" s="398">
        <v>4</v>
      </c>
      <c r="AG71" s="400" t="s">
        <v>616</v>
      </c>
      <c r="AH71" s="389"/>
    </row>
    <row r="72" spans="1:34" s="66" customFormat="1" ht="13.5" customHeight="1">
      <c r="A72" s="81" t="s">
        <v>722</v>
      </c>
      <c r="B72" s="139">
        <v>97.6</v>
      </c>
      <c r="C72" s="83">
        <v>310</v>
      </c>
      <c r="D72" s="83">
        <v>300</v>
      </c>
      <c r="E72" s="84">
        <v>9</v>
      </c>
      <c r="F72" s="84">
        <v>15.5</v>
      </c>
      <c r="G72" s="90">
        <v>27</v>
      </c>
      <c r="H72" s="91">
        <v>124.4</v>
      </c>
      <c r="I72" s="83">
        <v>279</v>
      </c>
      <c r="J72" s="83">
        <v>225</v>
      </c>
      <c r="K72" s="83" t="s">
        <v>667</v>
      </c>
      <c r="L72" s="86">
        <v>118</v>
      </c>
      <c r="M72" s="87">
        <v>198</v>
      </c>
      <c r="N72" s="88">
        <v>1.756</v>
      </c>
      <c r="O72" s="88">
        <v>17.98</v>
      </c>
      <c r="P72" s="84">
        <v>22930</v>
      </c>
      <c r="Q72" s="84">
        <v>1479</v>
      </c>
      <c r="R72" s="86">
        <v>1628</v>
      </c>
      <c r="S72" s="89">
        <v>13.58</v>
      </c>
      <c r="T72" s="91">
        <v>41.13</v>
      </c>
      <c r="U72" s="86">
        <v>6985</v>
      </c>
      <c r="V72" s="84">
        <v>465.7</v>
      </c>
      <c r="W72" s="84">
        <v>709.7</v>
      </c>
      <c r="X72" s="91">
        <v>7.49</v>
      </c>
      <c r="Y72" s="89">
        <v>71.63</v>
      </c>
      <c r="Z72" s="89">
        <v>108</v>
      </c>
      <c r="AA72" s="158">
        <v>1512</v>
      </c>
      <c r="AB72" s="21">
        <v>1</v>
      </c>
      <c r="AC72" s="21">
        <v>3</v>
      </c>
      <c r="AD72" s="43">
        <v>3</v>
      </c>
      <c r="AE72" s="21">
        <v>1</v>
      </c>
      <c r="AF72" s="21">
        <v>3</v>
      </c>
      <c r="AG72" s="42">
        <v>3</v>
      </c>
      <c r="AH72" s="83" t="s">
        <v>661</v>
      </c>
    </row>
    <row r="73" spans="1:34" s="402" customFormat="1" ht="13.5" customHeight="1">
      <c r="A73" s="387" t="s">
        <v>723</v>
      </c>
      <c r="B73" s="388">
        <v>127</v>
      </c>
      <c r="C73" s="389">
        <v>320</v>
      </c>
      <c r="D73" s="389">
        <v>300</v>
      </c>
      <c r="E73" s="390">
        <v>11.5</v>
      </c>
      <c r="F73" s="390">
        <v>20.5</v>
      </c>
      <c r="G73" s="391">
        <v>27</v>
      </c>
      <c r="H73" s="392">
        <v>161.30000000000001</v>
      </c>
      <c r="I73" s="389">
        <v>279</v>
      </c>
      <c r="J73" s="389">
        <v>225</v>
      </c>
      <c r="K73" s="389" t="s">
        <v>667</v>
      </c>
      <c r="L73" s="393">
        <v>122</v>
      </c>
      <c r="M73" s="394">
        <v>198</v>
      </c>
      <c r="N73" s="395">
        <v>1.7709999999999999</v>
      </c>
      <c r="O73" s="395">
        <v>13.98</v>
      </c>
      <c r="P73" s="390">
        <v>30820</v>
      </c>
      <c r="Q73" s="393">
        <v>1926</v>
      </c>
      <c r="R73" s="393">
        <v>2149</v>
      </c>
      <c r="S73" s="396">
        <v>13.82</v>
      </c>
      <c r="T73" s="392">
        <v>51.77</v>
      </c>
      <c r="U73" s="393">
        <v>9239</v>
      </c>
      <c r="V73" s="390">
        <v>615.9</v>
      </c>
      <c r="W73" s="390">
        <v>939.1</v>
      </c>
      <c r="X73" s="392">
        <v>7.57</v>
      </c>
      <c r="Y73" s="396">
        <v>84.13</v>
      </c>
      <c r="Z73" s="396">
        <v>225.1</v>
      </c>
      <c r="AA73" s="414">
        <v>2069</v>
      </c>
      <c r="AB73" s="398">
        <v>1</v>
      </c>
      <c r="AC73" s="398">
        <v>1</v>
      </c>
      <c r="AD73" s="399">
        <v>2</v>
      </c>
      <c r="AE73" s="398">
        <v>1</v>
      </c>
      <c r="AF73" s="398">
        <v>1</v>
      </c>
      <c r="AG73" s="400">
        <v>2</v>
      </c>
      <c r="AH73" s="389" t="s">
        <v>661</v>
      </c>
    </row>
    <row r="74" spans="1:34" s="66" customFormat="1" ht="13.5" customHeight="1">
      <c r="A74" s="81" t="s">
        <v>724</v>
      </c>
      <c r="B74" s="140">
        <v>245</v>
      </c>
      <c r="C74" s="83">
        <v>359</v>
      </c>
      <c r="D74" s="83">
        <v>309</v>
      </c>
      <c r="E74" s="84">
        <v>21</v>
      </c>
      <c r="F74" s="84">
        <v>40</v>
      </c>
      <c r="G74" s="90">
        <v>27</v>
      </c>
      <c r="H74" s="91">
        <v>312</v>
      </c>
      <c r="I74" s="83">
        <v>279</v>
      </c>
      <c r="J74" s="83">
        <v>225</v>
      </c>
      <c r="K74" s="83" t="s">
        <v>667</v>
      </c>
      <c r="L74" s="86">
        <v>132</v>
      </c>
      <c r="M74" s="87">
        <v>204</v>
      </c>
      <c r="N74" s="88">
        <v>1.8660000000000001</v>
      </c>
      <c r="O74" s="88">
        <v>7.6159999999999997</v>
      </c>
      <c r="P74" s="84">
        <v>68130</v>
      </c>
      <c r="Q74" s="86">
        <v>3796</v>
      </c>
      <c r="R74" s="86">
        <v>4435</v>
      </c>
      <c r="S74" s="89">
        <v>14.78</v>
      </c>
      <c r="T74" s="91">
        <v>94.85</v>
      </c>
      <c r="U74" s="86">
        <v>19710</v>
      </c>
      <c r="V74" s="84">
        <v>1276</v>
      </c>
      <c r="W74" s="84">
        <v>1951</v>
      </c>
      <c r="X74" s="91">
        <v>7.95</v>
      </c>
      <c r="Y74" s="89">
        <v>132.6</v>
      </c>
      <c r="Z74" s="89">
        <v>1501</v>
      </c>
      <c r="AA74" s="158">
        <v>5004</v>
      </c>
      <c r="AB74" s="21">
        <v>1</v>
      </c>
      <c r="AC74" s="21">
        <v>1</v>
      </c>
      <c r="AD74" s="43">
        <v>1</v>
      </c>
      <c r="AE74" s="21">
        <v>1</v>
      </c>
      <c r="AF74" s="21">
        <v>1</v>
      </c>
      <c r="AG74" s="42">
        <v>1</v>
      </c>
      <c r="AH74" s="83" t="s">
        <v>661</v>
      </c>
    </row>
    <row r="75" spans="1:34" s="66" customFormat="1" ht="13.5" customHeight="1">
      <c r="A75" s="81"/>
      <c r="B75" s="140"/>
      <c r="C75" s="83"/>
      <c r="D75" s="83"/>
      <c r="E75" s="84"/>
      <c r="F75" s="84"/>
      <c r="G75" s="90"/>
      <c r="H75" s="91"/>
      <c r="I75" s="83"/>
      <c r="J75" s="83"/>
      <c r="K75" s="83"/>
      <c r="L75" s="86"/>
      <c r="M75" s="87"/>
      <c r="N75" s="88"/>
      <c r="O75" s="88"/>
      <c r="P75" s="84"/>
      <c r="Q75" s="86"/>
      <c r="R75" s="86"/>
      <c r="S75" s="89"/>
      <c r="T75" s="91"/>
      <c r="U75" s="86"/>
      <c r="V75" s="84"/>
      <c r="W75" s="84"/>
      <c r="X75" s="91"/>
      <c r="Y75" s="89"/>
      <c r="Z75" s="89"/>
      <c r="AA75" s="158"/>
      <c r="AB75" s="21"/>
      <c r="AC75" s="21"/>
      <c r="AD75" s="43"/>
      <c r="AE75" s="21"/>
      <c r="AF75" s="21"/>
      <c r="AG75" s="42"/>
      <c r="AH75" s="83"/>
    </row>
    <row r="76" spans="1:34" s="402" customFormat="1" ht="13.5" customHeight="1">
      <c r="A76" s="387" t="s">
        <v>725</v>
      </c>
      <c r="B76" s="388">
        <v>78.900000000000006</v>
      </c>
      <c r="C76" s="389">
        <v>320</v>
      </c>
      <c r="D76" s="389">
        <v>300</v>
      </c>
      <c r="E76" s="390">
        <v>8.5</v>
      </c>
      <c r="F76" s="390">
        <v>11.5</v>
      </c>
      <c r="G76" s="391">
        <v>27</v>
      </c>
      <c r="H76" s="392">
        <v>100.5</v>
      </c>
      <c r="I76" s="389">
        <v>297</v>
      </c>
      <c r="J76" s="389">
        <v>243</v>
      </c>
      <c r="K76" s="389" t="s">
        <v>667</v>
      </c>
      <c r="L76" s="393">
        <v>118</v>
      </c>
      <c r="M76" s="394">
        <v>198</v>
      </c>
      <c r="N76" s="395">
        <v>1.7769999999999999</v>
      </c>
      <c r="O76" s="395">
        <v>22.52</v>
      </c>
      <c r="P76" s="390">
        <v>19550</v>
      </c>
      <c r="Q76" s="393">
        <v>1222</v>
      </c>
      <c r="R76" s="393">
        <v>1341</v>
      </c>
      <c r="S76" s="396">
        <v>13.95</v>
      </c>
      <c r="T76" s="392">
        <v>38.69</v>
      </c>
      <c r="U76" s="393">
        <v>5185</v>
      </c>
      <c r="V76" s="390">
        <v>345.6</v>
      </c>
      <c r="W76" s="390">
        <v>529.29999999999995</v>
      </c>
      <c r="X76" s="392">
        <v>7.18</v>
      </c>
      <c r="Y76" s="396">
        <v>63.13</v>
      </c>
      <c r="Z76" s="396">
        <v>63.07</v>
      </c>
      <c r="AA76" s="414">
        <v>1231</v>
      </c>
      <c r="AB76" s="398">
        <v>3</v>
      </c>
      <c r="AC76" s="398">
        <v>4</v>
      </c>
      <c r="AD76" s="399" t="s">
        <v>616</v>
      </c>
      <c r="AE76" s="398">
        <v>3</v>
      </c>
      <c r="AF76" s="398">
        <v>4</v>
      </c>
      <c r="AG76" s="400" t="s">
        <v>616</v>
      </c>
      <c r="AH76" s="389"/>
    </row>
    <row r="77" spans="1:34" s="66" customFormat="1" ht="13.5" customHeight="1">
      <c r="A77" s="81" t="s">
        <v>726</v>
      </c>
      <c r="B77" s="139">
        <v>105</v>
      </c>
      <c r="C77" s="83">
        <v>330</v>
      </c>
      <c r="D77" s="83">
        <v>300</v>
      </c>
      <c r="E77" s="84">
        <v>9.5</v>
      </c>
      <c r="F77" s="84">
        <v>16.5</v>
      </c>
      <c r="G77" s="90">
        <v>27</v>
      </c>
      <c r="H77" s="91">
        <v>133.5</v>
      </c>
      <c r="I77" s="83">
        <v>297</v>
      </c>
      <c r="J77" s="83">
        <v>243</v>
      </c>
      <c r="K77" s="83" t="s">
        <v>667</v>
      </c>
      <c r="L77" s="86">
        <v>118</v>
      </c>
      <c r="M77" s="87">
        <v>198</v>
      </c>
      <c r="N77" s="88">
        <v>1.7949999999999999</v>
      </c>
      <c r="O77" s="88">
        <v>17.13</v>
      </c>
      <c r="P77" s="84">
        <v>27690</v>
      </c>
      <c r="Q77" s="86">
        <v>1678</v>
      </c>
      <c r="R77" s="86">
        <v>1850</v>
      </c>
      <c r="S77" s="89">
        <v>14.4</v>
      </c>
      <c r="T77" s="91">
        <v>44.95</v>
      </c>
      <c r="U77" s="86">
        <v>7436</v>
      </c>
      <c r="V77" s="84">
        <v>495.7</v>
      </c>
      <c r="W77" s="84">
        <v>755.9</v>
      </c>
      <c r="X77" s="91">
        <v>7.46</v>
      </c>
      <c r="Y77" s="89">
        <v>74.13</v>
      </c>
      <c r="Z77" s="89">
        <v>127.2</v>
      </c>
      <c r="AA77" s="158">
        <v>1824</v>
      </c>
      <c r="AB77" s="21">
        <v>1</v>
      </c>
      <c r="AC77" s="21">
        <v>3</v>
      </c>
      <c r="AD77" s="43">
        <v>3</v>
      </c>
      <c r="AE77" s="21">
        <v>1</v>
      </c>
      <c r="AF77" s="21">
        <v>3</v>
      </c>
      <c r="AG77" s="42">
        <v>3</v>
      </c>
      <c r="AH77" s="83" t="s">
        <v>661</v>
      </c>
    </row>
    <row r="78" spans="1:34" s="402" customFormat="1" ht="13.5" customHeight="1">
      <c r="A78" s="387" t="s">
        <v>727</v>
      </c>
      <c r="B78" s="394">
        <v>134</v>
      </c>
      <c r="C78" s="389">
        <v>340</v>
      </c>
      <c r="D78" s="389">
        <v>300</v>
      </c>
      <c r="E78" s="390">
        <v>12</v>
      </c>
      <c r="F78" s="390">
        <v>21.5</v>
      </c>
      <c r="G78" s="391">
        <v>27</v>
      </c>
      <c r="H78" s="392">
        <v>170.9</v>
      </c>
      <c r="I78" s="389">
        <v>297</v>
      </c>
      <c r="J78" s="389">
        <v>243</v>
      </c>
      <c r="K78" s="389" t="s">
        <v>667</v>
      </c>
      <c r="L78" s="393">
        <v>122</v>
      </c>
      <c r="M78" s="394">
        <v>198</v>
      </c>
      <c r="N78" s="395">
        <v>1.81</v>
      </c>
      <c r="O78" s="395">
        <v>13.49</v>
      </c>
      <c r="P78" s="390">
        <v>36660</v>
      </c>
      <c r="Q78" s="393">
        <v>2156</v>
      </c>
      <c r="R78" s="393">
        <v>2408</v>
      </c>
      <c r="S78" s="396">
        <v>14.65</v>
      </c>
      <c r="T78" s="392">
        <v>56.09</v>
      </c>
      <c r="U78" s="393">
        <v>9690</v>
      </c>
      <c r="V78" s="390">
        <v>646</v>
      </c>
      <c r="W78" s="390">
        <v>985.7</v>
      </c>
      <c r="X78" s="392">
        <v>7.53</v>
      </c>
      <c r="Y78" s="396">
        <v>86.63</v>
      </c>
      <c r="Z78" s="396">
        <v>257.2</v>
      </c>
      <c r="AA78" s="414">
        <v>2454</v>
      </c>
      <c r="AB78" s="398">
        <v>1</v>
      </c>
      <c r="AC78" s="398">
        <v>1</v>
      </c>
      <c r="AD78" s="399">
        <v>1</v>
      </c>
      <c r="AE78" s="398">
        <v>1</v>
      </c>
      <c r="AF78" s="398">
        <v>1</v>
      </c>
      <c r="AG78" s="400">
        <v>1</v>
      </c>
      <c r="AH78" s="389" t="s">
        <v>661</v>
      </c>
    </row>
    <row r="79" spans="1:34" s="66" customFormat="1" ht="13.5" customHeight="1">
      <c r="A79" s="81" t="s">
        <v>728</v>
      </c>
      <c r="B79" s="140">
        <v>248</v>
      </c>
      <c r="C79" s="83">
        <v>377</v>
      </c>
      <c r="D79" s="83">
        <v>309</v>
      </c>
      <c r="E79" s="84">
        <v>21</v>
      </c>
      <c r="F79" s="84">
        <v>40</v>
      </c>
      <c r="G79" s="90">
        <v>27</v>
      </c>
      <c r="H79" s="91">
        <v>315.8</v>
      </c>
      <c r="I79" s="83">
        <v>297</v>
      </c>
      <c r="J79" s="83">
        <v>243</v>
      </c>
      <c r="K79" s="83" t="s">
        <v>667</v>
      </c>
      <c r="L79" s="86">
        <v>132</v>
      </c>
      <c r="M79" s="87">
        <v>204</v>
      </c>
      <c r="N79" s="88">
        <v>1.9019999999999999</v>
      </c>
      <c r="O79" s="88">
        <v>7.67</v>
      </c>
      <c r="P79" s="84">
        <v>76370</v>
      </c>
      <c r="Q79" s="86">
        <v>4052</v>
      </c>
      <c r="R79" s="86">
        <v>4718</v>
      </c>
      <c r="S79" s="89">
        <v>15.55</v>
      </c>
      <c r="T79" s="91">
        <v>98.63</v>
      </c>
      <c r="U79" s="86">
        <v>19710</v>
      </c>
      <c r="V79" s="84">
        <v>1276</v>
      </c>
      <c r="W79" s="84">
        <v>1953</v>
      </c>
      <c r="X79" s="91">
        <v>7.9</v>
      </c>
      <c r="Y79" s="89">
        <v>132.6</v>
      </c>
      <c r="Z79" s="89">
        <v>1506</v>
      </c>
      <c r="AA79" s="158">
        <v>5584</v>
      </c>
      <c r="AB79" s="21">
        <v>1</v>
      </c>
      <c r="AC79" s="21">
        <v>1</v>
      </c>
      <c r="AD79" s="43">
        <v>1</v>
      </c>
      <c r="AE79" s="21">
        <v>1</v>
      </c>
      <c r="AF79" s="21">
        <v>1</v>
      </c>
      <c r="AG79" s="42">
        <v>1</v>
      </c>
      <c r="AH79" s="83" t="s">
        <v>661</v>
      </c>
    </row>
    <row r="80" spans="1:34" s="66" customFormat="1" ht="13.5" customHeight="1">
      <c r="A80" s="81"/>
      <c r="B80" s="139"/>
      <c r="C80" s="83"/>
      <c r="D80" s="83"/>
      <c r="E80" s="84"/>
      <c r="F80" s="84"/>
      <c r="G80" s="90"/>
      <c r="H80" s="91"/>
      <c r="I80" s="83"/>
      <c r="J80" s="83"/>
      <c r="K80" s="83"/>
      <c r="L80" s="86"/>
      <c r="M80" s="87"/>
      <c r="N80" s="88"/>
      <c r="O80" s="88"/>
      <c r="P80" s="84"/>
      <c r="Q80" s="86"/>
      <c r="R80" s="86"/>
      <c r="S80" s="89"/>
      <c r="T80" s="91"/>
      <c r="U80" s="86"/>
      <c r="V80" s="84"/>
      <c r="W80" s="84"/>
      <c r="X80" s="91"/>
      <c r="Y80" s="89"/>
      <c r="Z80" s="89"/>
      <c r="AA80" s="158"/>
      <c r="AB80" s="21"/>
      <c r="AC80" s="21"/>
      <c r="AD80" s="43"/>
      <c r="AE80" s="21"/>
      <c r="AF80" s="21"/>
      <c r="AG80" s="42"/>
      <c r="AH80" s="83"/>
    </row>
    <row r="81" spans="1:34" s="402" customFormat="1" ht="13.5" customHeight="1">
      <c r="A81" s="387" t="s">
        <v>729</v>
      </c>
      <c r="B81" s="394">
        <v>83.7</v>
      </c>
      <c r="C81" s="389">
        <v>339</v>
      </c>
      <c r="D81" s="389">
        <v>300</v>
      </c>
      <c r="E81" s="390">
        <v>9</v>
      </c>
      <c r="F81" s="390">
        <v>12</v>
      </c>
      <c r="G81" s="391">
        <v>27</v>
      </c>
      <c r="H81" s="392">
        <v>106.6</v>
      </c>
      <c r="I81" s="389">
        <v>315</v>
      </c>
      <c r="J81" s="389">
        <v>261</v>
      </c>
      <c r="K81" s="389" t="s">
        <v>667</v>
      </c>
      <c r="L81" s="393">
        <v>118</v>
      </c>
      <c r="M81" s="394">
        <v>198</v>
      </c>
      <c r="N81" s="395">
        <v>1.8140000000000001</v>
      </c>
      <c r="O81" s="395">
        <v>21.67</v>
      </c>
      <c r="P81" s="390">
        <v>23040</v>
      </c>
      <c r="Q81" s="393">
        <v>1359</v>
      </c>
      <c r="R81" s="393">
        <v>1495</v>
      </c>
      <c r="S81" s="396">
        <v>14.7</v>
      </c>
      <c r="T81" s="392">
        <v>42.17</v>
      </c>
      <c r="U81" s="393">
        <v>5410</v>
      </c>
      <c r="V81" s="390">
        <v>360.7</v>
      </c>
      <c r="W81" s="390">
        <v>553</v>
      </c>
      <c r="X81" s="392">
        <v>7.12</v>
      </c>
      <c r="Y81" s="396">
        <v>64.63</v>
      </c>
      <c r="Z81" s="396">
        <v>70.989999999999995</v>
      </c>
      <c r="AA81" s="414">
        <v>1444</v>
      </c>
      <c r="AB81" s="398">
        <v>3</v>
      </c>
      <c r="AC81" s="398">
        <v>4</v>
      </c>
      <c r="AD81" s="399" t="s">
        <v>616</v>
      </c>
      <c r="AE81" s="398">
        <v>3</v>
      </c>
      <c r="AF81" s="398">
        <v>4</v>
      </c>
      <c r="AG81" s="400" t="s">
        <v>616</v>
      </c>
      <c r="AH81" s="389"/>
    </row>
    <row r="82" spans="1:34" s="66" customFormat="1" ht="13.5" customHeight="1">
      <c r="A82" s="81" t="s">
        <v>730</v>
      </c>
      <c r="B82" s="140">
        <v>112</v>
      </c>
      <c r="C82" s="83">
        <v>350</v>
      </c>
      <c r="D82" s="83">
        <v>300</v>
      </c>
      <c r="E82" s="84">
        <v>10</v>
      </c>
      <c r="F82" s="84">
        <v>17.5</v>
      </c>
      <c r="G82" s="90">
        <v>27</v>
      </c>
      <c r="H82" s="91">
        <v>142.80000000000001</v>
      </c>
      <c r="I82" s="83">
        <v>315</v>
      </c>
      <c r="J82" s="83">
        <v>261</v>
      </c>
      <c r="K82" s="83" t="s">
        <v>667</v>
      </c>
      <c r="L82" s="86">
        <v>120</v>
      </c>
      <c r="M82" s="87">
        <v>198</v>
      </c>
      <c r="N82" s="88">
        <v>1.8340000000000001</v>
      </c>
      <c r="O82" s="88">
        <v>16.36</v>
      </c>
      <c r="P82" s="84">
        <v>33090</v>
      </c>
      <c r="Q82" s="86">
        <v>1891</v>
      </c>
      <c r="R82" s="86">
        <v>2088</v>
      </c>
      <c r="S82" s="89">
        <v>15.22</v>
      </c>
      <c r="T82" s="91">
        <v>48.96</v>
      </c>
      <c r="U82" s="86">
        <v>7887</v>
      </c>
      <c r="V82" s="84">
        <v>525.79999999999995</v>
      </c>
      <c r="W82" s="84">
        <v>802.3</v>
      </c>
      <c r="X82" s="91">
        <v>7.43</v>
      </c>
      <c r="Y82" s="89">
        <v>76.63</v>
      </c>
      <c r="Z82" s="89">
        <v>148.80000000000001</v>
      </c>
      <c r="AA82" s="158">
        <v>2177</v>
      </c>
      <c r="AB82" s="21">
        <v>1</v>
      </c>
      <c r="AC82" s="21">
        <v>2</v>
      </c>
      <c r="AD82" s="43">
        <v>3</v>
      </c>
      <c r="AE82" s="21">
        <v>1</v>
      </c>
      <c r="AF82" s="21">
        <v>2</v>
      </c>
      <c r="AG82" s="42">
        <v>3</v>
      </c>
      <c r="AH82" s="83" t="s">
        <v>661</v>
      </c>
    </row>
    <row r="83" spans="1:34" s="402" customFormat="1" ht="13.5" customHeight="1">
      <c r="A83" s="387" t="s">
        <v>731</v>
      </c>
      <c r="B83" s="394">
        <v>142</v>
      </c>
      <c r="C83" s="389">
        <v>360</v>
      </c>
      <c r="D83" s="389">
        <v>300</v>
      </c>
      <c r="E83" s="390">
        <v>12.5</v>
      </c>
      <c r="F83" s="390">
        <v>22.5</v>
      </c>
      <c r="G83" s="391">
        <v>27</v>
      </c>
      <c r="H83" s="392">
        <v>180.6</v>
      </c>
      <c r="I83" s="389">
        <v>315</v>
      </c>
      <c r="J83" s="389">
        <v>261</v>
      </c>
      <c r="K83" s="389" t="s">
        <v>667</v>
      </c>
      <c r="L83" s="393">
        <v>122</v>
      </c>
      <c r="M83" s="394">
        <v>198</v>
      </c>
      <c r="N83" s="395">
        <v>1.849</v>
      </c>
      <c r="O83" s="395">
        <v>13.04</v>
      </c>
      <c r="P83" s="390">
        <v>43190</v>
      </c>
      <c r="Q83" s="393">
        <v>2400</v>
      </c>
      <c r="R83" s="393">
        <v>2683</v>
      </c>
      <c r="S83" s="396">
        <v>15.46</v>
      </c>
      <c r="T83" s="392">
        <v>60.6</v>
      </c>
      <c r="U83" s="393">
        <v>10140</v>
      </c>
      <c r="V83" s="390">
        <v>676.1</v>
      </c>
      <c r="W83" s="390">
        <v>1032</v>
      </c>
      <c r="X83" s="392">
        <v>7.49</v>
      </c>
      <c r="Y83" s="396">
        <v>89.13</v>
      </c>
      <c r="Z83" s="396">
        <v>292.5</v>
      </c>
      <c r="AA83" s="414">
        <v>2883</v>
      </c>
      <c r="AB83" s="398">
        <v>1</v>
      </c>
      <c r="AC83" s="398">
        <v>1</v>
      </c>
      <c r="AD83" s="399">
        <v>1</v>
      </c>
      <c r="AE83" s="398">
        <v>1</v>
      </c>
      <c r="AF83" s="398">
        <v>1</v>
      </c>
      <c r="AG83" s="400">
        <v>1</v>
      </c>
      <c r="AH83" s="389" t="s">
        <v>661</v>
      </c>
    </row>
    <row r="84" spans="1:34" s="66" customFormat="1" ht="13.5" customHeight="1">
      <c r="A84" s="81" t="s">
        <v>732</v>
      </c>
      <c r="B84" s="139">
        <v>250</v>
      </c>
      <c r="C84" s="83">
        <v>395</v>
      </c>
      <c r="D84" s="83">
        <v>308</v>
      </c>
      <c r="E84" s="84">
        <v>21</v>
      </c>
      <c r="F84" s="84">
        <v>40</v>
      </c>
      <c r="G84" s="90">
        <v>27</v>
      </c>
      <c r="H84" s="91">
        <v>318.8</v>
      </c>
      <c r="I84" s="83">
        <v>315</v>
      </c>
      <c r="J84" s="83">
        <v>261</v>
      </c>
      <c r="K84" s="83" t="s">
        <v>667</v>
      </c>
      <c r="L84" s="86">
        <v>132</v>
      </c>
      <c r="M84" s="87">
        <v>204</v>
      </c>
      <c r="N84" s="88">
        <v>1.9339999999999999</v>
      </c>
      <c r="O84" s="88">
        <v>7.73</v>
      </c>
      <c r="P84" s="84">
        <v>84870</v>
      </c>
      <c r="Q84" s="86">
        <v>4297</v>
      </c>
      <c r="R84" s="86">
        <v>4989</v>
      </c>
      <c r="S84" s="89">
        <v>16.32</v>
      </c>
      <c r="T84" s="91">
        <v>102.4</v>
      </c>
      <c r="U84" s="86">
        <v>19520</v>
      </c>
      <c r="V84" s="84">
        <v>1268</v>
      </c>
      <c r="W84" s="84">
        <v>1942</v>
      </c>
      <c r="X84" s="91">
        <v>7.83</v>
      </c>
      <c r="Y84" s="89">
        <v>132.6</v>
      </c>
      <c r="Z84" s="89">
        <v>1507</v>
      </c>
      <c r="AA84" s="158">
        <v>6137</v>
      </c>
      <c r="AB84" s="21">
        <v>1</v>
      </c>
      <c r="AC84" s="21">
        <v>1</v>
      </c>
      <c r="AD84" s="43">
        <v>1</v>
      </c>
      <c r="AE84" s="21">
        <v>1</v>
      </c>
      <c r="AF84" s="21">
        <v>1</v>
      </c>
      <c r="AG84" s="42">
        <v>1</v>
      </c>
      <c r="AH84" s="83" t="s">
        <v>661</v>
      </c>
    </row>
    <row r="85" spans="1:34" s="66" customFormat="1" ht="13.5" customHeight="1">
      <c r="A85" s="81"/>
      <c r="B85" s="140"/>
      <c r="C85" s="83"/>
      <c r="D85" s="83"/>
      <c r="E85" s="84"/>
      <c r="F85" s="84"/>
      <c r="G85" s="90"/>
      <c r="H85" s="91"/>
      <c r="I85" s="83"/>
      <c r="J85" s="83"/>
      <c r="K85" s="83"/>
      <c r="L85" s="86"/>
      <c r="M85" s="87"/>
      <c r="N85" s="88"/>
      <c r="O85" s="88"/>
      <c r="P85" s="84"/>
      <c r="Q85" s="86"/>
      <c r="R85" s="86"/>
      <c r="S85" s="89"/>
      <c r="T85" s="91"/>
      <c r="U85" s="86"/>
      <c r="V85" s="84"/>
      <c r="W85" s="84"/>
      <c r="X85" s="91"/>
      <c r="Y85" s="89"/>
      <c r="Z85" s="89"/>
      <c r="AA85" s="158"/>
      <c r="AB85" s="21"/>
      <c r="AC85" s="21"/>
      <c r="AD85" s="43"/>
      <c r="AE85" s="21"/>
      <c r="AF85" s="21"/>
      <c r="AG85" s="42"/>
      <c r="AH85" s="83"/>
    </row>
    <row r="86" spans="1:34" s="402" customFormat="1" ht="13.5" customHeight="1">
      <c r="A86" s="387" t="s">
        <v>733</v>
      </c>
      <c r="B86" s="394">
        <v>92.4</v>
      </c>
      <c r="C86" s="389">
        <v>378</v>
      </c>
      <c r="D86" s="389">
        <v>300</v>
      </c>
      <c r="E86" s="390">
        <v>9.5</v>
      </c>
      <c r="F86" s="390">
        <v>13</v>
      </c>
      <c r="G86" s="391">
        <v>27</v>
      </c>
      <c r="H86" s="392">
        <v>117.7</v>
      </c>
      <c r="I86" s="389">
        <v>352</v>
      </c>
      <c r="J86" s="389">
        <v>298</v>
      </c>
      <c r="K86" s="389" t="s">
        <v>667</v>
      </c>
      <c r="L86" s="393">
        <v>118</v>
      </c>
      <c r="M86" s="394">
        <v>198</v>
      </c>
      <c r="N86" s="395">
        <v>1.891</v>
      </c>
      <c r="O86" s="395">
        <v>20.46</v>
      </c>
      <c r="P86" s="390">
        <v>31250</v>
      </c>
      <c r="Q86" s="393">
        <v>1654</v>
      </c>
      <c r="R86" s="393">
        <v>1824</v>
      </c>
      <c r="S86" s="396">
        <v>16.3</v>
      </c>
      <c r="T86" s="392">
        <v>47.95</v>
      </c>
      <c r="U86" s="393">
        <v>5861</v>
      </c>
      <c r="V86" s="390">
        <v>390.8</v>
      </c>
      <c r="W86" s="390">
        <v>599.70000000000005</v>
      </c>
      <c r="X86" s="392">
        <v>7.06</v>
      </c>
      <c r="Y86" s="396">
        <v>67.13</v>
      </c>
      <c r="Z86" s="396">
        <v>84.69</v>
      </c>
      <c r="AA86" s="414">
        <v>1948</v>
      </c>
      <c r="AB86" s="398">
        <v>3</v>
      </c>
      <c r="AC86" s="398">
        <v>3</v>
      </c>
      <c r="AD86" s="399" t="s">
        <v>616</v>
      </c>
      <c r="AE86" s="398">
        <v>3</v>
      </c>
      <c r="AF86" s="398">
        <v>3</v>
      </c>
      <c r="AG86" s="400" t="s">
        <v>616</v>
      </c>
      <c r="AH86" s="389"/>
    </row>
    <row r="87" spans="1:34" s="66" customFormat="1" ht="13.5" customHeight="1">
      <c r="A87" s="81" t="s">
        <v>734</v>
      </c>
      <c r="B87" s="140">
        <v>125</v>
      </c>
      <c r="C87" s="83">
        <v>390</v>
      </c>
      <c r="D87" s="83">
        <v>300</v>
      </c>
      <c r="E87" s="84">
        <v>11</v>
      </c>
      <c r="F87" s="84">
        <v>19</v>
      </c>
      <c r="G87" s="90">
        <v>27</v>
      </c>
      <c r="H87" s="91">
        <v>159</v>
      </c>
      <c r="I87" s="83">
        <v>352</v>
      </c>
      <c r="J87" s="83">
        <v>298</v>
      </c>
      <c r="K87" s="83" t="s">
        <v>667</v>
      </c>
      <c r="L87" s="86">
        <v>120</v>
      </c>
      <c r="M87" s="87">
        <v>198</v>
      </c>
      <c r="N87" s="88">
        <v>1.9119999999999999</v>
      </c>
      <c r="O87" s="88">
        <v>15.32</v>
      </c>
      <c r="P87" s="84">
        <v>45070</v>
      </c>
      <c r="Q87" s="86">
        <v>2311</v>
      </c>
      <c r="R87" s="86">
        <v>2562</v>
      </c>
      <c r="S87" s="89">
        <v>16.84</v>
      </c>
      <c r="T87" s="91">
        <v>57.33</v>
      </c>
      <c r="U87" s="86">
        <v>8564</v>
      </c>
      <c r="V87" s="84">
        <v>570.9</v>
      </c>
      <c r="W87" s="84">
        <v>872.9</v>
      </c>
      <c r="X87" s="91">
        <v>7.34</v>
      </c>
      <c r="Y87" s="89">
        <v>80.63</v>
      </c>
      <c r="Z87" s="89">
        <v>189</v>
      </c>
      <c r="AA87" s="158">
        <v>2942</v>
      </c>
      <c r="AB87" s="21">
        <v>1</v>
      </c>
      <c r="AC87" s="21">
        <v>1</v>
      </c>
      <c r="AD87" s="43">
        <v>3</v>
      </c>
      <c r="AE87" s="21">
        <v>1</v>
      </c>
      <c r="AF87" s="21">
        <v>2</v>
      </c>
      <c r="AG87" s="42">
        <v>3</v>
      </c>
      <c r="AH87" s="83" t="s">
        <v>661</v>
      </c>
    </row>
    <row r="88" spans="1:34" s="402" customFormat="1" ht="13.5" customHeight="1">
      <c r="A88" s="387" t="s">
        <v>735</v>
      </c>
      <c r="B88" s="388">
        <v>155</v>
      </c>
      <c r="C88" s="389">
        <v>400</v>
      </c>
      <c r="D88" s="389">
        <v>300</v>
      </c>
      <c r="E88" s="390">
        <v>13.5</v>
      </c>
      <c r="F88" s="390">
        <v>24</v>
      </c>
      <c r="G88" s="391">
        <v>27</v>
      </c>
      <c r="H88" s="392">
        <v>197.8</v>
      </c>
      <c r="I88" s="389">
        <v>352</v>
      </c>
      <c r="J88" s="389">
        <v>298</v>
      </c>
      <c r="K88" s="389" t="s">
        <v>667</v>
      </c>
      <c r="L88" s="393">
        <v>124</v>
      </c>
      <c r="M88" s="394">
        <v>198</v>
      </c>
      <c r="N88" s="395">
        <v>1.927</v>
      </c>
      <c r="O88" s="395">
        <v>12.41</v>
      </c>
      <c r="P88" s="390">
        <v>57680</v>
      </c>
      <c r="Q88" s="393">
        <v>2884</v>
      </c>
      <c r="R88" s="393">
        <v>3232</v>
      </c>
      <c r="S88" s="396">
        <v>17.079999999999998</v>
      </c>
      <c r="T88" s="392">
        <v>69.98</v>
      </c>
      <c r="U88" s="393">
        <v>10820</v>
      </c>
      <c r="V88" s="390">
        <v>721.3</v>
      </c>
      <c r="W88" s="390">
        <v>1104</v>
      </c>
      <c r="X88" s="392">
        <v>7.4</v>
      </c>
      <c r="Y88" s="396">
        <v>93.13</v>
      </c>
      <c r="Z88" s="396">
        <v>355.7</v>
      </c>
      <c r="AA88" s="414">
        <v>3817</v>
      </c>
      <c r="AB88" s="398">
        <v>1</v>
      </c>
      <c r="AC88" s="398">
        <v>1</v>
      </c>
      <c r="AD88" s="399">
        <v>1</v>
      </c>
      <c r="AE88" s="398">
        <v>1</v>
      </c>
      <c r="AF88" s="398">
        <v>1</v>
      </c>
      <c r="AG88" s="400">
        <v>1</v>
      </c>
      <c r="AH88" s="389" t="s">
        <v>661</v>
      </c>
    </row>
    <row r="89" spans="1:34" s="66" customFormat="1" ht="13.5" customHeight="1">
      <c r="A89" s="81" t="s">
        <v>736</v>
      </c>
      <c r="B89" s="140">
        <v>256</v>
      </c>
      <c r="C89" s="83">
        <v>432</v>
      </c>
      <c r="D89" s="83">
        <v>307</v>
      </c>
      <c r="E89" s="84">
        <v>21</v>
      </c>
      <c r="F89" s="84">
        <v>40</v>
      </c>
      <c r="G89" s="90">
        <v>27</v>
      </c>
      <c r="H89" s="91">
        <v>325.8</v>
      </c>
      <c r="I89" s="83">
        <v>352</v>
      </c>
      <c r="J89" s="83">
        <v>298</v>
      </c>
      <c r="K89" s="83" t="s">
        <v>667</v>
      </c>
      <c r="L89" s="86">
        <v>132</v>
      </c>
      <c r="M89" s="87">
        <v>202</v>
      </c>
      <c r="N89" s="88">
        <v>2.004</v>
      </c>
      <c r="O89" s="88">
        <v>7.835</v>
      </c>
      <c r="P89" s="84">
        <v>104100</v>
      </c>
      <c r="Q89" s="86">
        <v>4820</v>
      </c>
      <c r="R89" s="86">
        <v>5571</v>
      </c>
      <c r="S89" s="89">
        <v>17.88</v>
      </c>
      <c r="T89" s="91">
        <v>110.2</v>
      </c>
      <c r="U89" s="86">
        <v>19340</v>
      </c>
      <c r="V89" s="84">
        <v>1260</v>
      </c>
      <c r="W89" s="84">
        <v>1934</v>
      </c>
      <c r="X89" s="91">
        <v>7.7</v>
      </c>
      <c r="Y89" s="89">
        <v>132.6</v>
      </c>
      <c r="Z89" s="89">
        <v>1515</v>
      </c>
      <c r="AA89" s="158">
        <v>7410</v>
      </c>
      <c r="AB89" s="21">
        <v>1</v>
      </c>
      <c r="AC89" s="21">
        <v>1</v>
      </c>
      <c r="AD89" s="43">
        <v>1</v>
      </c>
      <c r="AE89" s="21">
        <v>1</v>
      </c>
      <c r="AF89" s="21">
        <v>1</v>
      </c>
      <c r="AG89" s="42">
        <v>1</v>
      </c>
      <c r="AH89" s="83" t="s">
        <v>661</v>
      </c>
    </row>
    <row r="90" spans="1:34" s="66" customFormat="1" ht="13.5" customHeight="1">
      <c r="A90" s="81"/>
      <c r="B90" s="140"/>
      <c r="C90" s="83"/>
      <c r="D90" s="83"/>
      <c r="E90" s="84"/>
      <c r="F90" s="84"/>
      <c r="G90" s="90"/>
      <c r="H90" s="91"/>
      <c r="I90" s="83"/>
      <c r="J90" s="83"/>
      <c r="K90" s="83"/>
      <c r="L90" s="86"/>
      <c r="M90" s="87"/>
      <c r="N90" s="88"/>
      <c r="O90" s="88"/>
      <c r="P90" s="84"/>
      <c r="Q90" s="86"/>
      <c r="R90" s="86"/>
      <c r="S90" s="89"/>
      <c r="T90" s="91"/>
      <c r="U90" s="86"/>
      <c r="V90" s="84"/>
      <c r="W90" s="84"/>
      <c r="X90" s="91"/>
      <c r="Y90" s="89"/>
      <c r="Z90" s="89"/>
      <c r="AA90" s="158"/>
      <c r="AB90" s="21"/>
      <c r="AC90" s="21"/>
      <c r="AD90" s="43"/>
      <c r="AE90" s="21"/>
      <c r="AF90" s="21"/>
      <c r="AG90" s="42"/>
      <c r="AH90" s="83"/>
    </row>
    <row r="91" spans="1:34" s="402" customFormat="1" ht="13.5" customHeight="1">
      <c r="A91" s="387" t="s">
        <v>737</v>
      </c>
      <c r="B91" s="394">
        <v>99.7</v>
      </c>
      <c r="C91" s="389">
        <v>425</v>
      </c>
      <c r="D91" s="389">
        <v>300</v>
      </c>
      <c r="E91" s="390">
        <v>10</v>
      </c>
      <c r="F91" s="390">
        <v>13.5</v>
      </c>
      <c r="G91" s="391">
        <v>27</v>
      </c>
      <c r="H91" s="392">
        <v>127.1</v>
      </c>
      <c r="I91" s="389">
        <v>398</v>
      </c>
      <c r="J91" s="389">
        <v>344</v>
      </c>
      <c r="K91" s="389" t="s">
        <v>667</v>
      </c>
      <c r="L91" s="393">
        <v>120</v>
      </c>
      <c r="M91" s="394">
        <v>198</v>
      </c>
      <c r="N91" s="395">
        <v>1.984</v>
      </c>
      <c r="O91" s="395">
        <v>19.89</v>
      </c>
      <c r="P91" s="390">
        <v>41890</v>
      </c>
      <c r="Q91" s="393">
        <v>1971</v>
      </c>
      <c r="R91" s="393">
        <v>2183</v>
      </c>
      <c r="S91" s="396">
        <v>18.16</v>
      </c>
      <c r="T91" s="392">
        <v>54.7</v>
      </c>
      <c r="U91" s="393">
        <v>6088</v>
      </c>
      <c r="V91" s="390">
        <v>405.8</v>
      </c>
      <c r="W91" s="390">
        <v>624.4</v>
      </c>
      <c r="X91" s="392">
        <v>6.92</v>
      </c>
      <c r="Y91" s="396">
        <v>68.63</v>
      </c>
      <c r="Z91" s="396">
        <v>95.61</v>
      </c>
      <c r="AA91" s="414">
        <v>2572</v>
      </c>
      <c r="AB91" s="398">
        <v>3</v>
      </c>
      <c r="AC91" s="398">
        <v>3</v>
      </c>
      <c r="AD91" s="399" t="s">
        <v>616</v>
      </c>
      <c r="AE91" s="398">
        <v>3</v>
      </c>
      <c r="AF91" s="398">
        <v>4</v>
      </c>
      <c r="AG91" s="400" t="s">
        <v>616</v>
      </c>
      <c r="AH91" s="389"/>
    </row>
    <row r="92" spans="1:34" s="66" customFormat="1" ht="13.5" customHeight="1">
      <c r="A92" s="81" t="s">
        <v>738</v>
      </c>
      <c r="B92" s="139">
        <v>140</v>
      </c>
      <c r="C92" s="83">
        <v>440</v>
      </c>
      <c r="D92" s="83">
        <v>300</v>
      </c>
      <c r="E92" s="84">
        <v>11.5</v>
      </c>
      <c r="F92" s="84">
        <v>21</v>
      </c>
      <c r="G92" s="90">
        <v>27</v>
      </c>
      <c r="H92" s="91">
        <v>178</v>
      </c>
      <c r="I92" s="83">
        <v>398</v>
      </c>
      <c r="J92" s="83">
        <v>344</v>
      </c>
      <c r="K92" s="83" t="s">
        <v>667</v>
      </c>
      <c r="L92" s="86">
        <v>122</v>
      </c>
      <c r="M92" s="87">
        <v>198</v>
      </c>
      <c r="N92" s="88">
        <v>2.0110000000000001</v>
      </c>
      <c r="O92" s="88">
        <v>14.39</v>
      </c>
      <c r="P92" s="84">
        <v>63720</v>
      </c>
      <c r="Q92" s="86">
        <v>2896</v>
      </c>
      <c r="R92" s="86">
        <v>3216</v>
      </c>
      <c r="S92" s="89">
        <v>18.920000000000002</v>
      </c>
      <c r="T92" s="91">
        <v>65.78</v>
      </c>
      <c r="U92" s="86">
        <v>9465</v>
      </c>
      <c r="V92" s="84">
        <v>631</v>
      </c>
      <c r="W92" s="84">
        <v>965.5</v>
      </c>
      <c r="X92" s="91">
        <v>7.29</v>
      </c>
      <c r="Y92" s="89">
        <v>85.13</v>
      </c>
      <c r="Z92" s="89">
        <v>243.8</v>
      </c>
      <c r="AA92" s="158">
        <v>4148</v>
      </c>
      <c r="AB92" s="21">
        <v>1</v>
      </c>
      <c r="AC92" s="21">
        <v>1</v>
      </c>
      <c r="AD92" s="43">
        <v>1</v>
      </c>
      <c r="AE92" s="21">
        <v>1</v>
      </c>
      <c r="AF92" s="21">
        <v>2</v>
      </c>
      <c r="AG92" s="42">
        <v>3</v>
      </c>
      <c r="AH92" s="83" t="s">
        <v>661</v>
      </c>
    </row>
    <row r="93" spans="1:34" s="402" customFormat="1" ht="13.5" customHeight="1">
      <c r="A93" s="387" t="s">
        <v>739</v>
      </c>
      <c r="B93" s="394">
        <v>171</v>
      </c>
      <c r="C93" s="389">
        <v>450</v>
      </c>
      <c r="D93" s="389">
        <v>300</v>
      </c>
      <c r="E93" s="390">
        <v>14</v>
      </c>
      <c r="F93" s="390">
        <v>26</v>
      </c>
      <c r="G93" s="391">
        <v>27</v>
      </c>
      <c r="H93" s="392">
        <v>218</v>
      </c>
      <c r="I93" s="389">
        <v>398</v>
      </c>
      <c r="J93" s="389">
        <v>344</v>
      </c>
      <c r="K93" s="389" t="s">
        <v>667</v>
      </c>
      <c r="L93" s="393">
        <v>124</v>
      </c>
      <c r="M93" s="394">
        <v>198</v>
      </c>
      <c r="N93" s="395">
        <v>2.0259999999999998</v>
      </c>
      <c r="O93" s="395">
        <v>11.84</v>
      </c>
      <c r="P93" s="390">
        <v>79890</v>
      </c>
      <c r="Q93" s="393">
        <v>3551</v>
      </c>
      <c r="R93" s="393">
        <v>3982</v>
      </c>
      <c r="S93" s="396">
        <v>19.14</v>
      </c>
      <c r="T93" s="392">
        <v>79.66</v>
      </c>
      <c r="U93" s="393">
        <v>11720</v>
      </c>
      <c r="V93" s="390">
        <v>781.4</v>
      </c>
      <c r="W93" s="390">
        <v>1198</v>
      </c>
      <c r="X93" s="392">
        <v>7.33</v>
      </c>
      <c r="Y93" s="396">
        <v>97.63</v>
      </c>
      <c r="Z93" s="396">
        <v>440.5</v>
      </c>
      <c r="AA93" s="414">
        <v>5258</v>
      </c>
      <c r="AB93" s="398">
        <v>1</v>
      </c>
      <c r="AC93" s="398">
        <v>1</v>
      </c>
      <c r="AD93" s="399">
        <v>1</v>
      </c>
      <c r="AE93" s="398">
        <v>1</v>
      </c>
      <c r="AF93" s="398">
        <v>1</v>
      </c>
      <c r="AG93" s="400">
        <v>2</v>
      </c>
      <c r="AH93" s="389" t="s">
        <v>661</v>
      </c>
    </row>
    <row r="94" spans="1:34" s="66" customFormat="1" ht="13.5" customHeight="1">
      <c r="A94" s="81" t="s">
        <v>740</v>
      </c>
      <c r="B94" s="140">
        <v>263</v>
      </c>
      <c r="C94" s="83">
        <v>478</v>
      </c>
      <c r="D94" s="83">
        <v>307</v>
      </c>
      <c r="E94" s="84">
        <v>21</v>
      </c>
      <c r="F94" s="84">
        <v>40</v>
      </c>
      <c r="G94" s="90">
        <v>27</v>
      </c>
      <c r="H94" s="91">
        <v>335.4</v>
      </c>
      <c r="I94" s="83">
        <v>398</v>
      </c>
      <c r="J94" s="83">
        <v>344</v>
      </c>
      <c r="K94" s="83" t="s">
        <v>667</v>
      </c>
      <c r="L94" s="86">
        <v>132</v>
      </c>
      <c r="M94" s="87">
        <v>202</v>
      </c>
      <c r="N94" s="88">
        <v>2.0960000000000001</v>
      </c>
      <c r="O94" s="88">
        <v>7.9589999999999996</v>
      </c>
      <c r="P94" s="84">
        <v>131500</v>
      </c>
      <c r="Q94" s="86">
        <v>5501</v>
      </c>
      <c r="R94" s="86">
        <v>6331</v>
      </c>
      <c r="S94" s="89">
        <v>19.8</v>
      </c>
      <c r="T94" s="91">
        <v>119.8</v>
      </c>
      <c r="U94" s="86">
        <v>19340</v>
      </c>
      <c r="V94" s="84">
        <v>1260</v>
      </c>
      <c r="W94" s="84">
        <v>1939</v>
      </c>
      <c r="X94" s="91">
        <v>7.59</v>
      </c>
      <c r="Y94" s="89">
        <v>132.6</v>
      </c>
      <c r="Z94" s="89">
        <v>1529</v>
      </c>
      <c r="AA94" s="158">
        <v>9251</v>
      </c>
      <c r="AB94" s="21">
        <v>1</v>
      </c>
      <c r="AC94" s="21">
        <v>1</v>
      </c>
      <c r="AD94" s="43">
        <v>1</v>
      </c>
      <c r="AE94" s="21">
        <v>1</v>
      </c>
      <c r="AF94" s="21">
        <v>1</v>
      </c>
      <c r="AG94" s="42">
        <v>1</v>
      </c>
      <c r="AH94" s="83" t="s">
        <v>661</v>
      </c>
    </row>
    <row r="95" spans="1:34" s="66" customFormat="1" ht="13.5" customHeight="1">
      <c r="A95" s="81"/>
      <c r="B95" s="140"/>
      <c r="C95" s="83"/>
      <c r="D95" s="83"/>
      <c r="E95" s="84"/>
      <c r="F95" s="84"/>
      <c r="G95" s="90"/>
      <c r="H95" s="91"/>
      <c r="I95" s="83"/>
      <c r="J95" s="83"/>
      <c r="K95" s="83"/>
      <c r="L95" s="86"/>
      <c r="M95" s="87"/>
      <c r="N95" s="88"/>
      <c r="O95" s="88"/>
      <c r="P95" s="84"/>
      <c r="Q95" s="86"/>
      <c r="R95" s="86"/>
      <c r="S95" s="89"/>
      <c r="T95" s="91"/>
      <c r="U95" s="86"/>
      <c r="V95" s="84"/>
      <c r="W95" s="84"/>
      <c r="X95" s="91"/>
      <c r="Y95" s="89"/>
      <c r="Z95" s="89"/>
      <c r="AA95" s="158"/>
      <c r="AB95" s="21"/>
      <c r="AC95" s="21"/>
      <c r="AD95" s="43"/>
      <c r="AE95" s="21"/>
      <c r="AF95" s="21"/>
      <c r="AG95" s="42"/>
      <c r="AH95" s="83"/>
    </row>
    <row r="96" spans="1:34" s="402" customFormat="1" ht="13.5" customHeight="1">
      <c r="A96" s="387" t="s">
        <v>741</v>
      </c>
      <c r="B96" s="394">
        <v>107</v>
      </c>
      <c r="C96" s="389">
        <v>472</v>
      </c>
      <c r="D96" s="389">
        <v>300</v>
      </c>
      <c r="E96" s="390">
        <v>10.5</v>
      </c>
      <c r="F96" s="390">
        <v>14</v>
      </c>
      <c r="G96" s="391">
        <v>27</v>
      </c>
      <c r="H96" s="392">
        <v>136.9</v>
      </c>
      <c r="I96" s="389">
        <v>444</v>
      </c>
      <c r="J96" s="389">
        <v>390</v>
      </c>
      <c r="K96" s="389" t="s">
        <v>667</v>
      </c>
      <c r="L96" s="393">
        <v>120</v>
      </c>
      <c r="M96" s="394">
        <v>198</v>
      </c>
      <c r="N96" s="395">
        <v>2.077</v>
      </c>
      <c r="O96" s="395">
        <v>19.329999999999998</v>
      </c>
      <c r="P96" s="390">
        <v>54640</v>
      </c>
      <c r="Q96" s="393">
        <v>2315</v>
      </c>
      <c r="R96" s="393">
        <v>2576</v>
      </c>
      <c r="S96" s="396">
        <v>19.98</v>
      </c>
      <c r="T96" s="392">
        <v>61.91</v>
      </c>
      <c r="U96" s="393">
        <v>6314</v>
      </c>
      <c r="V96" s="390">
        <v>420.9</v>
      </c>
      <c r="W96" s="390">
        <v>649.29999999999995</v>
      </c>
      <c r="X96" s="392">
        <v>6.79</v>
      </c>
      <c r="Y96" s="396">
        <v>70.13</v>
      </c>
      <c r="Z96" s="396">
        <v>107.7</v>
      </c>
      <c r="AA96" s="414">
        <v>3304</v>
      </c>
      <c r="AB96" s="398">
        <v>2</v>
      </c>
      <c r="AC96" s="398">
        <v>3</v>
      </c>
      <c r="AD96" s="399" t="s">
        <v>616</v>
      </c>
      <c r="AE96" s="398">
        <v>2</v>
      </c>
      <c r="AF96" s="398">
        <v>4</v>
      </c>
      <c r="AG96" s="400" t="s">
        <v>616</v>
      </c>
      <c r="AH96" s="389"/>
    </row>
    <row r="97" spans="1:34" s="66" customFormat="1" ht="13.5" customHeight="1">
      <c r="A97" s="81" t="s">
        <v>742</v>
      </c>
      <c r="B97" s="140">
        <v>155</v>
      </c>
      <c r="C97" s="83">
        <v>490</v>
      </c>
      <c r="D97" s="83">
        <v>300</v>
      </c>
      <c r="E97" s="84">
        <v>12</v>
      </c>
      <c r="F97" s="84">
        <v>23</v>
      </c>
      <c r="G97" s="90">
        <v>27</v>
      </c>
      <c r="H97" s="91">
        <v>197.5</v>
      </c>
      <c r="I97" s="83">
        <v>444</v>
      </c>
      <c r="J97" s="83">
        <v>390</v>
      </c>
      <c r="K97" s="83" t="s">
        <v>667</v>
      </c>
      <c r="L97" s="86">
        <v>122</v>
      </c>
      <c r="M97" s="87">
        <v>198</v>
      </c>
      <c r="N97" s="88">
        <v>2.11</v>
      </c>
      <c r="O97" s="88">
        <v>13.6</v>
      </c>
      <c r="P97" s="84">
        <v>86970</v>
      </c>
      <c r="Q97" s="86">
        <v>3550</v>
      </c>
      <c r="R97" s="86">
        <v>3949</v>
      </c>
      <c r="S97" s="89">
        <v>20.98</v>
      </c>
      <c r="T97" s="91">
        <v>74.72</v>
      </c>
      <c r="U97" s="86">
        <v>10370</v>
      </c>
      <c r="V97" s="84">
        <v>691.1</v>
      </c>
      <c r="W97" s="84">
        <v>1059</v>
      </c>
      <c r="X97" s="91">
        <v>7.24</v>
      </c>
      <c r="Y97" s="89">
        <v>89.63</v>
      </c>
      <c r="Z97" s="89">
        <v>309.3</v>
      </c>
      <c r="AA97" s="158">
        <v>5643</v>
      </c>
      <c r="AB97" s="21">
        <v>1</v>
      </c>
      <c r="AC97" s="21">
        <v>1</v>
      </c>
      <c r="AD97" s="43">
        <v>1</v>
      </c>
      <c r="AE97" s="21">
        <v>1</v>
      </c>
      <c r="AF97" s="21">
        <v>3</v>
      </c>
      <c r="AG97" s="42">
        <v>4</v>
      </c>
      <c r="AH97" s="83" t="s">
        <v>661</v>
      </c>
    </row>
    <row r="98" spans="1:34" s="402" customFormat="1" ht="13.5" customHeight="1">
      <c r="A98" s="387" t="s">
        <v>743</v>
      </c>
      <c r="B98" s="394">
        <v>187</v>
      </c>
      <c r="C98" s="389">
        <v>500</v>
      </c>
      <c r="D98" s="389">
        <v>300</v>
      </c>
      <c r="E98" s="390">
        <v>14.5</v>
      </c>
      <c r="F98" s="390">
        <v>28</v>
      </c>
      <c r="G98" s="391">
        <v>27</v>
      </c>
      <c r="H98" s="392">
        <v>238.6</v>
      </c>
      <c r="I98" s="389">
        <v>444</v>
      </c>
      <c r="J98" s="389">
        <v>390</v>
      </c>
      <c r="K98" s="389" t="s">
        <v>667</v>
      </c>
      <c r="L98" s="393">
        <v>124</v>
      </c>
      <c r="M98" s="394">
        <v>198</v>
      </c>
      <c r="N98" s="395">
        <v>2.125</v>
      </c>
      <c r="O98" s="395">
        <v>11.34</v>
      </c>
      <c r="P98" s="390">
        <v>107200</v>
      </c>
      <c r="Q98" s="393">
        <v>4287</v>
      </c>
      <c r="R98" s="393">
        <v>4815</v>
      </c>
      <c r="S98" s="396">
        <v>21.19</v>
      </c>
      <c r="T98" s="392">
        <v>89.82</v>
      </c>
      <c r="U98" s="393">
        <v>12620</v>
      </c>
      <c r="V98" s="390">
        <v>841.6</v>
      </c>
      <c r="W98" s="390">
        <v>1292</v>
      </c>
      <c r="X98" s="392">
        <v>7.27</v>
      </c>
      <c r="Y98" s="396">
        <v>102.1</v>
      </c>
      <c r="Z98" s="396">
        <v>538.4</v>
      </c>
      <c r="AA98" s="414">
        <v>7018</v>
      </c>
      <c r="AB98" s="398">
        <v>1</v>
      </c>
      <c r="AC98" s="398">
        <v>1</v>
      </c>
      <c r="AD98" s="399">
        <v>1</v>
      </c>
      <c r="AE98" s="398">
        <v>1</v>
      </c>
      <c r="AF98" s="398">
        <v>2</v>
      </c>
      <c r="AG98" s="400">
        <v>2</v>
      </c>
      <c r="AH98" s="389" t="s">
        <v>661</v>
      </c>
    </row>
    <row r="99" spans="1:34" s="66" customFormat="1" ht="13.5" customHeight="1">
      <c r="A99" s="81" t="s">
        <v>744</v>
      </c>
      <c r="B99" s="140">
        <v>270</v>
      </c>
      <c r="C99" s="83">
        <v>524</v>
      </c>
      <c r="D99" s="83">
        <v>306</v>
      </c>
      <c r="E99" s="84">
        <v>21</v>
      </c>
      <c r="F99" s="84">
        <v>40</v>
      </c>
      <c r="G99" s="90">
        <v>27</v>
      </c>
      <c r="H99" s="91">
        <v>344.3</v>
      </c>
      <c r="I99" s="83">
        <v>444</v>
      </c>
      <c r="J99" s="83">
        <v>390</v>
      </c>
      <c r="K99" s="83" t="s">
        <v>667</v>
      </c>
      <c r="L99" s="86">
        <v>132</v>
      </c>
      <c r="M99" s="87">
        <v>202</v>
      </c>
      <c r="N99" s="88">
        <v>2.1840000000000002</v>
      </c>
      <c r="O99" s="88">
        <v>8.0790000000000006</v>
      </c>
      <c r="P99" s="84">
        <v>161900</v>
      </c>
      <c r="Q99" s="86">
        <v>6180</v>
      </c>
      <c r="R99" s="86">
        <v>7094</v>
      </c>
      <c r="S99" s="89">
        <v>21.69</v>
      </c>
      <c r="T99" s="91">
        <v>129.5</v>
      </c>
      <c r="U99" s="86">
        <v>19150</v>
      </c>
      <c r="V99" s="84">
        <v>1252</v>
      </c>
      <c r="W99" s="84">
        <v>1932</v>
      </c>
      <c r="X99" s="91">
        <v>7.46</v>
      </c>
      <c r="Y99" s="89">
        <v>132.6</v>
      </c>
      <c r="Z99" s="89">
        <v>1539</v>
      </c>
      <c r="AA99" s="158">
        <v>11190</v>
      </c>
      <c r="AB99" s="21">
        <v>1</v>
      </c>
      <c r="AC99" s="21">
        <v>1</v>
      </c>
      <c r="AD99" s="43">
        <v>1</v>
      </c>
      <c r="AE99" s="21">
        <v>1</v>
      </c>
      <c r="AF99" s="21">
        <v>1</v>
      </c>
      <c r="AG99" s="42">
        <v>1</v>
      </c>
      <c r="AH99" s="83" t="s">
        <v>661</v>
      </c>
    </row>
    <row r="100" spans="1:34" s="66" customFormat="1" ht="13.5" customHeight="1">
      <c r="A100" s="81"/>
      <c r="B100" s="140"/>
      <c r="C100" s="83"/>
      <c r="D100" s="83"/>
      <c r="E100" s="84"/>
      <c r="F100" s="84"/>
      <c r="G100" s="90"/>
      <c r="H100" s="91"/>
      <c r="I100" s="83"/>
      <c r="J100" s="83"/>
      <c r="K100" s="83"/>
      <c r="L100" s="86"/>
      <c r="M100" s="87"/>
      <c r="N100" s="88"/>
      <c r="O100" s="88"/>
      <c r="P100" s="84"/>
      <c r="Q100" s="86"/>
      <c r="R100" s="86"/>
      <c r="S100" s="89"/>
      <c r="T100" s="91"/>
      <c r="U100" s="86"/>
      <c r="V100" s="84"/>
      <c r="W100" s="84"/>
      <c r="X100" s="91"/>
      <c r="Y100" s="89"/>
      <c r="Z100" s="89"/>
      <c r="AA100" s="158"/>
      <c r="AB100" s="21"/>
      <c r="AC100" s="21"/>
      <c r="AD100" s="43"/>
      <c r="AE100" s="21"/>
      <c r="AF100" s="21"/>
      <c r="AG100" s="42"/>
      <c r="AH100" s="83"/>
    </row>
    <row r="101" spans="1:34" s="402" customFormat="1" ht="13.5" customHeight="1">
      <c r="A101" s="387" t="s">
        <v>745</v>
      </c>
      <c r="B101" s="394">
        <v>120</v>
      </c>
      <c r="C101" s="389">
        <v>522</v>
      </c>
      <c r="D101" s="389">
        <v>300</v>
      </c>
      <c r="E101" s="390">
        <v>11.5</v>
      </c>
      <c r="F101" s="390">
        <v>15</v>
      </c>
      <c r="G101" s="391">
        <v>27</v>
      </c>
      <c r="H101" s="392">
        <v>152.80000000000001</v>
      </c>
      <c r="I101" s="389">
        <v>492</v>
      </c>
      <c r="J101" s="389">
        <v>438</v>
      </c>
      <c r="K101" s="389" t="s">
        <v>667</v>
      </c>
      <c r="L101" s="393">
        <v>122</v>
      </c>
      <c r="M101" s="394">
        <v>198</v>
      </c>
      <c r="N101" s="395">
        <v>2.1749999999999998</v>
      </c>
      <c r="O101" s="395">
        <v>18.13</v>
      </c>
      <c r="P101" s="390">
        <v>72870</v>
      </c>
      <c r="Q101" s="393">
        <v>2792</v>
      </c>
      <c r="R101" s="393">
        <v>3128</v>
      </c>
      <c r="S101" s="396">
        <v>21.84</v>
      </c>
      <c r="T101" s="392">
        <v>72.66</v>
      </c>
      <c r="U101" s="393">
        <v>6767</v>
      </c>
      <c r="V101" s="390">
        <v>451.1</v>
      </c>
      <c r="W101" s="390">
        <v>698.6</v>
      </c>
      <c r="X101" s="392">
        <v>6.65</v>
      </c>
      <c r="Y101" s="396">
        <v>73.13</v>
      </c>
      <c r="Z101" s="396">
        <v>133.69999999999999</v>
      </c>
      <c r="AA101" s="414">
        <v>4338</v>
      </c>
      <c r="AB101" s="398">
        <v>1</v>
      </c>
      <c r="AC101" s="398">
        <v>3</v>
      </c>
      <c r="AD101" s="399" t="s">
        <v>616</v>
      </c>
      <c r="AE101" s="398">
        <v>3</v>
      </c>
      <c r="AF101" s="398">
        <v>4</v>
      </c>
      <c r="AG101" s="400" t="s">
        <v>616</v>
      </c>
      <c r="AH101" s="389"/>
    </row>
    <row r="102" spans="1:34" s="66" customFormat="1" ht="13.5" customHeight="1">
      <c r="A102" s="81" t="s">
        <v>746</v>
      </c>
      <c r="B102" s="140">
        <v>166</v>
      </c>
      <c r="C102" s="83">
        <v>540</v>
      </c>
      <c r="D102" s="83">
        <v>300</v>
      </c>
      <c r="E102" s="84">
        <v>12.5</v>
      </c>
      <c r="F102" s="84">
        <v>24</v>
      </c>
      <c r="G102" s="90">
        <v>27</v>
      </c>
      <c r="H102" s="91">
        <v>211.8</v>
      </c>
      <c r="I102" s="83">
        <v>492</v>
      </c>
      <c r="J102" s="83">
        <v>438</v>
      </c>
      <c r="K102" s="83" t="s">
        <v>667</v>
      </c>
      <c r="L102" s="86">
        <v>122</v>
      </c>
      <c r="M102" s="87">
        <v>198</v>
      </c>
      <c r="N102" s="88">
        <v>2.2090000000000001</v>
      </c>
      <c r="O102" s="88">
        <v>13.29</v>
      </c>
      <c r="P102" s="84">
        <v>111900</v>
      </c>
      <c r="Q102" s="86">
        <v>4146</v>
      </c>
      <c r="R102" s="86">
        <v>4622</v>
      </c>
      <c r="S102" s="89">
        <v>22.99</v>
      </c>
      <c r="T102" s="91">
        <v>83.72</v>
      </c>
      <c r="U102" s="86">
        <v>10820</v>
      </c>
      <c r="V102" s="84">
        <v>721.3</v>
      </c>
      <c r="W102" s="84">
        <v>1107</v>
      </c>
      <c r="X102" s="91">
        <v>7.15</v>
      </c>
      <c r="Y102" s="89">
        <v>92.13</v>
      </c>
      <c r="Z102" s="89">
        <v>351.5</v>
      </c>
      <c r="AA102" s="158">
        <v>7189</v>
      </c>
      <c r="AB102" s="21">
        <v>1</v>
      </c>
      <c r="AC102" s="21">
        <v>1</v>
      </c>
      <c r="AD102" s="43">
        <v>1</v>
      </c>
      <c r="AE102" s="21">
        <v>2</v>
      </c>
      <c r="AF102" s="21">
        <v>4</v>
      </c>
      <c r="AG102" s="42">
        <v>4</v>
      </c>
      <c r="AH102" s="83" t="s">
        <v>661</v>
      </c>
    </row>
    <row r="103" spans="1:34" s="402" customFormat="1" ht="13.5" customHeight="1">
      <c r="A103" s="387" t="s">
        <v>747</v>
      </c>
      <c r="B103" s="394">
        <v>199</v>
      </c>
      <c r="C103" s="389">
        <v>550</v>
      </c>
      <c r="D103" s="389">
        <v>300</v>
      </c>
      <c r="E103" s="390">
        <v>15</v>
      </c>
      <c r="F103" s="390">
        <v>29</v>
      </c>
      <c r="G103" s="391">
        <v>27</v>
      </c>
      <c r="H103" s="392">
        <v>254.1</v>
      </c>
      <c r="I103" s="389">
        <v>492</v>
      </c>
      <c r="J103" s="389">
        <v>438</v>
      </c>
      <c r="K103" s="389" t="s">
        <v>667</v>
      </c>
      <c r="L103" s="393">
        <v>124</v>
      </c>
      <c r="M103" s="394">
        <v>198</v>
      </c>
      <c r="N103" s="395">
        <v>2.2240000000000002</v>
      </c>
      <c r="O103" s="395">
        <v>11.15</v>
      </c>
      <c r="P103" s="390">
        <v>136700</v>
      </c>
      <c r="Q103" s="393">
        <v>4971</v>
      </c>
      <c r="R103" s="393">
        <v>5591</v>
      </c>
      <c r="S103" s="396">
        <v>23.2</v>
      </c>
      <c r="T103" s="392">
        <v>100.1</v>
      </c>
      <c r="U103" s="393">
        <v>13080</v>
      </c>
      <c r="V103" s="390">
        <v>871.8</v>
      </c>
      <c r="W103" s="390">
        <v>1341</v>
      </c>
      <c r="X103" s="392">
        <v>7.17</v>
      </c>
      <c r="Y103" s="396">
        <v>104.6</v>
      </c>
      <c r="Z103" s="396">
        <v>600.29999999999995</v>
      </c>
      <c r="AA103" s="414">
        <v>8856</v>
      </c>
      <c r="AB103" s="398">
        <v>1</v>
      </c>
      <c r="AC103" s="398">
        <v>1</v>
      </c>
      <c r="AD103" s="399">
        <v>1</v>
      </c>
      <c r="AE103" s="398">
        <v>1</v>
      </c>
      <c r="AF103" s="398">
        <v>2</v>
      </c>
      <c r="AG103" s="400">
        <v>3</v>
      </c>
      <c r="AH103" s="389" t="s">
        <v>661</v>
      </c>
    </row>
    <row r="104" spans="1:34" s="66" customFormat="1" ht="13.5" customHeight="1">
      <c r="A104" s="81" t="s">
        <v>748</v>
      </c>
      <c r="B104" s="140">
        <v>278</v>
      </c>
      <c r="C104" s="83">
        <v>572</v>
      </c>
      <c r="D104" s="83">
        <v>306</v>
      </c>
      <c r="E104" s="84">
        <v>21</v>
      </c>
      <c r="F104" s="84">
        <v>40</v>
      </c>
      <c r="G104" s="90">
        <v>27</v>
      </c>
      <c r="H104" s="91">
        <v>354.4</v>
      </c>
      <c r="I104" s="83">
        <v>492</v>
      </c>
      <c r="J104" s="83">
        <v>438</v>
      </c>
      <c r="K104" s="83" t="s">
        <v>667</v>
      </c>
      <c r="L104" s="86">
        <v>132</v>
      </c>
      <c r="M104" s="87">
        <v>202</v>
      </c>
      <c r="N104" s="88">
        <v>2.2799999999999998</v>
      </c>
      <c r="O104" s="88">
        <v>8.1950000000000003</v>
      </c>
      <c r="P104" s="84">
        <v>198000</v>
      </c>
      <c r="Q104" s="86">
        <v>6923</v>
      </c>
      <c r="R104" s="86">
        <v>7933</v>
      </c>
      <c r="S104" s="89">
        <v>23.64</v>
      </c>
      <c r="T104" s="91">
        <v>139.6</v>
      </c>
      <c r="U104" s="86">
        <v>19160</v>
      </c>
      <c r="V104" s="84">
        <v>1252</v>
      </c>
      <c r="W104" s="84">
        <v>1937</v>
      </c>
      <c r="X104" s="91">
        <v>7.35</v>
      </c>
      <c r="Y104" s="89">
        <v>132.6</v>
      </c>
      <c r="Z104" s="89">
        <v>1554</v>
      </c>
      <c r="AA104" s="158">
        <v>13520</v>
      </c>
      <c r="AB104" s="21">
        <v>1</v>
      </c>
      <c r="AC104" s="21">
        <v>1</v>
      </c>
      <c r="AD104" s="43">
        <v>1</v>
      </c>
      <c r="AE104" s="21">
        <v>1</v>
      </c>
      <c r="AF104" s="21">
        <v>1</v>
      </c>
      <c r="AG104" s="42">
        <v>1</v>
      </c>
      <c r="AH104" s="83" t="s">
        <v>661</v>
      </c>
    </row>
    <row r="105" spans="1:34" s="66" customFormat="1" ht="13.5" customHeight="1">
      <c r="A105" s="81"/>
      <c r="B105" s="140"/>
      <c r="C105" s="83"/>
      <c r="D105" s="83"/>
      <c r="E105" s="84"/>
      <c r="F105" s="84"/>
      <c r="G105" s="90"/>
      <c r="H105" s="91"/>
      <c r="I105" s="83"/>
      <c r="J105" s="83"/>
      <c r="K105" s="83"/>
      <c r="L105" s="86"/>
      <c r="M105" s="87"/>
      <c r="N105" s="88"/>
      <c r="O105" s="88"/>
      <c r="P105" s="84"/>
      <c r="Q105" s="86"/>
      <c r="R105" s="86"/>
      <c r="S105" s="89"/>
      <c r="T105" s="91"/>
      <c r="U105" s="86"/>
      <c r="V105" s="84"/>
      <c r="W105" s="84"/>
      <c r="X105" s="91"/>
      <c r="Y105" s="89"/>
      <c r="Z105" s="89"/>
      <c r="AA105" s="158"/>
      <c r="AB105" s="21"/>
      <c r="AC105" s="21"/>
      <c r="AD105" s="43"/>
      <c r="AE105" s="21"/>
      <c r="AF105" s="21"/>
      <c r="AG105" s="42"/>
      <c r="AH105" s="83"/>
    </row>
    <row r="106" spans="1:34" s="402" customFormat="1" ht="13.5" customHeight="1">
      <c r="A106" s="387" t="s">
        <v>749</v>
      </c>
      <c r="B106" s="394">
        <v>129</v>
      </c>
      <c r="C106" s="389">
        <v>571</v>
      </c>
      <c r="D106" s="389">
        <v>300</v>
      </c>
      <c r="E106" s="390">
        <v>12</v>
      </c>
      <c r="F106" s="390">
        <v>15.5</v>
      </c>
      <c r="G106" s="391">
        <v>27</v>
      </c>
      <c r="H106" s="392">
        <v>164.1</v>
      </c>
      <c r="I106" s="389">
        <v>540</v>
      </c>
      <c r="J106" s="389">
        <v>486</v>
      </c>
      <c r="K106" s="389" t="s">
        <v>667</v>
      </c>
      <c r="L106" s="393">
        <v>122</v>
      </c>
      <c r="M106" s="394">
        <v>198</v>
      </c>
      <c r="N106" s="395">
        <v>2.2719999999999998</v>
      </c>
      <c r="O106" s="395">
        <v>17.64</v>
      </c>
      <c r="P106" s="390">
        <v>91900</v>
      </c>
      <c r="Q106" s="393">
        <v>3218</v>
      </c>
      <c r="R106" s="393">
        <v>3623</v>
      </c>
      <c r="S106" s="396">
        <v>23.66</v>
      </c>
      <c r="T106" s="392">
        <v>81.290000000000006</v>
      </c>
      <c r="U106" s="393">
        <v>6993</v>
      </c>
      <c r="V106" s="390">
        <v>466.2</v>
      </c>
      <c r="W106" s="390">
        <v>724.5</v>
      </c>
      <c r="X106" s="392">
        <v>6.53</v>
      </c>
      <c r="Y106" s="396">
        <v>74.63</v>
      </c>
      <c r="Z106" s="396">
        <v>149.80000000000001</v>
      </c>
      <c r="AA106" s="414">
        <v>5381</v>
      </c>
      <c r="AB106" s="398">
        <v>1</v>
      </c>
      <c r="AC106" s="398">
        <v>3</v>
      </c>
      <c r="AD106" s="399" t="s">
        <v>616</v>
      </c>
      <c r="AE106" s="398">
        <v>3</v>
      </c>
      <c r="AF106" s="398">
        <v>4</v>
      </c>
      <c r="AG106" s="400" t="s">
        <v>616</v>
      </c>
      <c r="AH106" s="389"/>
    </row>
    <row r="107" spans="1:34" s="66" customFormat="1" ht="13.5" customHeight="1">
      <c r="A107" s="81" t="s">
        <v>750</v>
      </c>
      <c r="B107" s="140">
        <v>178</v>
      </c>
      <c r="C107" s="83">
        <v>590</v>
      </c>
      <c r="D107" s="83">
        <v>300</v>
      </c>
      <c r="E107" s="84">
        <v>13</v>
      </c>
      <c r="F107" s="84">
        <v>25</v>
      </c>
      <c r="G107" s="90">
        <v>27</v>
      </c>
      <c r="H107" s="91">
        <v>226.5</v>
      </c>
      <c r="I107" s="83">
        <v>540</v>
      </c>
      <c r="J107" s="83">
        <v>486</v>
      </c>
      <c r="K107" s="83" t="s">
        <v>667</v>
      </c>
      <c r="L107" s="86">
        <v>122</v>
      </c>
      <c r="M107" s="87">
        <v>198</v>
      </c>
      <c r="N107" s="88">
        <v>2.3079999999999998</v>
      </c>
      <c r="O107" s="88">
        <v>12.98</v>
      </c>
      <c r="P107" s="84">
        <v>141200</v>
      </c>
      <c r="Q107" s="86">
        <v>4787</v>
      </c>
      <c r="R107" s="86">
        <v>5350</v>
      </c>
      <c r="S107" s="89">
        <v>24.97</v>
      </c>
      <c r="T107" s="91">
        <v>93.21</v>
      </c>
      <c r="U107" s="86">
        <v>11270</v>
      </c>
      <c r="V107" s="84">
        <v>751.4</v>
      </c>
      <c r="W107" s="84">
        <v>1156</v>
      </c>
      <c r="X107" s="91">
        <v>7.05</v>
      </c>
      <c r="Y107" s="89">
        <v>94.63</v>
      </c>
      <c r="Z107" s="89">
        <v>397.8</v>
      </c>
      <c r="AA107" s="158">
        <v>8978</v>
      </c>
      <c r="AB107" s="21">
        <v>1</v>
      </c>
      <c r="AC107" s="21">
        <v>1</v>
      </c>
      <c r="AD107" s="43">
        <v>1</v>
      </c>
      <c r="AE107" s="21">
        <v>2</v>
      </c>
      <c r="AF107" s="21">
        <v>4</v>
      </c>
      <c r="AG107" s="42">
        <v>4</v>
      </c>
      <c r="AH107" s="83" t="s">
        <v>661</v>
      </c>
    </row>
    <row r="108" spans="1:34" s="402" customFormat="1" ht="13.5" customHeight="1">
      <c r="A108" s="404" t="s">
        <v>751</v>
      </c>
      <c r="B108" s="409">
        <v>212</v>
      </c>
      <c r="C108" s="398">
        <v>600</v>
      </c>
      <c r="D108" s="398">
        <v>300</v>
      </c>
      <c r="E108" s="406">
        <v>15.5</v>
      </c>
      <c r="F108" s="406">
        <v>30</v>
      </c>
      <c r="G108" s="399">
        <v>27</v>
      </c>
      <c r="H108" s="407">
        <v>270</v>
      </c>
      <c r="I108" s="398">
        <v>540</v>
      </c>
      <c r="J108" s="398">
        <v>486</v>
      </c>
      <c r="K108" s="398" t="s">
        <v>667</v>
      </c>
      <c r="L108" s="408">
        <v>126</v>
      </c>
      <c r="M108" s="409">
        <v>198</v>
      </c>
      <c r="N108" s="410">
        <v>2.323</v>
      </c>
      <c r="O108" s="410">
        <v>10.96</v>
      </c>
      <c r="P108" s="406">
        <v>171000</v>
      </c>
      <c r="Q108" s="408">
        <v>5701</v>
      </c>
      <c r="R108" s="408">
        <v>6425</v>
      </c>
      <c r="S108" s="411">
        <v>25.17</v>
      </c>
      <c r="T108" s="407">
        <v>110.8</v>
      </c>
      <c r="U108" s="408">
        <v>13530</v>
      </c>
      <c r="V108" s="406">
        <v>902</v>
      </c>
      <c r="W108" s="406">
        <v>1391</v>
      </c>
      <c r="X108" s="407">
        <v>7.08</v>
      </c>
      <c r="Y108" s="396">
        <v>107.1</v>
      </c>
      <c r="Z108" s="396">
        <v>667.2</v>
      </c>
      <c r="AA108" s="414">
        <v>10970</v>
      </c>
      <c r="AB108" s="398">
        <v>1</v>
      </c>
      <c r="AC108" s="398">
        <v>1</v>
      </c>
      <c r="AD108" s="399">
        <v>1</v>
      </c>
      <c r="AE108" s="398">
        <v>1</v>
      </c>
      <c r="AF108" s="398">
        <v>3</v>
      </c>
      <c r="AG108" s="400">
        <v>4</v>
      </c>
      <c r="AH108" s="398" t="s">
        <v>661</v>
      </c>
    </row>
    <row r="109" spans="1:34" s="66" customFormat="1" ht="13.5" customHeight="1">
      <c r="A109" s="33" t="s">
        <v>752</v>
      </c>
      <c r="B109" s="44">
        <v>285</v>
      </c>
      <c r="C109" s="21">
        <v>620</v>
      </c>
      <c r="D109" s="21">
        <v>305</v>
      </c>
      <c r="E109" s="36">
        <v>21</v>
      </c>
      <c r="F109" s="36">
        <v>40</v>
      </c>
      <c r="G109" s="43">
        <v>27</v>
      </c>
      <c r="H109" s="41">
        <v>363.7</v>
      </c>
      <c r="I109" s="21">
        <v>540</v>
      </c>
      <c r="J109" s="21">
        <v>486</v>
      </c>
      <c r="K109" s="21" t="s">
        <v>667</v>
      </c>
      <c r="L109" s="35">
        <v>132</v>
      </c>
      <c r="M109" s="38">
        <v>200</v>
      </c>
      <c r="N109" s="39">
        <v>2.3719999999999999</v>
      </c>
      <c r="O109" s="39">
        <v>8.3079999999999998</v>
      </c>
      <c r="P109" s="36">
        <v>237400</v>
      </c>
      <c r="Q109" s="35">
        <v>7660</v>
      </c>
      <c r="R109" s="35">
        <v>8772</v>
      </c>
      <c r="S109" s="40">
        <v>25.55</v>
      </c>
      <c r="T109" s="41">
        <v>149.69999999999999</v>
      </c>
      <c r="U109" s="35">
        <v>18980</v>
      </c>
      <c r="V109" s="36">
        <v>1244</v>
      </c>
      <c r="W109" s="36">
        <v>1930</v>
      </c>
      <c r="X109" s="41">
        <v>7.22</v>
      </c>
      <c r="Y109" s="89">
        <v>132.6</v>
      </c>
      <c r="Z109" s="89">
        <v>1564</v>
      </c>
      <c r="AA109" s="158">
        <v>15910</v>
      </c>
      <c r="AB109" s="21">
        <v>1</v>
      </c>
      <c r="AC109" s="21">
        <v>1</v>
      </c>
      <c r="AD109" s="43">
        <v>1</v>
      </c>
      <c r="AE109" s="21">
        <v>1</v>
      </c>
      <c r="AF109" s="21">
        <v>1</v>
      </c>
      <c r="AG109" s="42">
        <v>1</v>
      </c>
      <c r="AH109" s="21" t="s">
        <v>661</v>
      </c>
    </row>
    <row r="110" spans="1:34" s="402" customFormat="1" ht="13.5" customHeight="1">
      <c r="A110" s="404" t="s">
        <v>753</v>
      </c>
      <c r="B110" s="409">
        <v>337</v>
      </c>
      <c r="C110" s="398">
        <v>632</v>
      </c>
      <c r="D110" s="398">
        <v>310</v>
      </c>
      <c r="E110" s="406">
        <v>25.5</v>
      </c>
      <c r="F110" s="406">
        <v>46</v>
      </c>
      <c r="G110" s="399">
        <v>27</v>
      </c>
      <c r="H110" s="407">
        <v>429.2</v>
      </c>
      <c r="I110" s="398">
        <v>540</v>
      </c>
      <c r="J110" s="398">
        <v>486</v>
      </c>
      <c r="K110" s="398" t="s">
        <v>667</v>
      </c>
      <c r="L110" s="408">
        <v>138</v>
      </c>
      <c r="M110" s="409">
        <v>202</v>
      </c>
      <c r="N110" s="410">
        <v>2.407</v>
      </c>
      <c r="O110" s="410">
        <v>7.1440000000000001</v>
      </c>
      <c r="P110" s="406">
        <v>283200</v>
      </c>
      <c r="Q110" s="408">
        <v>8961</v>
      </c>
      <c r="R110" s="408">
        <v>10380</v>
      </c>
      <c r="S110" s="411">
        <v>25.69</v>
      </c>
      <c r="T110" s="407">
        <v>180.5</v>
      </c>
      <c r="U110" s="408">
        <v>22940</v>
      </c>
      <c r="V110" s="406">
        <v>1480</v>
      </c>
      <c r="W110" s="406">
        <v>2310</v>
      </c>
      <c r="X110" s="407">
        <v>7.31</v>
      </c>
      <c r="Y110" s="396">
        <v>149.1</v>
      </c>
      <c r="Z110" s="396">
        <v>2451</v>
      </c>
      <c r="AA110" s="414">
        <v>19610</v>
      </c>
      <c r="AB110" s="398">
        <v>1</v>
      </c>
      <c r="AC110" s="398">
        <v>1</v>
      </c>
      <c r="AD110" s="399">
        <v>1</v>
      </c>
      <c r="AE110" s="398">
        <v>1</v>
      </c>
      <c r="AF110" s="398">
        <v>1</v>
      </c>
      <c r="AG110" s="400">
        <v>1</v>
      </c>
      <c r="AH110" s="389" t="s">
        <v>661</v>
      </c>
    </row>
    <row r="111" spans="1:34" s="159" customFormat="1" ht="13.5" customHeight="1">
      <c r="A111" s="33" t="s">
        <v>754</v>
      </c>
      <c r="B111" s="44">
        <v>399</v>
      </c>
      <c r="C111" s="21">
        <v>648</v>
      </c>
      <c r="D111" s="21">
        <v>315</v>
      </c>
      <c r="E111" s="36">
        <v>30</v>
      </c>
      <c r="F111" s="36">
        <v>54</v>
      </c>
      <c r="G111" s="43">
        <v>27</v>
      </c>
      <c r="H111" s="41">
        <v>508.5</v>
      </c>
      <c r="I111" s="21">
        <v>540</v>
      </c>
      <c r="J111" s="21">
        <v>486</v>
      </c>
      <c r="K111" s="21" t="s">
        <v>667</v>
      </c>
      <c r="L111" s="35">
        <v>142</v>
      </c>
      <c r="M111" s="38">
        <v>208</v>
      </c>
      <c r="N111" s="39">
        <v>2.4500000000000002</v>
      </c>
      <c r="O111" s="39">
        <v>6.1369999999999996</v>
      </c>
      <c r="P111" s="36">
        <v>344600</v>
      </c>
      <c r="Q111" s="35">
        <v>10640</v>
      </c>
      <c r="R111" s="35">
        <v>12460</v>
      </c>
      <c r="S111" s="40">
        <v>26.03</v>
      </c>
      <c r="T111" s="41">
        <v>213.6</v>
      </c>
      <c r="U111" s="35">
        <v>28280</v>
      </c>
      <c r="V111" s="36">
        <v>1796</v>
      </c>
      <c r="W111" s="36">
        <v>2814</v>
      </c>
      <c r="X111" s="41">
        <v>7.46</v>
      </c>
      <c r="Y111" s="89">
        <v>169.6</v>
      </c>
      <c r="Z111" s="89">
        <v>3966</v>
      </c>
      <c r="AA111" s="158">
        <v>24810</v>
      </c>
      <c r="AB111" s="21">
        <v>1</v>
      </c>
      <c r="AC111" s="21">
        <v>1</v>
      </c>
      <c r="AD111" s="43">
        <v>1</v>
      </c>
      <c r="AE111" s="21">
        <v>1</v>
      </c>
      <c r="AF111" s="21">
        <v>1</v>
      </c>
      <c r="AG111" s="42">
        <v>1</v>
      </c>
      <c r="AH111" s="83" t="s">
        <v>661</v>
      </c>
    </row>
    <row r="112" spans="1:34" s="159" customFormat="1" ht="13.5" customHeight="1">
      <c r="A112" s="33"/>
      <c r="B112" s="44"/>
      <c r="C112" s="21"/>
      <c r="D112" s="21"/>
      <c r="E112" s="36"/>
      <c r="F112" s="36"/>
      <c r="G112" s="43"/>
      <c r="H112" s="41"/>
      <c r="I112" s="21"/>
      <c r="J112" s="21"/>
      <c r="K112" s="21"/>
      <c r="L112" s="35"/>
      <c r="M112" s="38"/>
      <c r="N112" s="39"/>
      <c r="O112" s="39"/>
      <c r="P112" s="36"/>
      <c r="Q112" s="35"/>
      <c r="R112" s="35"/>
      <c r="S112" s="40"/>
      <c r="T112" s="41"/>
      <c r="U112" s="35"/>
      <c r="V112" s="36"/>
      <c r="W112" s="36"/>
      <c r="X112" s="41"/>
      <c r="Y112" s="89"/>
      <c r="Z112" s="89"/>
      <c r="AA112" s="158"/>
      <c r="AB112" s="21"/>
      <c r="AC112" s="21"/>
      <c r="AD112" s="43"/>
      <c r="AE112" s="21"/>
      <c r="AF112" s="21"/>
      <c r="AG112" s="42"/>
      <c r="AH112" s="83"/>
    </row>
    <row r="113" spans="1:34" s="402" customFormat="1" ht="13.5" customHeight="1">
      <c r="A113" s="404" t="s">
        <v>755</v>
      </c>
      <c r="B113" s="409">
        <v>138</v>
      </c>
      <c r="C113" s="398">
        <v>620</v>
      </c>
      <c r="D113" s="398">
        <v>300</v>
      </c>
      <c r="E113" s="406">
        <v>12.5</v>
      </c>
      <c r="F113" s="406">
        <v>16</v>
      </c>
      <c r="G113" s="399">
        <v>27</v>
      </c>
      <c r="H113" s="407">
        <v>175.8</v>
      </c>
      <c r="I113" s="398">
        <v>588</v>
      </c>
      <c r="J113" s="398">
        <v>534</v>
      </c>
      <c r="K113" s="398" t="s">
        <v>667</v>
      </c>
      <c r="L113" s="408">
        <v>122</v>
      </c>
      <c r="M113" s="409">
        <v>198</v>
      </c>
      <c r="N113" s="410">
        <v>2.3690000000000002</v>
      </c>
      <c r="O113" s="410">
        <v>17.170000000000002</v>
      </c>
      <c r="P113" s="406">
        <v>113900</v>
      </c>
      <c r="Q113" s="408">
        <v>3676</v>
      </c>
      <c r="R113" s="408">
        <v>4160</v>
      </c>
      <c r="S113" s="411">
        <v>25.46</v>
      </c>
      <c r="T113" s="407">
        <v>90.4</v>
      </c>
      <c r="U113" s="408">
        <v>7221</v>
      </c>
      <c r="V113" s="406">
        <v>481.4</v>
      </c>
      <c r="W113" s="406">
        <v>750.7</v>
      </c>
      <c r="X113" s="407">
        <v>6.41</v>
      </c>
      <c r="Y113" s="396">
        <v>76.13</v>
      </c>
      <c r="Z113" s="396">
        <v>167.5</v>
      </c>
      <c r="AA113" s="414">
        <v>6567</v>
      </c>
      <c r="AB113" s="398">
        <v>1</v>
      </c>
      <c r="AC113" s="398">
        <v>3</v>
      </c>
      <c r="AD113" s="399" t="s">
        <v>616</v>
      </c>
      <c r="AE113" s="398">
        <v>4</v>
      </c>
      <c r="AF113" s="398">
        <v>4</v>
      </c>
      <c r="AG113" s="400" t="s">
        <v>616</v>
      </c>
      <c r="AH113" s="389"/>
    </row>
    <row r="114" spans="1:34" s="66" customFormat="1" ht="13.5" customHeight="1">
      <c r="A114" s="33" t="s">
        <v>756</v>
      </c>
      <c r="B114" s="44">
        <v>190</v>
      </c>
      <c r="C114" s="21">
        <v>640</v>
      </c>
      <c r="D114" s="21">
        <v>300</v>
      </c>
      <c r="E114" s="36">
        <v>13.5</v>
      </c>
      <c r="F114" s="36">
        <v>26</v>
      </c>
      <c r="G114" s="43">
        <v>27</v>
      </c>
      <c r="H114" s="41">
        <v>241.6</v>
      </c>
      <c r="I114" s="21">
        <v>588</v>
      </c>
      <c r="J114" s="21">
        <v>534</v>
      </c>
      <c r="K114" s="21" t="s">
        <v>667</v>
      </c>
      <c r="L114" s="35">
        <v>124</v>
      </c>
      <c r="M114" s="38">
        <v>198</v>
      </c>
      <c r="N114" s="39">
        <v>2.407</v>
      </c>
      <c r="O114" s="39">
        <v>12.69</v>
      </c>
      <c r="P114" s="36">
        <v>175200</v>
      </c>
      <c r="Q114" s="35">
        <v>5474</v>
      </c>
      <c r="R114" s="35">
        <v>6136</v>
      </c>
      <c r="S114" s="40">
        <v>26.93</v>
      </c>
      <c r="T114" s="41">
        <v>103.2</v>
      </c>
      <c r="U114" s="35">
        <v>11720</v>
      </c>
      <c r="V114" s="36">
        <v>781.6</v>
      </c>
      <c r="W114" s="36">
        <v>1205</v>
      </c>
      <c r="X114" s="41">
        <v>6.97</v>
      </c>
      <c r="Y114" s="89">
        <v>97.13</v>
      </c>
      <c r="Z114" s="89">
        <v>448.3</v>
      </c>
      <c r="AA114" s="158">
        <v>11030</v>
      </c>
      <c r="AB114" s="21">
        <v>1</v>
      </c>
      <c r="AC114" s="21">
        <v>1</v>
      </c>
      <c r="AD114" s="43">
        <v>1</v>
      </c>
      <c r="AE114" s="21">
        <v>3</v>
      </c>
      <c r="AF114" s="21">
        <v>4</v>
      </c>
      <c r="AG114" s="42">
        <v>4</v>
      </c>
      <c r="AH114" s="21" t="s">
        <v>661</v>
      </c>
    </row>
    <row r="115" spans="1:34" s="402" customFormat="1" ht="13.5" customHeight="1">
      <c r="A115" s="404" t="s">
        <v>757</v>
      </c>
      <c r="B115" s="409">
        <v>225</v>
      </c>
      <c r="C115" s="398">
        <v>650</v>
      </c>
      <c r="D115" s="398">
        <v>300</v>
      </c>
      <c r="E115" s="406">
        <v>16</v>
      </c>
      <c r="F115" s="406">
        <v>31</v>
      </c>
      <c r="G115" s="399">
        <v>27</v>
      </c>
      <c r="H115" s="407">
        <v>286.3</v>
      </c>
      <c r="I115" s="398">
        <v>588</v>
      </c>
      <c r="J115" s="398">
        <v>534</v>
      </c>
      <c r="K115" s="398" t="s">
        <v>667</v>
      </c>
      <c r="L115" s="408">
        <v>126</v>
      </c>
      <c r="M115" s="409">
        <v>198</v>
      </c>
      <c r="N115" s="410">
        <v>2.4220000000000002</v>
      </c>
      <c r="O115" s="410">
        <v>10.77</v>
      </c>
      <c r="P115" s="406">
        <v>210600</v>
      </c>
      <c r="Q115" s="408">
        <v>6480</v>
      </c>
      <c r="R115" s="408">
        <v>7320</v>
      </c>
      <c r="S115" s="411">
        <v>27.12</v>
      </c>
      <c r="T115" s="407">
        <v>122</v>
      </c>
      <c r="U115" s="408">
        <v>13980</v>
      </c>
      <c r="V115" s="406">
        <v>932.3</v>
      </c>
      <c r="W115" s="406">
        <v>1441</v>
      </c>
      <c r="X115" s="407">
        <v>6.99</v>
      </c>
      <c r="Y115" s="396">
        <v>109.6</v>
      </c>
      <c r="Z115" s="396">
        <v>739.2</v>
      </c>
      <c r="AA115" s="414">
        <v>13360</v>
      </c>
      <c r="AB115" s="398">
        <v>1</v>
      </c>
      <c r="AC115" s="398">
        <v>1</v>
      </c>
      <c r="AD115" s="399">
        <v>1</v>
      </c>
      <c r="AE115" s="398">
        <v>2</v>
      </c>
      <c r="AF115" s="398">
        <v>3</v>
      </c>
      <c r="AG115" s="400">
        <v>4</v>
      </c>
      <c r="AH115" s="398" t="s">
        <v>661</v>
      </c>
    </row>
    <row r="116" spans="1:34" s="66" customFormat="1" ht="13.5" customHeight="1">
      <c r="A116" s="33" t="s">
        <v>758</v>
      </c>
      <c r="B116" s="44">
        <v>293</v>
      </c>
      <c r="C116" s="21">
        <v>668</v>
      </c>
      <c r="D116" s="21">
        <v>305</v>
      </c>
      <c r="E116" s="36">
        <v>21</v>
      </c>
      <c r="F116" s="36">
        <v>40</v>
      </c>
      <c r="G116" s="43">
        <v>27</v>
      </c>
      <c r="H116" s="41">
        <v>373.7</v>
      </c>
      <c r="I116" s="21">
        <v>588</v>
      </c>
      <c r="J116" s="21">
        <v>534</v>
      </c>
      <c r="K116" s="21" t="s">
        <v>667</v>
      </c>
      <c r="L116" s="35">
        <v>132</v>
      </c>
      <c r="M116" s="38">
        <v>200</v>
      </c>
      <c r="N116" s="39">
        <v>2.468</v>
      </c>
      <c r="O116" s="39">
        <v>8.4109999999999996</v>
      </c>
      <c r="P116" s="36">
        <v>281700</v>
      </c>
      <c r="Q116" s="35">
        <v>8433</v>
      </c>
      <c r="R116" s="35">
        <v>9657</v>
      </c>
      <c r="S116" s="40">
        <v>27.45</v>
      </c>
      <c r="T116" s="41">
        <v>159.69999999999999</v>
      </c>
      <c r="U116" s="35">
        <v>18980</v>
      </c>
      <c r="V116" s="36">
        <v>1245</v>
      </c>
      <c r="W116" s="36">
        <v>1936</v>
      </c>
      <c r="X116" s="41">
        <v>7.13</v>
      </c>
      <c r="Y116" s="89">
        <v>132.6</v>
      </c>
      <c r="Z116" s="89">
        <v>1579</v>
      </c>
      <c r="AA116" s="158">
        <v>18650</v>
      </c>
      <c r="AB116" s="21">
        <v>1</v>
      </c>
      <c r="AC116" s="21">
        <v>1</v>
      </c>
      <c r="AD116" s="43">
        <v>1</v>
      </c>
      <c r="AE116" s="21">
        <v>1</v>
      </c>
      <c r="AF116" s="21">
        <v>1</v>
      </c>
      <c r="AG116" s="42">
        <v>2</v>
      </c>
      <c r="AH116" s="83" t="s">
        <v>661</v>
      </c>
    </row>
    <row r="117" spans="1:34" s="415" customFormat="1" ht="13.5" customHeight="1">
      <c r="A117" s="404" t="s">
        <v>759</v>
      </c>
      <c r="B117" s="409">
        <v>343</v>
      </c>
      <c r="C117" s="398">
        <v>680</v>
      </c>
      <c r="D117" s="398">
        <v>309</v>
      </c>
      <c r="E117" s="406">
        <v>25</v>
      </c>
      <c r="F117" s="406">
        <v>46</v>
      </c>
      <c r="G117" s="399">
        <v>27</v>
      </c>
      <c r="H117" s="407">
        <v>437.5</v>
      </c>
      <c r="I117" s="398">
        <v>588</v>
      </c>
      <c r="J117" s="398">
        <v>534</v>
      </c>
      <c r="K117" s="398" t="s">
        <v>667</v>
      </c>
      <c r="L117" s="408">
        <v>138</v>
      </c>
      <c r="M117" s="409">
        <v>202</v>
      </c>
      <c r="N117" s="410">
        <v>2.5</v>
      </c>
      <c r="O117" s="410">
        <v>7.2779999999999996</v>
      </c>
      <c r="P117" s="406">
        <v>333700</v>
      </c>
      <c r="Q117" s="408">
        <v>9815</v>
      </c>
      <c r="R117" s="408">
        <v>11350</v>
      </c>
      <c r="S117" s="411">
        <v>27.62</v>
      </c>
      <c r="T117" s="407">
        <v>189.6</v>
      </c>
      <c r="U117" s="408">
        <v>22720</v>
      </c>
      <c r="V117" s="406">
        <v>1470</v>
      </c>
      <c r="W117" s="406">
        <v>2300</v>
      </c>
      <c r="X117" s="407">
        <v>7.21</v>
      </c>
      <c r="Y117" s="396">
        <v>148.6</v>
      </c>
      <c r="Z117" s="396">
        <v>2442</v>
      </c>
      <c r="AA117" s="414">
        <v>22730</v>
      </c>
      <c r="AB117" s="398">
        <v>1</v>
      </c>
      <c r="AC117" s="398">
        <v>1</v>
      </c>
      <c r="AD117" s="399">
        <v>1</v>
      </c>
      <c r="AE117" s="398">
        <v>1</v>
      </c>
      <c r="AF117" s="398">
        <v>1</v>
      </c>
      <c r="AG117" s="400">
        <v>1</v>
      </c>
      <c r="AH117" s="389" t="s">
        <v>661</v>
      </c>
    </row>
    <row r="118" spans="1:34" s="159" customFormat="1" ht="13.5" customHeight="1">
      <c r="A118" s="33" t="s">
        <v>760</v>
      </c>
      <c r="B118" s="44">
        <v>407</v>
      </c>
      <c r="C118" s="21">
        <v>696</v>
      </c>
      <c r="D118" s="21">
        <v>314</v>
      </c>
      <c r="E118" s="36">
        <v>29.5</v>
      </c>
      <c r="F118" s="36">
        <v>54</v>
      </c>
      <c r="G118" s="43">
        <v>27</v>
      </c>
      <c r="H118" s="41">
        <v>518.79999999999995</v>
      </c>
      <c r="I118" s="21">
        <v>588</v>
      </c>
      <c r="J118" s="21">
        <v>534</v>
      </c>
      <c r="K118" s="21" t="s">
        <v>667</v>
      </c>
      <c r="L118" s="35">
        <v>142</v>
      </c>
      <c r="M118" s="38">
        <v>206</v>
      </c>
      <c r="N118" s="39">
        <v>2.5430000000000001</v>
      </c>
      <c r="O118" s="39">
        <v>6.2430000000000003</v>
      </c>
      <c r="P118" s="36">
        <v>405400</v>
      </c>
      <c r="Q118" s="35">
        <v>11650</v>
      </c>
      <c r="R118" s="35">
        <v>13620</v>
      </c>
      <c r="S118" s="40">
        <v>27.95</v>
      </c>
      <c r="T118" s="41">
        <v>224.8</v>
      </c>
      <c r="U118" s="35">
        <v>28020</v>
      </c>
      <c r="V118" s="36">
        <v>1785</v>
      </c>
      <c r="W118" s="36">
        <v>2803</v>
      </c>
      <c r="X118" s="41">
        <v>7.35</v>
      </c>
      <c r="Y118" s="89">
        <v>169.1</v>
      </c>
      <c r="Z118" s="89">
        <v>3958</v>
      </c>
      <c r="AA118" s="158">
        <v>28710</v>
      </c>
      <c r="AB118" s="21">
        <v>1</v>
      </c>
      <c r="AC118" s="21">
        <v>1</v>
      </c>
      <c r="AD118" s="43">
        <v>1</v>
      </c>
      <c r="AE118" s="21">
        <v>1</v>
      </c>
      <c r="AF118" s="21">
        <v>1</v>
      </c>
      <c r="AG118" s="42">
        <v>1</v>
      </c>
      <c r="AH118" s="83" t="s">
        <v>661</v>
      </c>
    </row>
    <row r="119" spans="1:34" s="66" customFormat="1" ht="13.5" customHeight="1">
      <c r="A119" s="33"/>
      <c r="B119" s="44"/>
      <c r="C119" s="21"/>
      <c r="D119" s="21"/>
      <c r="E119" s="36"/>
      <c r="F119" s="36"/>
      <c r="G119" s="43"/>
      <c r="H119" s="41"/>
      <c r="I119" s="21"/>
      <c r="J119" s="21"/>
      <c r="K119" s="21"/>
      <c r="L119" s="35"/>
      <c r="M119" s="38"/>
      <c r="N119" s="39"/>
      <c r="O119" s="39"/>
      <c r="P119" s="36"/>
      <c r="Q119" s="35"/>
      <c r="R119" s="35"/>
      <c r="S119" s="40"/>
      <c r="T119" s="41"/>
      <c r="U119" s="35"/>
      <c r="V119" s="36"/>
      <c r="W119" s="36"/>
      <c r="X119" s="41"/>
      <c r="Y119" s="89"/>
      <c r="Z119" s="89"/>
      <c r="AA119" s="158"/>
      <c r="AB119" s="21"/>
      <c r="AC119" s="21"/>
      <c r="AD119" s="43"/>
      <c r="AE119" s="21"/>
      <c r="AF119" s="21"/>
      <c r="AG119" s="42"/>
      <c r="AH119" s="83"/>
    </row>
    <row r="120" spans="1:34" s="402" customFormat="1" ht="13.5" customHeight="1">
      <c r="A120" s="404" t="s">
        <v>761</v>
      </c>
      <c r="B120" s="409">
        <v>150</v>
      </c>
      <c r="C120" s="398">
        <v>670</v>
      </c>
      <c r="D120" s="398">
        <v>300</v>
      </c>
      <c r="E120" s="406">
        <v>13</v>
      </c>
      <c r="F120" s="406">
        <v>17</v>
      </c>
      <c r="G120" s="399">
        <v>27</v>
      </c>
      <c r="H120" s="407">
        <v>190.9</v>
      </c>
      <c r="I120" s="398">
        <v>636</v>
      </c>
      <c r="J120" s="398">
        <v>582</v>
      </c>
      <c r="K120" s="398" t="s">
        <v>667</v>
      </c>
      <c r="L120" s="408">
        <v>122</v>
      </c>
      <c r="M120" s="409">
        <v>198</v>
      </c>
      <c r="N120" s="410">
        <v>2.468</v>
      </c>
      <c r="O120" s="410">
        <v>16.46</v>
      </c>
      <c r="P120" s="406">
        <v>142700</v>
      </c>
      <c r="Q120" s="408">
        <v>4260</v>
      </c>
      <c r="R120" s="408">
        <v>4840</v>
      </c>
      <c r="S120" s="411">
        <v>27.34</v>
      </c>
      <c r="T120" s="407">
        <v>100.3</v>
      </c>
      <c r="U120" s="408">
        <v>7673</v>
      </c>
      <c r="V120" s="406">
        <v>511.5</v>
      </c>
      <c r="W120" s="406">
        <v>799.7</v>
      </c>
      <c r="X120" s="407">
        <v>6.34</v>
      </c>
      <c r="Y120" s="396">
        <v>78.63</v>
      </c>
      <c r="Z120" s="396">
        <v>195.2</v>
      </c>
      <c r="AA120" s="414">
        <v>8155</v>
      </c>
      <c r="AB120" s="398">
        <v>1</v>
      </c>
      <c r="AC120" s="398">
        <v>2</v>
      </c>
      <c r="AD120" s="399" t="s">
        <v>616</v>
      </c>
      <c r="AE120" s="398">
        <v>4</v>
      </c>
      <c r="AF120" s="398">
        <v>4</v>
      </c>
      <c r="AG120" s="400" t="s">
        <v>616</v>
      </c>
      <c r="AH120" s="398"/>
    </row>
    <row r="121" spans="1:34" s="66" customFormat="1" ht="13.5" customHeight="1">
      <c r="A121" s="33" t="s">
        <v>762</v>
      </c>
      <c r="B121" s="44">
        <v>204</v>
      </c>
      <c r="C121" s="21">
        <v>690</v>
      </c>
      <c r="D121" s="21">
        <v>300</v>
      </c>
      <c r="E121" s="36">
        <v>14.5</v>
      </c>
      <c r="F121" s="36">
        <v>27</v>
      </c>
      <c r="G121" s="43">
        <v>27</v>
      </c>
      <c r="H121" s="41">
        <v>260.5</v>
      </c>
      <c r="I121" s="21">
        <v>636</v>
      </c>
      <c r="J121" s="21">
        <v>582</v>
      </c>
      <c r="K121" s="21" t="s">
        <v>667</v>
      </c>
      <c r="L121" s="35">
        <v>124</v>
      </c>
      <c r="M121" s="38">
        <v>198</v>
      </c>
      <c r="N121" s="39">
        <v>2.5049999999999999</v>
      </c>
      <c r="O121" s="39">
        <v>12.25</v>
      </c>
      <c r="P121" s="36">
        <v>215300</v>
      </c>
      <c r="Q121" s="35">
        <v>6241</v>
      </c>
      <c r="R121" s="35">
        <v>7032</v>
      </c>
      <c r="S121" s="40">
        <v>28.75</v>
      </c>
      <c r="T121" s="41">
        <v>117</v>
      </c>
      <c r="U121" s="35">
        <v>12180</v>
      </c>
      <c r="V121" s="36">
        <v>811.9</v>
      </c>
      <c r="W121" s="36">
        <v>1257</v>
      </c>
      <c r="X121" s="41">
        <v>6.84</v>
      </c>
      <c r="Y121" s="89">
        <v>100.1</v>
      </c>
      <c r="Z121" s="89">
        <v>513.9</v>
      </c>
      <c r="AA121" s="158">
        <v>13350</v>
      </c>
      <c r="AB121" s="21">
        <v>1</v>
      </c>
      <c r="AC121" s="21">
        <v>1</v>
      </c>
      <c r="AD121" s="43">
        <v>1</v>
      </c>
      <c r="AE121" s="21">
        <v>3</v>
      </c>
      <c r="AF121" s="21">
        <v>4</v>
      </c>
      <c r="AG121" s="42">
        <v>4</v>
      </c>
      <c r="AH121" s="21" t="s">
        <v>661</v>
      </c>
    </row>
    <row r="122" spans="1:34" s="402" customFormat="1" ht="13.5" customHeight="1">
      <c r="A122" s="387" t="s">
        <v>763</v>
      </c>
      <c r="B122" s="394">
        <v>241</v>
      </c>
      <c r="C122" s="389">
        <v>700</v>
      </c>
      <c r="D122" s="389">
        <v>300</v>
      </c>
      <c r="E122" s="390">
        <v>17</v>
      </c>
      <c r="F122" s="390">
        <v>32</v>
      </c>
      <c r="G122" s="391">
        <v>27</v>
      </c>
      <c r="H122" s="392">
        <v>306.39999999999998</v>
      </c>
      <c r="I122" s="389">
        <v>636</v>
      </c>
      <c r="J122" s="389">
        <v>582</v>
      </c>
      <c r="K122" s="389" t="s">
        <v>667</v>
      </c>
      <c r="L122" s="393">
        <v>126</v>
      </c>
      <c r="M122" s="394">
        <v>198</v>
      </c>
      <c r="N122" s="395">
        <v>2.52</v>
      </c>
      <c r="O122" s="395">
        <v>10.48</v>
      </c>
      <c r="P122" s="390">
        <v>256900</v>
      </c>
      <c r="Q122" s="393">
        <v>7340</v>
      </c>
      <c r="R122" s="393">
        <v>8327</v>
      </c>
      <c r="S122" s="396">
        <v>28.96</v>
      </c>
      <c r="T122" s="392">
        <v>137.1</v>
      </c>
      <c r="U122" s="393">
        <v>14440</v>
      </c>
      <c r="V122" s="390">
        <v>962.7</v>
      </c>
      <c r="W122" s="390">
        <v>1495</v>
      </c>
      <c r="X122" s="392">
        <v>6.87</v>
      </c>
      <c r="Y122" s="396">
        <v>112.6</v>
      </c>
      <c r="Z122" s="396">
        <v>830.9</v>
      </c>
      <c r="AA122" s="414">
        <v>16060</v>
      </c>
      <c r="AB122" s="398">
        <v>1</v>
      </c>
      <c r="AC122" s="398">
        <v>1</v>
      </c>
      <c r="AD122" s="399">
        <v>1</v>
      </c>
      <c r="AE122" s="398">
        <v>2</v>
      </c>
      <c r="AF122" s="398">
        <v>4</v>
      </c>
      <c r="AG122" s="400">
        <v>4</v>
      </c>
      <c r="AH122" s="389" t="s">
        <v>661</v>
      </c>
    </row>
    <row r="123" spans="1:34" s="159" customFormat="1" ht="13.5" customHeight="1">
      <c r="A123" s="81" t="s">
        <v>764</v>
      </c>
      <c r="B123" s="140">
        <v>301</v>
      </c>
      <c r="C123" s="83">
        <v>716</v>
      </c>
      <c r="D123" s="83">
        <v>304</v>
      </c>
      <c r="E123" s="84">
        <v>21</v>
      </c>
      <c r="F123" s="84">
        <v>40</v>
      </c>
      <c r="G123" s="90">
        <v>27</v>
      </c>
      <c r="H123" s="91">
        <v>383</v>
      </c>
      <c r="I123" s="83">
        <v>636</v>
      </c>
      <c r="J123" s="83">
        <v>582</v>
      </c>
      <c r="K123" s="83" t="s">
        <v>667</v>
      </c>
      <c r="L123" s="86">
        <v>132</v>
      </c>
      <c r="M123" s="87">
        <v>200</v>
      </c>
      <c r="N123" s="88">
        <v>2.56</v>
      </c>
      <c r="O123" s="88">
        <v>8.5129999999999999</v>
      </c>
      <c r="P123" s="84">
        <v>329300</v>
      </c>
      <c r="Q123" s="86">
        <v>9198</v>
      </c>
      <c r="R123" s="86">
        <v>10540</v>
      </c>
      <c r="S123" s="89">
        <v>29.32</v>
      </c>
      <c r="T123" s="91">
        <v>169.8</v>
      </c>
      <c r="U123" s="86">
        <v>18800</v>
      </c>
      <c r="V123" s="84">
        <v>1237</v>
      </c>
      <c r="W123" s="84">
        <v>1929</v>
      </c>
      <c r="X123" s="91">
        <v>7.01</v>
      </c>
      <c r="Y123" s="89">
        <v>132.6</v>
      </c>
      <c r="Z123" s="89">
        <v>1589</v>
      </c>
      <c r="AA123" s="158">
        <v>21400</v>
      </c>
      <c r="AB123" s="21">
        <v>1</v>
      </c>
      <c r="AC123" s="21">
        <v>1</v>
      </c>
      <c r="AD123" s="43">
        <v>1</v>
      </c>
      <c r="AE123" s="21">
        <v>1</v>
      </c>
      <c r="AF123" s="21">
        <v>2</v>
      </c>
      <c r="AG123" s="42">
        <v>3</v>
      </c>
      <c r="AH123" s="83" t="s">
        <v>661</v>
      </c>
    </row>
    <row r="124" spans="1:34" s="415" customFormat="1" ht="13.5" customHeight="1">
      <c r="A124" s="387" t="s">
        <v>765</v>
      </c>
      <c r="B124" s="394">
        <v>352</v>
      </c>
      <c r="C124" s="389">
        <v>728</v>
      </c>
      <c r="D124" s="389">
        <v>308</v>
      </c>
      <c r="E124" s="390">
        <v>25</v>
      </c>
      <c r="F124" s="390">
        <v>46</v>
      </c>
      <c r="G124" s="391">
        <v>27</v>
      </c>
      <c r="H124" s="392">
        <v>448.6</v>
      </c>
      <c r="I124" s="389">
        <v>636</v>
      </c>
      <c r="J124" s="389">
        <v>582</v>
      </c>
      <c r="K124" s="389" t="s">
        <v>667</v>
      </c>
      <c r="L124" s="393">
        <v>138</v>
      </c>
      <c r="M124" s="394">
        <v>200</v>
      </c>
      <c r="N124" s="395">
        <v>2.5920000000000001</v>
      </c>
      <c r="O124" s="395">
        <v>7.359</v>
      </c>
      <c r="P124" s="390">
        <v>389700</v>
      </c>
      <c r="Q124" s="393">
        <v>10710</v>
      </c>
      <c r="R124" s="393">
        <v>12390</v>
      </c>
      <c r="S124" s="396">
        <v>29.47</v>
      </c>
      <c r="T124" s="392">
        <v>201.6</v>
      </c>
      <c r="U124" s="393">
        <v>22510</v>
      </c>
      <c r="V124" s="390">
        <v>1461</v>
      </c>
      <c r="W124" s="390">
        <v>2293</v>
      </c>
      <c r="X124" s="392">
        <v>7.08</v>
      </c>
      <c r="Y124" s="396">
        <v>148.6</v>
      </c>
      <c r="Z124" s="396">
        <v>2461</v>
      </c>
      <c r="AA124" s="414">
        <v>26050</v>
      </c>
      <c r="AB124" s="398">
        <v>1</v>
      </c>
      <c r="AC124" s="398">
        <v>1</v>
      </c>
      <c r="AD124" s="399">
        <v>1</v>
      </c>
      <c r="AE124" s="398">
        <v>1</v>
      </c>
      <c r="AF124" s="398">
        <v>1</v>
      </c>
      <c r="AG124" s="400">
        <v>1</v>
      </c>
      <c r="AH124" s="389" t="s">
        <v>661</v>
      </c>
    </row>
    <row r="125" spans="1:34" s="66" customFormat="1" ht="13.5" customHeight="1">
      <c r="A125" s="81" t="s">
        <v>766</v>
      </c>
      <c r="B125" s="140">
        <v>418</v>
      </c>
      <c r="C125" s="83">
        <v>744</v>
      </c>
      <c r="D125" s="83">
        <v>313</v>
      </c>
      <c r="E125" s="84">
        <v>29.5</v>
      </c>
      <c r="F125" s="84">
        <v>54</v>
      </c>
      <c r="G125" s="90">
        <v>27</v>
      </c>
      <c r="H125" s="91">
        <v>531.9</v>
      </c>
      <c r="I125" s="83">
        <v>636</v>
      </c>
      <c r="J125" s="83">
        <v>582</v>
      </c>
      <c r="K125" s="83" t="s">
        <v>667</v>
      </c>
      <c r="L125" s="86">
        <v>142</v>
      </c>
      <c r="M125" s="87">
        <v>206</v>
      </c>
      <c r="N125" s="88">
        <v>2.6349999999999998</v>
      </c>
      <c r="O125" s="88">
        <v>6.31</v>
      </c>
      <c r="P125" s="84">
        <v>472500</v>
      </c>
      <c r="Q125" s="86">
        <v>12700</v>
      </c>
      <c r="R125" s="86">
        <v>14840</v>
      </c>
      <c r="S125" s="89">
        <v>29.8</v>
      </c>
      <c r="T125" s="91">
        <v>239</v>
      </c>
      <c r="U125" s="86">
        <v>27760</v>
      </c>
      <c r="V125" s="84">
        <v>1774</v>
      </c>
      <c r="W125" s="84">
        <v>2797</v>
      </c>
      <c r="X125" s="91">
        <v>7.22</v>
      </c>
      <c r="Y125" s="89">
        <v>169.1</v>
      </c>
      <c r="Z125" s="89">
        <v>3989</v>
      </c>
      <c r="AA125" s="158">
        <v>32850</v>
      </c>
      <c r="AB125" s="21">
        <v>1</v>
      </c>
      <c r="AC125" s="21">
        <v>1</v>
      </c>
      <c r="AD125" s="43">
        <v>1</v>
      </c>
      <c r="AE125" s="21">
        <v>1</v>
      </c>
      <c r="AF125" s="21">
        <v>1</v>
      </c>
      <c r="AG125" s="42">
        <v>1</v>
      </c>
      <c r="AH125" s="83" t="s">
        <v>661</v>
      </c>
    </row>
    <row r="126" spans="1:34" s="66" customFormat="1" ht="13.5" customHeight="1">
      <c r="A126" s="33"/>
      <c r="B126" s="44"/>
      <c r="C126" s="21"/>
      <c r="D126" s="21"/>
      <c r="E126" s="36"/>
      <c r="F126" s="36"/>
      <c r="G126" s="43"/>
      <c r="H126" s="41"/>
      <c r="I126" s="21"/>
      <c r="J126" s="21"/>
      <c r="K126" s="21"/>
      <c r="L126" s="35"/>
      <c r="M126" s="38"/>
      <c r="N126" s="39"/>
      <c r="O126" s="39"/>
      <c r="P126" s="36"/>
      <c r="Q126" s="35"/>
      <c r="R126" s="35"/>
      <c r="S126" s="40"/>
      <c r="T126" s="41"/>
      <c r="U126" s="35"/>
      <c r="V126" s="36"/>
      <c r="W126" s="36"/>
      <c r="X126" s="41"/>
      <c r="Y126" s="89"/>
      <c r="Z126" s="89"/>
      <c r="AA126" s="158"/>
      <c r="AB126" s="21"/>
      <c r="AC126" s="21"/>
      <c r="AD126" s="43"/>
      <c r="AE126" s="21"/>
      <c r="AF126" s="21"/>
      <c r="AG126" s="42"/>
      <c r="AH126" s="21"/>
    </row>
    <row r="127" spans="1:34" s="402" customFormat="1" ht="13.5" customHeight="1">
      <c r="A127" s="404" t="s">
        <v>767</v>
      </c>
      <c r="B127" s="409">
        <v>172</v>
      </c>
      <c r="C127" s="398">
        <v>770</v>
      </c>
      <c r="D127" s="398">
        <v>300</v>
      </c>
      <c r="E127" s="406">
        <v>14</v>
      </c>
      <c r="F127" s="406">
        <v>18</v>
      </c>
      <c r="G127" s="399">
        <v>30</v>
      </c>
      <c r="H127" s="407">
        <v>218.5</v>
      </c>
      <c r="I127" s="398">
        <v>734</v>
      </c>
      <c r="J127" s="398">
        <v>674</v>
      </c>
      <c r="K127" s="398" t="s">
        <v>667</v>
      </c>
      <c r="L127" s="408">
        <v>130</v>
      </c>
      <c r="M127" s="409">
        <v>198</v>
      </c>
      <c r="N127" s="410">
        <v>2.66</v>
      </c>
      <c r="O127" s="410">
        <v>15.51</v>
      </c>
      <c r="P127" s="406">
        <v>208900</v>
      </c>
      <c r="Q127" s="408">
        <v>5426</v>
      </c>
      <c r="R127" s="408">
        <v>6225</v>
      </c>
      <c r="S127" s="411">
        <v>30.92</v>
      </c>
      <c r="T127" s="407">
        <v>123.8</v>
      </c>
      <c r="U127" s="408">
        <v>8134</v>
      </c>
      <c r="V127" s="406">
        <v>542.20000000000005</v>
      </c>
      <c r="W127" s="406">
        <v>856.6</v>
      </c>
      <c r="X127" s="407">
        <v>6.1</v>
      </c>
      <c r="Y127" s="396">
        <v>85.15</v>
      </c>
      <c r="Z127" s="396">
        <v>256.8</v>
      </c>
      <c r="AA127" s="414">
        <v>11450</v>
      </c>
      <c r="AB127" s="398">
        <v>1</v>
      </c>
      <c r="AC127" s="398">
        <v>2</v>
      </c>
      <c r="AD127" s="399" t="s">
        <v>616</v>
      </c>
      <c r="AE127" s="398">
        <v>4</v>
      </c>
      <c r="AF127" s="398">
        <v>4</v>
      </c>
      <c r="AG127" s="400" t="s">
        <v>616</v>
      </c>
      <c r="AH127" s="398"/>
    </row>
    <row r="128" spans="1:34" s="66" customFormat="1" ht="13.5" customHeight="1">
      <c r="A128" s="33" t="s">
        <v>768</v>
      </c>
      <c r="B128" s="44">
        <v>224</v>
      </c>
      <c r="C128" s="21">
        <v>790</v>
      </c>
      <c r="D128" s="21">
        <v>300</v>
      </c>
      <c r="E128" s="36">
        <v>15</v>
      </c>
      <c r="F128" s="36">
        <v>28</v>
      </c>
      <c r="G128" s="43">
        <v>30</v>
      </c>
      <c r="H128" s="41">
        <v>285.8</v>
      </c>
      <c r="I128" s="21">
        <v>734</v>
      </c>
      <c r="J128" s="21">
        <v>674</v>
      </c>
      <c r="K128" s="21" t="s">
        <v>667</v>
      </c>
      <c r="L128" s="35">
        <v>130</v>
      </c>
      <c r="M128" s="38">
        <v>198</v>
      </c>
      <c r="N128" s="39">
        <v>2.698</v>
      </c>
      <c r="O128" s="39">
        <v>12.03</v>
      </c>
      <c r="P128" s="36">
        <v>303400</v>
      </c>
      <c r="Q128" s="35">
        <v>7682</v>
      </c>
      <c r="R128" s="35">
        <v>8699</v>
      </c>
      <c r="S128" s="40">
        <v>32.58</v>
      </c>
      <c r="T128" s="41">
        <v>138.80000000000001</v>
      </c>
      <c r="U128" s="35">
        <v>12640</v>
      </c>
      <c r="V128" s="36">
        <v>842.6</v>
      </c>
      <c r="W128" s="36">
        <v>1312</v>
      </c>
      <c r="X128" s="41">
        <v>6.65</v>
      </c>
      <c r="Y128" s="89">
        <v>106.1</v>
      </c>
      <c r="Z128" s="89">
        <v>596.9</v>
      </c>
      <c r="AA128" s="158">
        <v>18290</v>
      </c>
      <c r="AB128" s="21">
        <v>1</v>
      </c>
      <c r="AC128" s="21">
        <v>1</v>
      </c>
      <c r="AD128" s="43">
        <v>1</v>
      </c>
      <c r="AE128" s="21">
        <v>4</v>
      </c>
      <c r="AF128" s="21">
        <v>4</v>
      </c>
      <c r="AG128" s="42">
        <v>4</v>
      </c>
      <c r="AH128" s="83" t="s">
        <v>661</v>
      </c>
    </row>
    <row r="129" spans="1:34" s="415" customFormat="1" ht="13.5" customHeight="1">
      <c r="A129" s="404" t="s">
        <v>769</v>
      </c>
      <c r="B129" s="409">
        <v>262</v>
      </c>
      <c r="C129" s="398">
        <v>800</v>
      </c>
      <c r="D129" s="398">
        <v>300</v>
      </c>
      <c r="E129" s="406">
        <v>17.5</v>
      </c>
      <c r="F129" s="406">
        <v>33</v>
      </c>
      <c r="G129" s="399">
        <v>30</v>
      </c>
      <c r="H129" s="407">
        <v>334.2</v>
      </c>
      <c r="I129" s="398">
        <v>734</v>
      </c>
      <c r="J129" s="398">
        <v>674</v>
      </c>
      <c r="K129" s="398" t="s">
        <v>667</v>
      </c>
      <c r="L129" s="408">
        <v>134</v>
      </c>
      <c r="M129" s="409">
        <v>198</v>
      </c>
      <c r="N129" s="410">
        <v>2.7130000000000001</v>
      </c>
      <c r="O129" s="410">
        <v>10.34</v>
      </c>
      <c r="P129" s="406">
        <v>359100</v>
      </c>
      <c r="Q129" s="408">
        <v>8977</v>
      </c>
      <c r="R129" s="408">
        <v>10230</v>
      </c>
      <c r="S129" s="411">
        <v>32.78</v>
      </c>
      <c r="T129" s="407">
        <v>161.80000000000001</v>
      </c>
      <c r="U129" s="408">
        <v>14900</v>
      </c>
      <c r="V129" s="406">
        <v>993.6</v>
      </c>
      <c r="W129" s="406">
        <v>1553</v>
      </c>
      <c r="X129" s="407">
        <v>6.68</v>
      </c>
      <c r="Y129" s="396">
        <v>118.6</v>
      </c>
      <c r="Z129" s="396">
        <v>946</v>
      </c>
      <c r="AA129" s="414">
        <v>21840</v>
      </c>
      <c r="AB129" s="398">
        <v>1</v>
      </c>
      <c r="AC129" s="398">
        <v>1</v>
      </c>
      <c r="AD129" s="399">
        <v>1</v>
      </c>
      <c r="AE129" s="398">
        <v>3</v>
      </c>
      <c r="AF129" s="398">
        <v>4</v>
      </c>
      <c r="AG129" s="400">
        <v>4</v>
      </c>
      <c r="AH129" s="389" t="s">
        <v>661</v>
      </c>
    </row>
    <row r="130" spans="1:34" s="159" customFormat="1" ht="13.5" customHeight="1">
      <c r="A130" s="33" t="s">
        <v>770</v>
      </c>
      <c r="B130" s="44">
        <v>317</v>
      </c>
      <c r="C130" s="21">
        <v>814</v>
      </c>
      <c r="D130" s="21">
        <v>303</v>
      </c>
      <c r="E130" s="36">
        <v>21</v>
      </c>
      <c r="F130" s="36">
        <v>40</v>
      </c>
      <c r="G130" s="43">
        <v>30</v>
      </c>
      <c r="H130" s="41">
        <v>404.3</v>
      </c>
      <c r="I130" s="21">
        <v>734</v>
      </c>
      <c r="J130" s="21">
        <v>674</v>
      </c>
      <c r="K130" s="21" t="s">
        <v>667</v>
      </c>
      <c r="L130" s="35">
        <v>138</v>
      </c>
      <c r="M130" s="38">
        <v>198</v>
      </c>
      <c r="N130" s="39">
        <v>2.746</v>
      </c>
      <c r="O130" s="39">
        <v>8.6549999999999994</v>
      </c>
      <c r="P130" s="36">
        <v>442600</v>
      </c>
      <c r="Q130" s="35">
        <v>10870</v>
      </c>
      <c r="R130" s="35">
        <v>12490</v>
      </c>
      <c r="S130" s="40">
        <v>33.090000000000003</v>
      </c>
      <c r="T130" s="41">
        <v>194.3</v>
      </c>
      <c r="U130" s="35">
        <v>18630</v>
      </c>
      <c r="V130" s="36">
        <v>1230</v>
      </c>
      <c r="W130" s="36">
        <v>1930</v>
      </c>
      <c r="X130" s="41">
        <v>6.79</v>
      </c>
      <c r="Y130" s="89">
        <v>136.1</v>
      </c>
      <c r="Z130" s="89">
        <v>1646</v>
      </c>
      <c r="AA130" s="158">
        <v>27780</v>
      </c>
      <c r="AB130" s="21">
        <v>1</v>
      </c>
      <c r="AC130" s="21">
        <v>1</v>
      </c>
      <c r="AD130" s="43">
        <v>1</v>
      </c>
      <c r="AE130" s="21">
        <v>1</v>
      </c>
      <c r="AF130" s="21">
        <v>3</v>
      </c>
      <c r="AG130" s="42">
        <v>4</v>
      </c>
      <c r="AH130" s="83" t="s">
        <v>661</v>
      </c>
    </row>
    <row r="131" spans="1:34" s="402" customFormat="1" ht="13.5" customHeight="1">
      <c r="A131" s="404" t="s">
        <v>771</v>
      </c>
      <c r="B131" s="409">
        <v>373</v>
      </c>
      <c r="C131" s="398">
        <v>826</v>
      </c>
      <c r="D131" s="398">
        <v>308</v>
      </c>
      <c r="E131" s="406">
        <v>25</v>
      </c>
      <c r="F131" s="406">
        <v>46</v>
      </c>
      <c r="G131" s="399">
        <v>30</v>
      </c>
      <c r="H131" s="407">
        <v>474.6</v>
      </c>
      <c r="I131" s="398">
        <v>734</v>
      </c>
      <c r="J131" s="398">
        <v>674</v>
      </c>
      <c r="K131" s="398" t="s">
        <v>667</v>
      </c>
      <c r="L131" s="408">
        <v>144</v>
      </c>
      <c r="M131" s="409">
        <v>200</v>
      </c>
      <c r="N131" s="410">
        <v>2.782</v>
      </c>
      <c r="O131" s="410">
        <v>7.4690000000000003</v>
      </c>
      <c r="P131" s="406">
        <v>523900</v>
      </c>
      <c r="Q131" s="408">
        <v>12690</v>
      </c>
      <c r="R131" s="408">
        <v>14700</v>
      </c>
      <c r="S131" s="411">
        <v>33.229999999999997</v>
      </c>
      <c r="T131" s="407">
        <v>230.3</v>
      </c>
      <c r="U131" s="408">
        <v>22530</v>
      </c>
      <c r="V131" s="406">
        <v>1463</v>
      </c>
      <c r="W131" s="406">
        <v>2311</v>
      </c>
      <c r="X131" s="407">
        <v>6.89</v>
      </c>
      <c r="Y131" s="396">
        <v>152.1</v>
      </c>
      <c r="Z131" s="396">
        <v>2554</v>
      </c>
      <c r="AA131" s="414">
        <v>34070</v>
      </c>
      <c r="AB131" s="398">
        <v>1</v>
      </c>
      <c r="AC131" s="398">
        <v>1</v>
      </c>
      <c r="AD131" s="399">
        <v>1</v>
      </c>
      <c r="AE131" s="398">
        <v>1</v>
      </c>
      <c r="AF131" s="398">
        <v>2</v>
      </c>
      <c r="AG131" s="400">
        <v>2</v>
      </c>
      <c r="AH131" s="389" t="s">
        <v>661</v>
      </c>
    </row>
    <row r="132" spans="1:34" s="66" customFormat="1" ht="13.5" customHeight="1">
      <c r="A132" s="33" t="s">
        <v>772</v>
      </c>
      <c r="B132" s="44">
        <v>444</v>
      </c>
      <c r="C132" s="21">
        <v>842</v>
      </c>
      <c r="D132" s="21">
        <v>313</v>
      </c>
      <c r="E132" s="36">
        <v>30</v>
      </c>
      <c r="F132" s="36">
        <v>54</v>
      </c>
      <c r="G132" s="43">
        <v>30</v>
      </c>
      <c r="H132" s="41">
        <v>566</v>
      </c>
      <c r="I132" s="21">
        <v>734</v>
      </c>
      <c r="J132" s="21">
        <v>674</v>
      </c>
      <c r="K132" s="21" t="s">
        <v>667</v>
      </c>
      <c r="L132" s="35">
        <v>148</v>
      </c>
      <c r="M132" s="38">
        <v>206</v>
      </c>
      <c r="N132" s="39">
        <v>2.8239999999999998</v>
      </c>
      <c r="O132" s="39">
        <v>6.3570000000000002</v>
      </c>
      <c r="P132" s="36">
        <v>634500</v>
      </c>
      <c r="Q132" s="35">
        <v>15070</v>
      </c>
      <c r="R132" s="35">
        <v>17640</v>
      </c>
      <c r="S132" s="40">
        <v>33.479999999999997</v>
      </c>
      <c r="T132" s="41">
        <v>276.5</v>
      </c>
      <c r="U132" s="35">
        <v>27800</v>
      </c>
      <c r="V132" s="36">
        <v>1776</v>
      </c>
      <c r="W132" s="36">
        <v>2827</v>
      </c>
      <c r="X132" s="41">
        <v>7.01</v>
      </c>
      <c r="Y132" s="89">
        <v>173.1</v>
      </c>
      <c r="Z132" s="89">
        <v>4180</v>
      </c>
      <c r="AA132" s="158">
        <v>42840</v>
      </c>
      <c r="AB132" s="21">
        <v>1</v>
      </c>
      <c r="AC132" s="21">
        <v>1</v>
      </c>
      <c r="AD132" s="43">
        <v>1</v>
      </c>
      <c r="AE132" s="21">
        <v>1</v>
      </c>
      <c r="AF132" s="21">
        <v>1</v>
      </c>
      <c r="AG132" s="42">
        <v>1</v>
      </c>
      <c r="AH132" s="21" t="s">
        <v>661</v>
      </c>
    </row>
    <row r="133" spans="1:34" s="66" customFormat="1" ht="13.5" customHeight="1">
      <c r="A133" s="33"/>
      <c r="B133" s="44"/>
      <c r="C133" s="21"/>
      <c r="D133" s="21"/>
      <c r="E133" s="36"/>
      <c r="F133" s="36"/>
      <c r="G133" s="43"/>
      <c r="H133" s="41"/>
      <c r="I133" s="21"/>
      <c r="J133" s="21"/>
      <c r="K133" s="21"/>
      <c r="L133" s="35"/>
      <c r="M133" s="38"/>
      <c r="N133" s="39"/>
      <c r="O133" s="39"/>
      <c r="P133" s="36"/>
      <c r="Q133" s="35"/>
      <c r="R133" s="35"/>
      <c r="S133" s="40"/>
      <c r="T133" s="41"/>
      <c r="U133" s="35"/>
      <c r="V133" s="36"/>
      <c r="W133" s="36"/>
      <c r="X133" s="41"/>
      <c r="Y133" s="89"/>
      <c r="Z133" s="89"/>
      <c r="AA133" s="158"/>
      <c r="AB133" s="21"/>
      <c r="AC133" s="21"/>
      <c r="AD133" s="43"/>
      <c r="AE133" s="21"/>
      <c r="AF133" s="21"/>
      <c r="AG133" s="42"/>
      <c r="AH133" s="21"/>
    </row>
    <row r="134" spans="1:34" s="402" customFormat="1" ht="13.5" customHeight="1">
      <c r="A134" s="387" t="s">
        <v>773</v>
      </c>
      <c r="B134" s="394">
        <v>198</v>
      </c>
      <c r="C134" s="389">
        <v>870</v>
      </c>
      <c r="D134" s="389">
        <v>300</v>
      </c>
      <c r="E134" s="390">
        <v>15</v>
      </c>
      <c r="F134" s="390">
        <v>20</v>
      </c>
      <c r="G134" s="391">
        <v>30</v>
      </c>
      <c r="H134" s="392">
        <v>252.2</v>
      </c>
      <c r="I134" s="389">
        <v>830</v>
      </c>
      <c r="J134" s="389">
        <v>770</v>
      </c>
      <c r="K134" s="389" t="s">
        <v>667</v>
      </c>
      <c r="L134" s="393">
        <v>130</v>
      </c>
      <c r="M134" s="394">
        <v>198</v>
      </c>
      <c r="N134" s="395">
        <v>2.8580000000000001</v>
      </c>
      <c r="O134" s="395">
        <v>14.44</v>
      </c>
      <c r="P134" s="390">
        <v>301100</v>
      </c>
      <c r="Q134" s="393">
        <v>6923</v>
      </c>
      <c r="R134" s="393">
        <v>7999</v>
      </c>
      <c r="S134" s="396">
        <v>34.549999999999997</v>
      </c>
      <c r="T134" s="392">
        <v>147.19999999999999</v>
      </c>
      <c r="U134" s="393">
        <v>9041</v>
      </c>
      <c r="V134" s="390">
        <v>602.79999999999995</v>
      </c>
      <c r="W134" s="390">
        <v>957.7</v>
      </c>
      <c r="X134" s="392">
        <v>5.99</v>
      </c>
      <c r="Y134" s="396">
        <v>90.15</v>
      </c>
      <c r="Z134" s="396">
        <v>334.9</v>
      </c>
      <c r="AA134" s="414">
        <v>16260</v>
      </c>
      <c r="AB134" s="398">
        <v>1</v>
      </c>
      <c r="AC134" s="398">
        <v>1</v>
      </c>
      <c r="AD134" s="399" t="s">
        <v>616</v>
      </c>
      <c r="AE134" s="398">
        <v>4</v>
      </c>
      <c r="AF134" s="398">
        <v>4</v>
      </c>
      <c r="AG134" s="400" t="s">
        <v>616</v>
      </c>
      <c r="AH134" s="389"/>
    </row>
    <row r="135" spans="1:34" s="159" customFormat="1" ht="13.5" customHeight="1">
      <c r="A135" s="81" t="s">
        <v>774</v>
      </c>
      <c r="B135" s="140">
        <v>252</v>
      </c>
      <c r="C135" s="83">
        <v>890</v>
      </c>
      <c r="D135" s="83">
        <v>300</v>
      </c>
      <c r="E135" s="84">
        <v>16</v>
      </c>
      <c r="F135" s="84">
        <v>30</v>
      </c>
      <c r="G135" s="90">
        <v>30</v>
      </c>
      <c r="H135" s="91">
        <v>320.5</v>
      </c>
      <c r="I135" s="83">
        <v>830</v>
      </c>
      <c r="J135" s="83">
        <v>770</v>
      </c>
      <c r="K135" s="83" t="s">
        <v>667</v>
      </c>
      <c r="L135" s="86">
        <v>132</v>
      </c>
      <c r="M135" s="87">
        <v>198</v>
      </c>
      <c r="N135" s="88">
        <v>2.8959999999999999</v>
      </c>
      <c r="O135" s="88">
        <v>11.51</v>
      </c>
      <c r="P135" s="84">
        <v>422100</v>
      </c>
      <c r="Q135" s="86">
        <v>9485</v>
      </c>
      <c r="R135" s="86">
        <v>10810</v>
      </c>
      <c r="S135" s="89">
        <v>36.29</v>
      </c>
      <c r="T135" s="91">
        <v>163.30000000000001</v>
      </c>
      <c r="U135" s="86">
        <v>13550</v>
      </c>
      <c r="V135" s="84">
        <v>903.2</v>
      </c>
      <c r="W135" s="84">
        <v>1414</v>
      </c>
      <c r="X135" s="91">
        <v>6.5</v>
      </c>
      <c r="Y135" s="89">
        <v>111.1</v>
      </c>
      <c r="Z135" s="89">
        <v>736.8</v>
      </c>
      <c r="AA135" s="158">
        <v>24960</v>
      </c>
      <c r="AB135" s="21">
        <v>1</v>
      </c>
      <c r="AC135" s="21">
        <v>1</v>
      </c>
      <c r="AD135" s="43">
        <v>1</v>
      </c>
      <c r="AE135" s="21">
        <v>4</v>
      </c>
      <c r="AF135" s="21">
        <v>4</v>
      </c>
      <c r="AG135" s="42">
        <v>4</v>
      </c>
      <c r="AH135" s="83" t="s">
        <v>661</v>
      </c>
    </row>
    <row r="136" spans="1:34" s="415" customFormat="1" ht="13.5" customHeight="1">
      <c r="A136" s="387" t="s">
        <v>775</v>
      </c>
      <c r="B136" s="394">
        <v>291</v>
      </c>
      <c r="C136" s="389">
        <v>900</v>
      </c>
      <c r="D136" s="389">
        <v>300</v>
      </c>
      <c r="E136" s="390">
        <v>18.5</v>
      </c>
      <c r="F136" s="390">
        <v>35</v>
      </c>
      <c r="G136" s="391">
        <v>30</v>
      </c>
      <c r="H136" s="392">
        <v>371.3</v>
      </c>
      <c r="I136" s="389">
        <v>830</v>
      </c>
      <c r="J136" s="389">
        <v>770</v>
      </c>
      <c r="K136" s="389" t="s">
        <v>667</v>
      </c>
      <c r="L136" s="393">
        <v>134</v>
      </c>
      <c r="M136" s="394">
        <v>198</v>
      </c>
      <c r="N136" s="395">
        <v>2.911</v>
      </c>
      <c r="O136" s="395">
        <v>9.99</v>
      </c>
      <c r="P136" s="390">
        <v>494100</v>
      </c>
      <c r="Q136" s="393">
        <v>10980</v>
      </c>
      <c r="R136" s="393">
        <v>12580</v>
      </c>
      <c r="S136" s="396">
        <v>36.479999999999997</v>
      </c>
      <c r="T136" s="392">
        <v>188.8</v>
      </c>
      <c r="U136" s="393">
        <v>15820</v>
      </c>
      <c r="V136" s="390">
        <v>1054</v>
      </c>
      <c r="W136" s="390">
        <v>1658</v>
      </c>
      <c r="X136" s="392">
        <v>6.53</v>
      </c>
      <c r="Y136" s="396">
        <v>123.6</v>
      </c>
      <c r="Z136" s="396">
        <v>1137</v>
      </c>
      <c r="AA136" s="414">
        <v>29460</v>
      </c>
      <c r="AB136" s="398">
        <v>1</v>
      </c>
      <c r="AC136" s="398">
        <v>1</v>
      </c>
      <c r="AD136" s="399">
        <v>1</v>
      </c>
      <c r="AE136" s="398">
        <v>3</v>
      </c>
      <c r="AF136" s="398">
        <v>4</v>
      </c>
      <c r="AG136" s="400">
        <v>4</v>
      </c>
      <c r="AH136" s="389" t="s">
        <v>661</v>
      </c>
    </row>
    <row r="137" spans="1:34" s="66" customFormat="1" ht="13.5" customHeight="1">
      <c r="A137" s="81" t="s">
        <v>776</v>
      </c>
      <c r="B137" s="140">
        <v>333</v>
      </c>
      <c r="C137" s="83">
        <v>910</v>
      </c>
      <c r="D137" s="83">
        <v>302</v>
      </c>
      <c r="E137" s="84">
        <v>21</v>
      </c>
      <c r="F137" s="84">
        <v>40</v>
      </c>
      <c r="G137" s="90">
        <v>30</v>
      </c>
      <c r="H137" s="91">
        <v>423.6</v>
      </c>
      <c r="I137" s="83">
        <v>830</v>
      </c>
      <c r="J137" s="83">
        <v>770</v>
      </c>
      <c r="K137" s="83" t="s">
        <v>667</v>
      </c>
      <c r="L137" s="86">
        <v>138</v>
      </c>
      <c r="M137" s="87">
        <v>198</v>
      </c>
      <c r="N137" s="88">
        <v>2.9340000000000002</v>
      </c>
      <c r="O137" s="88">
        <v>8.8239999999999998</v>
      </c>
      <c r="P137" s="84">
        <v>570400</v>
      </c>
      <c r="Q137" s="86">
        <v>12540</v>
      </c>
      <c r="R137" s="86">
        <v>14440</v>
      </c>
      <c r="S137" s="89">
        <v>36.700000000000003</v>
      </c>
      <c r="T137" s="91">
        <v>214.4</v>
      </c>
      <c r="U137" s="86">
        <v>18450</v>
      </c>
      <c r="V137" s="84">
        <v>1222</v>
      </c>
      <c r="W137" s="84">
        <v>1929</v>
      </c>
      <c r="X137" s="91">
        <v>6.6</v>
      </c>
      <c r="Y137" s="89">
        <v>136.1</v>
      </c>
      <c r="Z137" s="89">
        <v>1671</v>
      </c>
      <c r="AA137" s="158">
        <v>34750</v>
      </c>
      <c r="AB137" s="21">
        <v>1</v>
      </c>
      <c r="AC137" s="21">
        <v>1</v>
      </c>
      <c r="AD137" s="43">
        <v>1</v>
      </c>
      <c r="AE137" s="21">
        <v>2</v>
      </c>
      <c r="AF137" s="21">
        <v>4</v>
      </c>
      <c r="AG137" s="42">
        <v>4</v>
      </c>
      <c r="AH137" s="83" t="s">
        <v>661</v>
      </c>
    </row>
    <row r="138" spans="1:34" s="402" customFormat="1" ht="13.5" customHeight="1">
      <c r="A138" s="404" t="s">
        <v>777</v>
      </c>
      <c r="B138" s="409">
        <v>391</v>
      </c>
      <c r="C138" s="398">
        <v>922</v>
      </c>
      <c r="D138" s="398">
        <v>307</v>
      </c>
      <c r="E138" s="406">
        <v>25</v>
      </c>
      <c r="F138" s="406">
        <v>46</v>
      </c>
      <c r="G138" s="399">
        <v>30</v>
      </c>
      <c r="H138" s="407">
        <v>497.7</v>
      </c>
      <c r="I138" s="408">
        <v>830</v>
      </c>
      <c r="J138" s="408">
        <v>770</v>
      </c>
      <c r="K138" s="398" t="s">
        <v>667</v>
      </c>
      <c r="L138" s="408">
        <v>144</v>
      </c>
      <c r="M138" s="409">
        <v>200</v>
      </c>
      <c r="N138" s="410">
        <v>2.97</v>
      </c>
      <c r="O138" s="410">
        <v>7.6040000000000001</v>
      </c>
      <c r="P138" s="406">
        <v>674300</v>
      </c>
      <c r="Q138" s="408">
        <v>14630</v>
      </c>
      <c r="R138" s="408">
        <v>16990</v>
      </c>
      <c r="S138" s="411">
        <v>36.81</v>
      </c>
      <c r="T138" s="407">
        <v>254.3</v>
      </c>
      <c r="U138" s="408">
        <v>22320</v>
      </c>
      <c r="V138" s="406">
        <v>1454</v>
      </c>
      <c r="W138" s="406">
        <v>2312</v>
      </c>
      <c r="X138" s="407">
        <v>6.7</v>
      </c>
      <c r="Y138" s="396">
        <v>152.1</v>
      </c>
      <c r="Z138" s="396">
        <v>2597</v>
      </c>
      <c r="AA138" s="414">
        <v>42560</v>
      </c>
      <c r="AB138" s="398">
        <v>1</v>
      </c>
      <c r="AC138" s="398">
        <v>1</v>
      </c>
      <c r="AD138" s="399">
        <v>1</v>
      </c>
      <c r="AE138" s="398">
        <v>1</v>
      </c>
      <c r="AF138" s="398">
        <v>3</v>
      </c>
      <c r="AG138" s="400">
        <v>4</v>
      </c>
      <c r="AH138" s="398" t="s">
        <v>661</v>
      </c>
    </row>
    <row r="139" spans="1:34" s="66" customFormat="1" ht="13.5" customHeight="1">
      <c r="A139" s="33" t="s">
        <v>778</v>
      </c>
      <c r="B139" s="44">
        <v>466</v>
      </c>
      <c r="C139" s="21">
        <v>938</v>
      </c>
      <c r="D139" s="21">
        <v>312</v>
      </c>
      <c r="E139" s="36">
        <v>30</v>
      </c>
      <c r="F139" s="36">
        <v>54</v>
      </c>
      <c r="G139" s="43">
        <v>30</v>
      </c>
      <c r="H139" s="41">
        <v>593.70000000000005</v>
      </c>
      <c r="I139" s="21">
        <v>830</v>
      </c>
      <c r="J139" s="21">
        <v>770</v>
      </c>
      <c r="K139" s="21" t="s">
        <v>667</v>
      </c>
      <c r="L139" s="35">
        <v>148</v>
      </c>
      <c r="M139" s="38">
        <v>204</v>
      </c>
      <c r="N139" s="39">
        <v>3.012</v>
      </c>
      <c r="O139" s="39">
        <v>6.4640000000000004</v>
      </c>
      <c r="P139" s="36">
        <v>814900</v>
      </c>
      <c r="Q139" s="35">
        <v>17380</v>
      </c>
      <c r="R139" s="35">
        <v>20380</v>
      </c>
      <c r="S139" s="40">
        <v>37.049999999999997</v>
      </c>
      <c r="T139" s="41">
        <v>305.3</v>
      </c>
      <c r="U139" s="35">
        <v>27560</v>
      </c>
      <c r="V139" s="36">
        <v>1767</v>
      </c>
      <c r="W139" s="36">
        <v>2832</v>
      </c>
      <c r="X139" s="41">
        <v>6.81</v>
      </c>
      <c r="Y139" s="89">
        <v>173.1</v>
      </c>
      <c r="Z139" s="89">
        <v>4256</v>
      </c>
      <c r="AA139" s="158">
        <v>53400</v>
      </c>
      <c r="AB139" s="21">
        <v>1</v>
      </c>
      <c r="AC139" s="21">
        <v>1</v>
      </c>
      <c r="AD139" s="43">
        <v>1</v>
      </c>
      <c r="AE139" s="21">
        <v>1</v>
      </c>
      <c r="AF139" s="21">
        <v>1</v>
      </c>
      <c r="AG139" s="42">
        <v>2</v>
      </c>
      <c r="AH139" s="21" t="s">
        <v>661</v>
      </c>
    </row>
    <row r="140" spans="1:34" s="66" customFormat="1" ht="13.5" customHeight="1">
      <c r="A140" s="33"/>
      <c r="B140" s="44"/>
      <c r="C140" s="21"/>
      <c r="D140" s="21"/>
      <c r="E140" s="36"/>
      <c r="F140" s="36"/>
      <c r="G140" s="43"/>
      <c r="H140" s="41"/>
      <c r="I140" s="21"/>
      <c r="J140" s="21"/>
      <c r="K140" s="21"/>
      <c r="L140" s="35"/>
      <c r="M140" s="38"/>
      <c r="N140" s="39"/>
      <c r="O140" s="39"/>
      <c r="P140" s="36"/>
      <c r="Q140" s="35"/>
      <c r="R140" s="35"/>
      <c r="S140" s="40"/>
      <c r="T140" s="41"/>
      <c r="U140" s="35"/>
      <c r="V140" s="36"/>
      <c r="W140" s="36"/>
      <c r="X140" s="41"/>
      <c r="Y140" s="89"/>
      <c r="Z140" s="89"/>
      <c r="AA140" s="158"/>
      <c r="AB140" s="21"/>
      <c r="AC140" s="21"/>
      <c r="AD140" s="43"/>
      <c r="AE140" s="21"/>
      <c r="AF140" s="21"/>
      <c r="AG140" s="42"/>
      <c r="AH140" s="21"/>
    </row>
    <row r="141" spans="1:34" s="416" customFormat="1" ht="13.5" customHeight="1">
      <c r="A141" s="404" t="s">
        <v>779</v>
      </c>
      <c r="B141" s="409">
        <v>222</v>
      </c>
      <c r="C141" s="398">
        <v>970</v>
      </c>
      <c r="D141" s="398">
        <v>300</v>
      </c>
      <c r="E141" s="406">
        <v>16</v>
      </c>
      <c r="F141" s="406">
        <v>21</v>
      </c>
      <c r="G141" s="399">
        <v>30</v>
      </c>
      <c r="H141" s="407">
        <v>282.2</v>
      </c>
      <c r="I141" s="398">
        <v>928</v>
      </c>
      <c r="J141" s="398">
        <v>868</v>
      </c>
      <c r="K141" s="398" t="s">
        <v>667</v>
      </c>
      <c r="L141" s="408">
        <v>132</v>
      </c>
      <c r="M141" s="409">
        <v>198</v>
      </c>
      <c r="N141" s="410">
        <v>3.056</v>
      </c>
      <c r="O141" s="410">
        <v>13.8</v>
      </c>
      <c r="P141" s="408">
        <v>406500</v>
      </c>
      <c r="Q141" s="408">
        <v>8380</v>
      </c>
      <c r="R141" s="408">
        <v>9777</v>
      </c>
      <c r="S141" s="408">
        <v>37.950000000000003</v>
      </c>
      <c r="T141" s="409">
        <v>172.2</v>
      </c>
      <c r="U141" s="408">
        <v>9501</v>
      </c>
      <c r="V141" s="406">
        <v>633.4</v>
      </c>
      <c r="W141" s="406">
        <v>1016</v>
      </c>
      <c r="X141" s="407">
        <v>5.8</v>
      </c>
      <c r="Y141" s="396">
        <v>93.15</v>
      </c>
      <c r="Z141" s="396">
        <v>403.4</v>
      </c>
      <c r="AA141" s="414">
        <v>21280</v>
      </c>
      <c r="AB141" s="398">
        <v>1</v>
      </c>
      <c r="AC141" s="398">
        <v>1</v>
      </c>
      <c r="AD141" s="399" t="s">
        <v>616</v>
      </c>
      <c r="AE141" s="398">
        <v>4</v>
      </c>
      <c r="AF141" s="398">
        <v>4</v>
      </c>
      <c r="AG141" s="400" t="s">
        <v>616</v>
      </c>
      <c r="AH141" s="398"/>
    </row>
    <row r="142" spans="1:34" s="159" customFormat="1" ht="13.5" customHeight="1">
      <c r="A142" s="33" t="s">
        <v>780</v>
      </c>
      <c r="B142" s="44">
        <v>272</v>
      </c>
      <c r="C142" s="21">
        <v>990</v>
      </c>
      <c r="D142" s="21">
        <v>300</v>
      </c>
      <c r="E142" s="36">
        <v>16.5</v>
      </c>
      <c r="F142" s="36">
        <v>31</v>
      </c>
      <c r="G142" s="43">
        <v>30</v>
      </c>
      <c r="H142" s="41">
        <v>346.8</v>
      </c>
      <c r="I142" s="21">
        <v>928</v>
      </c>
      <c r="J142" s="21">
        <v>868</v>
      </c>
      <c r="K142" s="21" t="s">
        <v>667</v>
      </c>
      <c r="L142" s="35">
        <v>132</v>
      </c>
      <c r="M142" s="38">
        <v>198</v>
      </c>
      <c r="N142" s="39">
        <v>3.0950000000000002</v>
      </c>
      <c r="O142" s="39">
        <v>11.37</v>
      </c>
      <c r="P142" s="35">
        <v>553800</v>
      </c>
      <c r="Q142" s="35">
        <v>11190</v>
      </c>
      <c r="R142" s="35">
        <v>12820</v>
      </c>
      <c r="S142" s="35">
        <v>39.96</v>
      </c>
      <c r="T142" s="38">
        <v>184.6</v>
      </c>
      <c r="U142" s="35">
        <v>14000</v>
      </c>
      <c r="V142" s="36">
        <v>933.6</v>
      </c>
      <c r="W142" s="36">
        <v>1470</v>
      </c>
      <c r="X142" s="41">
        <v>6.35</v>
      </c>
      <c r="Y142" s="40">
        <v>113.6</v>
      </c>
      <c r="Z142" s="40">
        <v>822.4</v>
      </c>
      <c r="AA142" s="42">
        <v>32070</v>
      </c>
      <c r="AB142" s="21">
        <v>1</v>
      </c>
      <c r="AC142" s="21">
        <v>1</v>
      </c>
      <c r="AD142" s="43">
        <v>2</v>
      </c>
      <c r="AE142" s="21">
        <v>4</v>
      </c>
      <c r="AF142" s="21">
        <v>4</v>
      </c>
      <c r="AG142" s="42">
        <v>4</v>
      </c>
      <c r="AH142" s="21" t="s">
        <v>661</v>
      </c>
    </row>
    <row r="143" spans="1:34" s="415" customFormat="1" ht="13.5" customHeight="1">
      <c r="A143" s="404" t="s">
        <v>781</v>
      </c>
      <c r="B143" s="409">
        <v>314</v>
      </c>
      <c r="C143" s="398">
        <v>1000</v>
      </c>
      <c r="D143" s="398">
        <v>300</v>
      </c>
      <c r="E143" s="406">
        <v>19</v>
      </c>
      <c r="F143" s="406">
        <v>36</v>
      </c>
      <c r="G143" s="399">
        <v>30</v>
      </c>
      <c r="H143" s="407">
        <v>400</v>
      </c>
      <c r="I143" s="398">
        <v>928</v>
      </c>
      <c r="J143" s="398">
        <v>868</v>
      </c>
      <c r="K143" s="398" t="s">
        <v>667</v>
      </c>
      <c r="L143" s="408">
        <v>134</v>
      </c>
      <c r="M143" s="409">
        <v>198</v>
      </c>
      <c r="N143" s="410">
        <v>3.11</v>
      </c>
      <c r="O143" s="410">
        <v>9.9049999999999994</v>
      </c>
      <c r="P143" s="408">
        <v>644700</v>
      </c>
      <c r="Q143" s="408">
        <v>12890</v>
      </c>
      <c r="R143" s="408">
        <v>14860</v>
      </c>
      <c r="S143" s="408">
        <v>40.15</v>
      </c>
      <c r="T143" s="409">
        <v>212.5</v>
      </c>
      <c r="U143" s="408">
        <v>16280</v>
      </c>
      <c r="V143" s="406">
        <v>1085</v>
      </c>
      <c r="W143" s="406">
        <v>1716</v>
      </c>
      <c r="X143" s="407">
        <v>6.38</v>
      </c>
      <c r="Y143" s="411">
        <v>126.1</v>
      </c>
      <c r="Z143" s="411">
        <v>1254</v>
      </c>
      <c r="AA143" s="400">
        <v>37640</v>
      </c>
      <c r="AB143" s="398">
        <v>1</v>
      </c>
      <c r="AC143" s="398">
        <v>1</v>
      </c>
      <c r="AD143" s="399">
        <v>1</v>
      </c>
      <c r="AE143" s="398">
        <v>4</v>
      </c>
      <c r="AF143" s="398">
        <v>4</v>
      </c>
      <c r="AG143" s="400">
        <v>4</v>
      </c>
      <c r="AH143" s="398" t="s">
        <v>661</v>
      </c>
    </row>
    <row r="144" spans="1:34" s="10" customFormat="1" ht="13.5" customHeight="1">
      <c r="A144" s="33" t="s">
        <v>782</v>
      </c>
      <c r="B144" s="44">
        <v>349</v>
      </c>
      <c r="C144" s="21">
        <v>1008</v>
      </c>
      <c r="D144" s="21">
        <v>302</v>
      </c>
      <c r="E144" s="36">
        <v>21</v>
      </c>
      <c r="F144" s="36">
        <v>40</v>
      </c>
      <c r="G144" s="43">
        <v>30</v>
      </c>
      <c r="H144" s="41">
        <v>444.2</v>
      </c>
      <c r="I144" s="21">
        <v>928</v>
      </c>
      <c r="J144" s="21">
        <v>868</v>
      </c>
      <c r="K144" s="21" t="s">
        <v>667</v>
      </c>
      <c r="L144" s="35">
        <v>138</v>
      </c>
      <c r="M144" s="38">
        <v>198</v>
      </c>
      <c r="N144" s="39">
        <v>3.13</v>
      </c>
      <c r="O144" s="39">
        <v>8.9779999999999998</v>
      </c>
      <c r="P144" s="35">
        <v>722300</v>
      </c>
      <c r="Q144" s="35">
        <v>14330</v>
      </c>
      <c r="R144" s="35">
        <v>16570</v>
      </c>
      <c r="S144" s="35">
        <v>40.32</v>
      </c>
      <c r="T144" s="38">
        <v>235</v>
      </c>
      <c r="U144" s="35">
        <v>18460</v>
      </c>
      <c r="V144" s="36">
        <v>1222</v>
      </c>
      <c r="W144" s="36">
        <v>1940</v>
      </c>
      <c r="X144" s="41">
        <v>6.45</v>
      </c>
      <c r="Y144" s="40">
        <v>136.1</v>
      </c>
      <c r="Z144" s="40">
        <v>1701</v>
      </c>
      <c r="AA144" s="42">
        <v>43020</v>
      </c>
      <c r="AB144" s="21">
        <v>1</v>
      </c>
      <c r="AC144" s="21">
        <v>1</v>
      </c>
      <c r="AD144" s="43">
        <v>1</v>
      </c>
      <c r="AE144" s="21">
        <v>3</v>
      </c>
      <c r="AF144" s="21">
        <v>4</v>
      </c>
      <c r="AG144" s="42">
        <v>4</v>
      </c>
      <c r="AH144" s="21" t="s">
        <v>661</v>
      </c>
    </row>
    <row r="145" spans="1:34" s="416" customFormat="1" ht="13.5" customHeight="1">
      <c r="A145" s="404" t="s">
        <v>783</v>
      </c>
      <c r="B145" s="409">
        <v>393</v>
      </c>
      <c r="C145" s="398">
        <v>1016</v>
      </c>
      <c r="D145" s="398">
        <v>303</v>
      </c>
      <c r="E145" s="406">
        <v>24.4</v>
      </c>
      <c r="F145" s="406">
        <v>43.9</v>
      </c>
      <c r="G145" s="399">
        <v>30</v>
      </c>
      <c r="H145" s="407">
        <v>500.2</v>
      </c>
      <c r="I145" s="398">
        <v>928</v>
      </c>
      <c r="J145" s="398">
        <v>868</v>
      </c>
      <c r="K145" s="398" t="s">
        <v>667</v>
      </c>
      <c r="L145" s="408">
        <v>144</v>
      </c>
      <c r="M145" s="409">
        <v>196</v>
      </c>
      <c r="N145" s="410">
        <v>3.1440000000000001</v>
      </c>
      <c r="O145" s="410">
        <v>8.0060000000000002</v>
      </c>
      <c r="P145" s="408">
        <v>807700</v>
      </c>
      <c r="Q145" s="408">
        <v>15900</v>
      </c>
      <c r="R145" s="408">
        <v>18540</v>
      </c>
      <c r="S145" s="408">
        <v>40.18</v>
      </c>
      <c r="T145" s="409">
        <v>271.3</v>
      </c>
      <c r="U145" s="408">
        <v>20500</v>
      </c>
      <c r="V145" s="406">
        <v>1353</v>
      </c>
      <c r="W145" s="406">
        <v>2168</v>
      </c>
      <c r="X145" s="407">
        <v>6.4</v>
      </c>
      <c r="Y145" s="411">
        <v>147.30000000000001</v>
      </c>
      <c r="Z145" s="411">
        <v>2332</v>
      </c>
      <c r="AA145" s="400">
        <v>48080</v>
      </c>
      <c r="AB145" s="398">
        <v>1</v>
      </c>
      <c r="AC145" s="398">
        <v>1</v>
      </c>
      <c r="AD145" s="399">
        <v>1</v>
      </c>
      <c r="AE145" s="398">
        <v>2</v>
      </c>
      <c r="AF145" s="398">
        <v>4</v>
      </c>
      <c r="AG145" s="400">
        <v>4</v>
      </c>
      <c r="AH145" s="398" t="s">
        <v>661</v>
      </c>
    </row>
    <row r="146" spans="1:34" s="10" customFormat="1" ht="13.5" customHeight="1">
      <c r="A146" s="33" t="s">
        <v>784</v>
      </c>
      <c r="B146" s="44">
        <v>409</v>
      </c>
      <c r="C146" s="21">
        <v>1020</v>
      </c>
      <c r="D146" s="21">
        <v>306</v>
      </c>
      <c r="E146" s="36">
        <v>25</v>
      </c>
      <c r="F146" s="36">
        <v>46</v>
      </c>
      <c r="G146" s="43">
        <v>30</v>
      </c>
      <c r="H146" s="41">
        <v>521.20000000000005</v>
      </c>
      <c r="I146" s="21">
        <v>928</v>
      </c>
      <c r="J146" s="21">
        <v>868</v>
      </c>
      <c r="K146" s="21" t="s">
        <v>667</v>
      </c>
      <c r="L146" s="35">
        <v>144</v>
      </c>
      <c r="M146" s="38">
        <v>198</v>
      </c>
      <c r="N146" s="39">
        <v>3.1619999999999999</v>
      </c>
      <c r="O146" s="39">
        <v>7.7290000000000001</v>
      </c>
      <c r="P146" s="35">
        <v>850800</v>
      </c>
      <c r="Q146" s="35">
        <v>16680</v>
      </c>
      <c r="R146" s="35">
        <v>19450</v>
      </c>
      <c r="S146" s="35">
        <v>40.4</v>
      </c>
      <c r="T146" s="38">
        <v>278.8</v>
      </c>
      <c r="U146" s="35">
        <v>22120</v>
      </c>
      <c r="V146" s="36">
        <v>1446</v>
      </c>
      <c r="W146" s="36">
        <v>2313</v>
      </c>
      <c r="X146" s="41">
        <v>6.51</v>
      </c>
      <c r="Y146" s="40">
        <v>152.1</v>
      </c>
      <c r="Z146" s="40">
        <v>2642</v>
      </c>
      <c r="AA146" s="42">
        <v>52100</v>
      </c>
      <c r="AB146" s="21">
        <v>1</v>
      </c>
      <c r="AC146" s="21">
        <v>1</v>
      </c>
      <c r="AD146" s="43">
        <v>1</v>
      </c>
      <c r="AE146" s="21">
        <v>2</v>
      </c>
      <c r="AF146" s="21">
        <v>4</v>
      </c>
      <c r="AG146" s="42">
        <v>4</v>
      </c>
      <c r="AH146" s="21" t="s">
        <v>661</v>
      </c>
    </row>
    <row r="147" spans="1:34" s="416" customFormat="1" ht="13.5" customHeight="1">
      <c r="A147" s="404" t="s">
        <v>785</v>
      </c>
      <c r="B147" s="409">
        <v>488</v>
      </c>
      <c r="C147" s="398">
        <v>1036</v>
      </c>
      <c r="D147" s="398">
        <v>311</v>
      </c>
      <c r="E147" s="406">
        <v>30</v>
      </c>
      <c r="F147" s="406">
        <v>54</v>
      </c>
      <c r="G147" s="399">
        <v>30</v>
      </c>
      <c r="H147" s="407">
        <v>622</v>
      </c>
      <c r="I147" s="398">
        <v>928</v>
      </c>
      <c r="J147" s="398">
        <v>868</v>
      </c>
      <c r="K147" s="398" t="s">
        <v>667</v>
      </c>
      <c r="L147" s="408">
        <v>148</v>
      </c>
      <c r="M147" s="409">
        <v>204</v>
      </c>
      <c r="N147" s="410">
        <v>3.2040000000000002</v>
      </c>
      <c r="O147" s="410">
        <v>6.5629999999999997</v>
      </c>
      <c r="P147" s="408">
        <v>1027000</v>
      </c>
      <c r="Q147" s="408">
        <v>19820</v>
      </c>
      <c r="R147" s="408">
        <v>23300</v>
      </c>
      <c r="S147" s="408">
        <v>40.619999999999997</v>
      </c>
      <c r="T147" s="409">
        <v>334.7</v>
      </c>
      <c r="U147" s="408">
        <v>27320</v>
      </c>
      <c r="V147" s="406">
        <v>1757</v>
      </c>
      <c r="W147" s="406">
        <v>2837</v>
      </c>
      <c r="X147" s="407">
        <v>6.63</v>
      </c>
      <c r="Y147" s="411">
        <v>173.1</v>
      </c>
      <c r="Z147" s="411">
        <v>4334</v>
      </c>
      <c r="AA147" s="400">
        <v>65270</v>
      </c>
      <c r="AB147" s="398">
        <v>1</v>
      </c>
      <c r="AC147" s="398">
        <v>1</v>
      </c>
      <c r="AD147" s="399">
        <v>1</v>
      </c>
      <c r="AE147" s="398">
        <v>1</v>
      </c>
      <c r="AF147" s="398">
        <v>2</v>
      </c>
      <c r="AG147" s="400">
        <v>3</v>
      </c>
      <c r="AH147" s="398" t="s">
        <v>661</v>
      </c>
    </row>
    <row r="148" spans="1:34" s="10" customFormat="1" ht="13.5" customHeight="1">
      <c r="A148" s="33" t="s">
        <v>786</v>
      </c>
      <c r="B148" s="44">
        <v>579</v>
      </c>
      <c r="C148" s="21">
        <v>1056</v>
      </c>
      <c r="D148" s="21">
        <v>316</v>
      </c>
      <c r="E148" s="36">
        <v>35</v>
      </c>
      <c r="F148" s="36">
        <v>64</v>
      </c>
      <c r="G148" s="43">
        <v>30</v>
      </c>
      <c r="H148" s="41">
        <v>737</v>
      </c>
      <c r="I148" s="21">
        <v>928</v>
      </c>
      <c r="J148" s="21">
        <v>868</v>
      </c>
      <c r="K148" s="21" t="s">
        <v>667</v>
      </c>
      <c r="L148" s="35">
        <v>154</v>
      </c>
      <c r="M148" s="38">
        <v>208</v>
      </c>
      <c r="N148" s="39">
        <v>3.254</v>
      </c>
      <c r="O148" s="39">
        <v>5.625</v>
      </c>
      <c r="P148" s="35">
        <v>1246000</v>
      </c>
      <c r="Q148" s="35">
        <v>23590</v>
      </c>
      <c r="R148" s="35">
        <v>27950</v>
      </c>
      <c r="S148" s="35">
        <v>41.11</v>
      </c>
      <c r="T148" s="38">
        <v>393.3</v>
      </c>
      <c r="U148" s="35">
        <v>34040</v>
      </c>
      <c r="V148" s="36">
        <v>2154</v>
      </c>
      <c r="W148" s="36">
        <v>3498</v>
      </c>
      <c r="X148" s="41">
        <v>6.8</v>
      </c>
      <c r="Y148" s="40">
        <v>198.1</v>
      </c>
      <c r="Z148" s="40">
        <v>7102</v>
      </c>
      <c r="AA148" s="42">
        <v>82800</v>
      </c>
      <c r="AB148" s="21">
        <v>1</v>
      </c>
      <c r="AC148" s="21">
        <v>1</v>
      </c>
      <c r="AD148" s="43">
        <v>1</v>
      </c>
      <c r="AE148" s="21">
        <v>1</v>
      </c>
      <c r="AF148" s="21">
        <v>1</v>
      </c>
      <c r="AG148" s="42">
        <v>2</v>
      </c>
      <c r="AH148" s="21" t="s">
        <v>661</v>
      </c>
    </row>
    <row r="149" spans="1:34" s="10" customFormat="1" ht="13.5" customHeight="1">
      <c r="A149" s="33"/>
      <c r="B149" s="44"/>
      <c r="C149" s="21"/>
      <c r="D149" s="21"/>
      <c r="E149" s="36"/>
      <c r="F149" s="36"/>
      <c r="G149" s="43"/>
      <c r="H149" s="41"/>
      <c r="I149" s="21"/>
      <c r="J149" s="21"/>
      <c r="K149" s="21"/>
      <c r="L149" s="35"/>
      <c r="M149" s="38"/>
      <c r="N149" s="39"/>
      <c r="O149" s="39"/>
      <c r="P149" s="36"/>
      <c r="Q149" s="35"/>
      <c r="R149" s="35"/>
      <c r="S149" s="40"/>
      <c r="T149" s="41"/>
      <c r="U149" s="35"/>
      <c r="V149" s="36"/>
      <c r="W149" s="36"/>
      <c r="X149" s="41"/>
      <c r="Y149" s="40"/>
      <c r="Z149" s="40"/>
      <c r="AA149" s="42"/>
      <c r="AB149" s="21"/>
      <c r="AC149" s="21"/>
      <c r="AD149" s="43"/>
      <c r="AE149" s="21"/>
      <c r="AF149" s="21"/>
      <c r="AG149" s="42"/>
      <c r="AH149" s="21"/>
    </row>
    <row r="150" spans="1:34" s="10" customFormat="1" ht="13.5" customHeight="1">
      <c r="A150" s="33"/>
      <c r="B150" s="44"/>
      <c r="C150" s="21"/>
      <c r="D150" s="21"/>
      <c r="E150" s="36"/>
      <c r="F150" s="36"/>
      <c r="G150" s="43"/>
      <c r="H150" s="41"/>
      <c r="I150" s="21"/>
      <c r="J150" s="21"/>
      <c r="K150" s="21"/>
      <c r="L150" s="35"/>
      <c r="M150" s="38"/>
      <c r="N150" s="39"/>
      <c r="O150" s="39"/>
      <c r="P150" s="36"/>
      <c r="Q150" s="35"/>
      <c r="R150" s="35"/>
      <c r="S150" s="40"/>
      <c r="T150" s="41"/>
      <c r="U150" s="35"/>
      <c r="V150" s="36"/>
      <c r="W150" s="36"/>
      <c r="X150" s="41"/>
      <c r="Y150" s="40"/>
      <c r="Z150" s="40"/>
      <c r="AA150" s="42"/>
      <c r="AB150" s="21"/>
      <c r="AC150" s="21"/>
      <c r="AD150" s="43"/>
      <c r="AE150" s="21"/>
      <c r="AF150" s="21"/>
      <c r="AG150" s="42"/>
      <c r="AH150" s="21"/>
    </row>
    <row r="151" spans="1:34" s="10" customFormat="1" ht="13.5" customHeight="1">
      <c r="A151" s="33"/>
      <c r="B151" s="44"/>
      <c r="C151" s="21"/>
      <c r="D151" s="21"/>
      <c r="E151" s="36"/>
      <c r="F151" s="36"/>
      <c r="G151" s="43"/>
      <c r="H151" s="41"/>
      <c r="I151" s="21"/>
      <c r="J151" s="21"/>
      <c r="K151" s="21"/>
      <c r="L151" s="35"/>
      <c r="M151" s="38"/>
      <c r="N151" s="39"/>
      <c r="O151" s="39"/>
      <c r="P151" s="36"/>
      <c r="Q151" s="35"/>
      <c r="R151" s="35"/>
      <c r="S151" s="40"/>
      <c r="T151" s="41"/>
      <c r="U151" s="35"/>
      <c r="V151" s="36"/>
      <c r="W151" s="36"/>
      <c r="X151" s="41"/>
      <c r="Y151" s="40"/>
      <c r="Z151" s="40"/>
      <c r="AA151" s="42"/>
      <c r="AB151" s="21"/>
      <c r="AC151" s="21"/>
      <c r="AD151" s="43"/>
      <c r="AE151" s="21"/>
      <c r="AF151" s="21"/>
      <c r="AG151" s="42"/>
      <c r="AH151" s="21"/>
    </row>
    <row r="152" spans="1:34" s="416" customFormat="1" ht="13.5" customHeight="1">
      <c r="A152" s="404" t="s">
        <v>787</v>
      </c>
      <c r="B152" s="409">
        <v>342</v>
      </c>
      <c r="C152" s="398">
        <v>912</v>
      </c>
      <c r="D152" s="398">
        <v>418</v>
      </c>
      <c r="E152" s="406">
        <v>19.3</v>
      </c>
      <c r="F152" s="406">
        <v>32</v>
      </c>
      <c r="G152" s="399">
        <v>24</v>
      </c>
      <c r="H152" s="407">
        <v>436.1</v>
      </c>
      <c r="I152" s="398">
        <v>848</v>
      </c>
      <c r="J152" s="398">
        <v>800</v>
      </c>
      <c r="K152" s="398" t="s">
        <v>667</v>
      </c>
      <c r="L152" s="408">
        <v>126</v>
      </c>
      <c r="M152" s="409">
        <v>312</v>
      </c>
      <c r="N152" s="410">
        <v>3.42</v>
      </c>
      <c r="O152" s="410">
        <v>9.98</v>
      </c>
      <c r="P152" s="406">
        <v>624900</v>
      </c>
      <c r="Q152" s="408">
        <v>13700</v>
      </c>
      <c r="R152" s="408">
        <v>15450</v>
      </c>
      <c r="S152" s="411">
        <v>37.85</v>
      </c>
      <c r="T152" s="407">
        <v>190.1</v>
      </c>
      <c r="U152" s="408">
        <v>39010</v>
      </c>
      <c r="V152" s="406">
        <v>1867</v>
      </c>
      <c r="W152" s="406">
        <v>2882</v>
      </c>
      <c r="X152" s="407">
        <v>9.4600000000000009</v>
      </c>
      <c r="Y152" s="411">
        <v>111.4</v>
      </c>
      <c r="Z152" s="411">
        <v>1193</v>
      </c>
      <c r="AA152" s="400">
        <v>75410</v>
      </c>
      <c r="AB152" s="398">
        <v>1</v>
      </c>
      <c r="AC152" s="398">
        <v>1</v>
      </c>
      <c r="AD152" s="399">
        <v>1</v>
      </c>
      <c r="AE152" s="398">
        <v>3</v>
      </c>
      <c r="AF152" s="398">
        <v>4</v>
      </c>
      <c r="AG152" s="400">
        <v>4</v>
      </c>
      <c r="AH152" s="398" t="s">
        <v>661</v>
      </c>
    </row>
    <row r="153" spans="1:34" s="10" customFormat="1" ht="13.5" customHeight="1">
      <c r="A153" s="33" t="s">
        <v>788</v>
      </c>
      <c r="B153" s="44">
        <v>365</v>
      </c>
      <c r="C153" s="21">
        <v>916</v>
      </c>
      <c r="D153" s="21">
        <v>419</v>
      </c>
      <c r="E153" s="36">
        <v>20.3</v>
      </c>
      <c r="F153" s="36">
        <v>34.299999999999997</v>
      </c>
      <c r="G153" s="43">
        <v>24</v>
      </c>
      <c r="H153" s="41">
        <v>464.4</v>
      </c>
      <c r="I153" s="21">
        <v>847.4</v>
      </c>
      <c r="J153" s="21">
        <v>799.4</v>
      </c>
      <c r="K153" s="21" t="s">
        <v>667</v>
      </c>
      <c r="L153" s="35">
        <v>128</v>
      </c>
      <c r="M153" s="38">
        <v>314</v>
      </c>
      <c r="N153" s="39">
        <v>3.43</v>
      </c>
      <c r="O153" s="39">
        <v>9.4</v>
      </c>
      <c r="P153" s="36">
        <v>670500</v>
      </c>
      <c r="Q153" s="35">
        <v>14640</v>
      </c>
      <c r="R153" s="35">
        <v>16520</v>
      </c>
      <c r="S153" s="40">
        <v>38</v>
      </c>
      <c r="T153" s="41">
        <v>200.4</v>
      </c>
      <c r="U153" s="35">
        <v>42120</v>
      </c>
      <c r="V153" s="36">
        <v>2011</v>
      </c>
      <c r="W153" s="36">
        <v>3106</v>
      </c>
      <c r="X153" s="41">
        <v>9.52</v>
      </c>
      <c r="Y153" s="40">
        <v>117</v>
      </c>
      <c r="Z153" s="40">
        <v>1446</v>
      </c>
      <c r="AA153" s="42">
        <v>81730</v>
      </c>
      <c r="AB153" s="21">
        <v>1</v>
      </c>
      <c r="AC153" s="21">
        <v>1</v>
      </c>
      <c r="AD153" s="43">
        <v>1</v>
      </c>
      <c r="AE153" s="21">
        <v>3</v>
      </c>
      <c r="AF153" s="21">
        <v>4</v>
      </c>
      <c r="AG153" s="42">
        <v>4</v>
      </c>
      <c r="AH153" s="21" t="s">
        <v>661</v>
      </c>
    </row>
    <row r="154" spans="1:34" s="416" customFormat="1" ht="13.5" customHeight="1">
      <c r="A154" s="404" t="s">
        <v>789</v>
      </c>
      <c r="B154" s="409">
        <v>387</v>
      </c>
      <c r="C154" s="398">
        <v>921</v>
      </c>
      <c r="D154" s="398">
        <v>420</v>
      </c>
      <c r="E154" s="406">
        <v>21.3</v>
      </c>
      <c r="F154" s="406">
        <v>36.6</v>
      </c>
      <c r="G154" s="399">
        <v>24</v>
      </c>
      <c r="H154" s="407">
        <v>493</v>
      </c>
      <c r="I154" s="398">
        <v>847.8</v>
      </c>
      <c r="J154" s="398">
        <v>799.8</v>
      </c>
      <c r="K154" s="398" t="s">
        <v>667</v>
      </c>
      <c r="L154" s="408">
        <v>128</v>
      </c>
      <c r="M154" s="409">
        <v>314</v>
      </c>
      <c r="N154" s="410">
        <v>3.44</v>
      </c>
      <c r="O154" s="410">
        <v>8.8800000000000008</v>
      </c>
      <c r="P154" s="406">
        <v>718300</v>
      </c>
      <c r="Q154" s="408">
        <v>15600</v>
      </c>
      <c r="R154" s="408">
        <v>17630</v>
      </c>
      <c r="S154" s="411">
        <v>38.17</v>
      </c>
      <c r="T154" s="407">
        <v>210.9</v>
      </c>
      <c r="U154" s="408">
        <v>45280</v>
      </c>
      <c r="V154" s="406">
        <v>2156</v>
      </c>
      <c r="W154" s="406">
        <v>3332</v>
      </c>
      <c r="X154" s="407">
        <v>9.58</v>
      </c>
      <c r="Y154" s="411">
        <v>122.6</v>
      </c>
      <c r="Z154" s="411">
        <v>1734</v>
      </c>
      <c r="AA154" s="400">
        <v>88370</v>
      </c>
      <c r="AB154" s="398">
        <v>1</v>
      </c>
      <c r="AC154" s="398">
        <v>1</v>
      </c>
      <c r="AD154" s="399">
        <v>1</v>
      </c>
      <c r="AE154" s="398">
        <v>2</v>
      </c>
      <c r="AF154" s="398">
        <v>4</v>
      </c>
      <c r="AG154" s="400">
        <v>4</v>
      </c>
      <c r="AH154" s="398" t="s">
        <v>661</v>
      </c>
    </row>
    <row r="155" spans="1:34" s="10" customFormat="1" ht="13.5" customHeight="1">
      <c r="A155" s="33" t="s">
        <v>790</v>
      </c>
      <c r="B155" s="44">
        <v>417</v>
      </c>
      <c r="C155" s="21">
        <v>928</v>
      </c>
      <c r="D155" s="21">
        <v>422</v>
      </c>
      <c r="E155" s="36">
        <v>22.5</v>
      </c>
      <c r="F155" s="36">
        <v>39.9</v>
      </c>
      <c r="G155" s="43">
        <v>24</v>
      </c>
      <c r="H155" s="41">
        <v>532.5</v>
      </c>
      <c r="I155" s="21">
        <v>848.2</v>
      </c>
      <c r="J155" s="21">
        <v>800.2</v>
      </c>
      <c r="K155" s="21" t="s">
        <v>667</v>
      </c>
      <c r="L155" s="35">
        <v>130</v>
      </c>
      <c r="M155" s="38">
        <v>316</v>
      </c>
      <c r="N155" s="39">
        <v>3.46</v>
      </c>
      <c r="O155" s="39">
        <v>8.27</v>
      </c>
      <c r="P155" s="36">
        <v>787600</v>
      </c>
      <c r="Q155" s="35">
        <v>16970</v>
      </c>
      <c r="R155" s="35">
        <v>19210</v>
      </c>
      <c r="S155" s="40">
        <v>38.46</v>
      </c>
      <c r="T155" s="41">
        <v>223.9</v>
      </c>
      <c r="U155" s="35">
        <v>50070</v>
      </c>
      <c r="V155" s="36">
        <v>2373</v>
      </c>
      <c r="W155" s="36">
        <v>3668</v>
      </c>
      <c r="X155" s="41">
        <v>9.6999999999999993</v>
      </c>
      <c r="Y155" s="40">
        <v>130.4</v>
      </c>
      <c r="Z155" s="40">
        <v>2200</v>
      </c>
      <c r="AA155" s="42">
        <v>98540</v>
      </c>
      <c r="AB155" s="21">
        <v>1</v>
      </c>
      <c r="AC155" s="21">
        <v>1</v>
      </c>
      <c r="AD155" s="43">
        <v>1</v>
      </c>
      <c r="AE155" s="21">
        <v>2</v>
      </c>
      <c r="AF155" s="21">
        <v>4</v>
      </c>
      <c r="AG155" s="42">
        <v>4</v>
      </c>
      <c r="AH155" s="21" t="s">
        <v>661</v>
      </c>
    </row>
    <row r="156" spans="1:34" s="416" customFormat="1" ht="13.5" customHeight="1">
      <c r="A156" s="404" t="s">
        <v>791</v>
      </c>
      <c r="B156" s="409">
        <v>446</v>
      </c>
      <c r="C156" s="398">
        <v>933</v>
      </c>
      <c r="D156" s="398">
        <v>423</v>
      </c>
      <c r="E156" s="406">
        <v>24</v>
      </c>
      <c r="F156" s="406">
        <v>42.7</v>
      </c>
      <c r="G156" s="399">
        <v>24</v>
      </c>
      <c r="H156" s="407">
        <v>569.6</v>
      </c>
      <c r="I156" s="398">
        <v>847.6</v>
      </c>
      <c r="J156" s="398">
        <v>799.6</v>
      </c>
      <c r="K156" s="398" t="s">
        <v>667</v>
      </c>
      <c r="L156" s="408">
        <v>130</v>
      </c>
      <c r="M156" s="409">
        <v>318</v>
      </c>
      <c r="N156" s="410">
        <v>3.47</v>
      </c>
      <c r="O156" s="410">
        <v>7.76</v>
      </c>
      <c r="P156" s="406">
        <v>846800</v>
      </c>
      <c r="Q156" s="408">
        <v>18150</v>
      </c>
      <c r="R156" s="408">
        <v>20600</v>
      </c>
      <c r="S156" s="411">
        <v>38.56</v>
      </c>
      <c r="T156" s="407">
        <v>239.1</v>
      </c>
      <c r="U156" s="408">
        <v>53980</v>
      </c>
      <c r="V156" s="406">
        <v>2552</v>
      </c>
      <c r="W156" s="406">
        <v>3951</v>
      </c>
      <c r="X156" s="407">
        <v>9.73</v>
      </c>
      <c r="Y156" s="411">
        <v>137.5</v>
      </c>
      <c r="Z156" s="411">
        <v>2685</v>
      </c>
      <c r="AA156" s="400">
        <v>106740</v>
      </c>
      <c r="AB156" s="398">
        <v>1</v>
      </c>
      <c r="AC156" s="398">
        <v>1</v>
      </c>
      <c r="AD156" s="399">
        <v>1</v>
      </c>
      <c r="AE156" s="398">
        <v>2</v>
      </c>
      <c r="AF156" s="398">
        <v>3</v>
      </c>
      <c r="AG156" s="400">
        <v>4</v>
      </c>
      <c r="AH156" s="398" t="s">
        <v>661</v>
      </c>
    </row>
    <row r="157" spans="1:34" s="10" customFormat="1" ht="13.5" customHeight="1">
      <c r="A157" s="33" t="s">
        <v>792</v>
      </c>
      <c r="B157" s="44">
        <v>488</v>
      </c>
      <c r="C157" s="21">
        <v>942</v>
      </c>
      <c r="D157" s="21">
        <v>422</v>
      </c>
      <c r="E157" s="36">
        <v>25.9</v>
      </c>
      <c r="F157" s="36">
        <v>47</v>
      </c>
      <c r="G157" s="43">
        <v>24</v>
      </c>
      <c r="H157" s="41">
        <v>621.29999999999995</v>
      </c>
      <c r="I157" s="21">
        <v>848</v>
      </c>
      <c r="J157" s="21">
        <v>800</v>
      </c>
      <c r="K157" s="21" t="s">
        <v>667</v>
      </c>
      <c r="L157" s="35">
        <v>132</v>
      </c>
      <c r="M157" s="38">
        <v>316</v>
      </c>
      <c r="N157" s="39">
        <v>3.48</v>
      </c>
      <c r="O157" s="39">
        <v>7.13</v>
      </c>
      <c r="P157" s="36">
        <v>935390</v>
      </c>
      <c r="Q157" s="35">
        <v>19860</v>
      </c>
      <c r="R157" s="35">
        <v>22615</v>
      </c>
      <c r="S157" s="40">
        <v>38.799999999999997</v>
      </c>
      <c r="T157" s="41">
        <v>259.3</v>
      </c>
      <c r="U157" s="35">
        <v>59010</v>
      </c>
      <c r="V157" s="36">
        <v>2797</v>
      </c>
      <c r="W157" s="36">
        <v>4336</v>
      </c>
      <c r="X157" s="41">
        <v>9.75</v>
      </c>
      <c r="Y157" s="40">
        <v>148</v>
      </c>
      <c r="Z157" s="40">
        <v>3514</v>
      </c>
      <c r="AA157" s="42">
        <v>117890</v>
      </c>
      <c r="AB157" s="21">
        <v>1</v>
      </c>
      <c r="AC157" s="21">
        <v>1</v>
      </c>
      <c r="AD157" s="43">
        <v>1</v>
      </c>
      <c r="AE157" s="21">
        <v>1</v>
      </c>
      <c r="AF157" s="21">
        <v>2</v>
      </c>
      <c r="AG157" s="42">
        <v>4</v>
      </c>
      <c r="AH157" s="21" t="s">
        <v>661</v>
      </c>
    </row>
    <row r="158" spans="1:34" s="416" customFormat="1" ht="13.5" customHeight="1">
      <c r="A158" s="404" t="s">
        <v>793</v>
      </c>
      <c r="B158" s="409">
        <v>534</v>
      </c>
      <c r="C158" s="398">
        <v>950</v>
      </c>
      <c r="D158" s="398">
        <v>425</v>
      </c>
      <c r="E158" s="406">
        <v>28.4</v>
      </c>
      <c r="F158" s="406">
        <v>51.1</v>
      </c>
      <c r="G158" s="399">
        <v>24</v>
      </c>
      <c r="H158" s="407">
        <v>680.1</v>
      </c>
      <c r="I158" s="398">
        <v>847.8</v>
      </c>
      <c r="J158" s="398">
        <v>799.8</v>
      </c>
      <c r="K158" s="398" t="s">
        <v>667</v>
      </c>
      <c r="L158" s="408">
        <v>136</v>
      </c>
      <c r="M158" s="409">
        <v>320</v>
      </c>
      <c r="N158" s="410">
        <v>3.5</v>
      </c>
      <c r="O158" s="410">
        <v>6.56</v>
      </c>
      <c r="P158" s="406">
        <v>1031000</v>
      </c>
      <c r="Q158" s="408">
        <v>21710</v>
      </c>
      <c r="R158" s="408">
        <v>24830</v>
      </c>
      <c r="S158" s="411">
        <v>38.94</v>
      </c>
      <c r="T158" s="407">
        <v>284.8</v>
      </c>
      <c r="U158" s="408">
        <v>65560</v>
      </c>
      <c r="V158" s="406">
        <v>3085</v>
      </c>
      <c r="W158" s="406">
        <v>4796</v>
      </c>
      <c r="X158" s="407">
        <v>9.82</v>
      </c>
      <c r="Y158" s="411">
        <v>158.69999999999999</v>
      </c>
      <c r="Z158" s="411">
        <v>4542</v>
      </c>
      <c r="AA158" s="400">
        <v>132070</v>
      </c>
      <c r="AB158" s="398">
        <v>1</v>
      </c>
      <c r="AC158" s="398">
        <v>1</v>
      </c>
      <c r="AD158" s="399">
        <v>1</v>
      </c>
      <c r="AE158" s="398">
        <v>1</v>
      </c>
      <c r="AF158" s="398">
        <v>2</v>
      </c>
      <c r="AG158" s="400">
        <v>3</v>
      </c>
      <c r="AH158" s="398" t="s">
        <v>661</v>
      </c>
    </row>
    <row r="159" spans="1:34" s="10" customFormat="1" ht="13.5" customHeight="1">
      <c r="A159" s="33" t="s">
        <v>794</v>
      </c>
      <c r="B159" s="44">
        <v>585</v>
      </c>
      <c r="C159" s="21">
        <v>960</v>
      </c>
      <c r="D159" s="21">
        <v>427</v>
      </c>
      <c r="E159" s="36">
        <v>31</v>
      </c>
      <c r="F159" s="36">
        <v>55.9</v>
      </c>
      <c r="G159" s="43">
        <v>24</v>
      </c>
      <c r="H159" s="41">
        <v>745.3</v>
      </c>
      <c r="I159" s="21">
        <v>848.2</v>
      </c>
      <c r="J159" s="21">
        <v>800.2</v>
      </c>
      <c r="K159" s="21" t="s">
        <v>667</v>
      </c>
      <c r="L159" s="35">
        <v>138</v>
      </c>
      <c r="M159" s="38">
        <v>322</v>
      </c>
      <c r="N159" s="39">
        <v>3.52</v>
      </c>
      <c r="O159" s="39">
        <v>6.02</v>
      </c>
      <c r="P159" s="36">
        <v>1143090</v>
      </c>
      <c r="Q159" s="35">
        <v>23814</v>
      </c>
      <c r="R159" s="35">
        <v>27363</v>
      </c>
      <c r="S159" s="40">
        <v>39.159999999999997</v>
      </c>
      <c r="T159" s="41">
        <v>312</v>
      </c>
      <c r="U159" s="35">
        <v>72770</v>
      </c>
      <c r="V159" s="36">
        <v>3408</v>
      </c>
      <c r="W159" s="36">
        <v>5310</v>
      </c>
      <c r="X159" s="41">
        <v>9.8800000000000008</v>
      </c>
      <c r="Y159" s="40">
        <v>170.9</v>
      </c>
      <c r="Z159" s="40">
        <v>5932</v>
      </c>
      <c r="AA159" s="42">
        <v>148220</v>
      </c>
      <c r="AB159" s="21">
        <v>1</v>
      </c>
      <c r="AC159" s="21">
        <v>1</v>
      </c>
      <c r="AD159" s="43">
        <v>1</v>
      </c>
      <c r="AE159" s="21">
        <v>1</v>
      </c>
      <c r="AF159" s="21">
        <v>1</v>
      </c>
      <c r="AG159" s="42">
        <v>2</v>
      </c>
      <c r="AH159" s="21" t="s">
        <v>661</v>
      </c>
    </row>
    <row r="160" spans="1:34" s="416" customFormat="1" ht="13.5" customHeight="1">
      <c r="A160" s="404" t="s">
        <v>795</v>
      </c>
      <c r="B160" s="409">
        <v>653</v>
      </c>
      <c r="C160" s="398">
        <v>972</v>
      </c>
      <c r="D160" s="398">
        <v>431</v>
      </c>
      <c r="E160" s="406">
        <v>34.5</v>
      </c>
      <c r="F160" s="406">
        <v>62</v>
      </c>
      <c r="G160" s="399">
        <v>24</v>
      </c>
      <c r="H160" s="407">
        <v>831.9</v>
      </c>
      <c r="I160" s="398">
        <v>848</v>
      </c>
      <c r="J160" s="398">
        <v>800</v>
      </c>
      <c r="K160" s="398" t="s">
        <v>667</v>
      </c>
      <c r="L160" s="408">
        <v>144</v>
      </c>
      <c r="M160" s="409">
        <v>320</v>
      </c>
      <c r="N160" s="410">
        <v>3.56</v>
      </c>
      <c r="O160" s="410">
        <v>5.45</v>
      </c>
      <c r="P160" s="406">
        <v>1292000</v>
      </c>
      <c r="Q160" s="408">
        <v>26590</v>
      </c>
      <c r="R160" s="408">
        <v>30730</v>
      </c>
      <c r="S160" s="411">
        <v>39.409999999999997</v>
      </c>
      <c r="T160" s="407">
        <v>348.7</v>
      </c>
      <c r="U160" s="408">
        <v>83050</v>
      </c>
      <c r="V160" s="406">
        <v>3854</v>
      </c>
      <c r="W160" s="406">
        <v>6022</v>
      </c>
      <c r="X160" s="407">
        <v>9.99</v>
      </c>
      <c r="Y160" s="411">
        <v>186.6</v>
      </c>
      <c r="Z160" s="411">
        <v>8124</v>
      </c>
      <c r="AA160" s="400">
        <v>171280</v>
      </c>
      <c r="AB160" s="398">
        <v>1</v>
      </c>
      <c r="AC160" s="398">
        <v>1</v>
      </c>
      <c r="AD160" s="399">
        <v>1</v>
      </c>
      <c r="AE160" s="398">
        <v>1</v>
      </c>
      <c r="AF160" s="398">
        <v>1</v>
      </c>
      <c r="AG160" s="400">
        <v>1</v>
      </c>
      <c r="AH160" s="398" t="s">
        <v>661</v>
      </c>
    </row>
    <row r="161" spans="1:34" s="10" customFormat="1" ht="13.5" customHeight="1">
      <c r="A161" s="33" t="s">
        <v>796</v>
      </c>
      <c r="B161" s="44">
        <v>784</v>
      </c>
      <c r="C161" s="21">
        <v>996</v>
      </c>
      <c r="D161" s="21">
        <v>437</v>
      </c>
      <c r="E161" s="36">
        <v>40.9</v>
      </c>
      <c r="F161" s="36">
        <v>73.900000000000006</v>
      </c>
      <c r="G161" s="43">
        <v>24</v>
      </c>
      <c r="H161" s="41">
        <v>997.7</v>
      </c>
      <c r="I161" s="21">
        <v>848.2</v>
      </c>
      <c r="J161" s="21">
        <v>800.2</v>
      </c>
      <c r="K161" s="21" t="s">
        <v>667</v>
      </c>
      <c r="L161" s="35">
        <v>152</v>
      </c>
      <c r="M161" s="38">
        <v>326</v>
      </c>
      <c r="N161" s="39">
        <v>3.62</v>
      </c>
      <c r="O161" s="39">
        <v>4.62</v>
      </c>
      <c r="P161" s="36">
        <v>1593000</v>
      </c>
      <c r="Q161" s="35">
        <v>31980</v>
      </c>
      <c r="R161" s="35">
        <v>37340</v>
      </c>
      <c r="S161" s="40">
        <v>39.950000000000003</v>
      </c>
      <c r="T161" s="41">
        <v>417.6</v>
      </c>
      <c r="U161" s="35">
        <v>103300</v>
      </c>
      <c r="V161" s="36">
        <v>4728</v>
      </c>
      <c r="W161" s="36">
        <v>7424</v>
      </c>
      <c r="X161" s="41">
        <v>10.18</v>
      </c>
      <c r="Y161" s="40">
        <v>216.8</v>
      </c>
      <c r="Z161" s="40">
        <v>13730</v>
      </c>
      <c r="AA161" s="42">
        <v>218490</v>
      </c>
      <c r="AB161" s="21">
        <v>1</v>
      </c>
      <c r="AC161" s="21">
        <v>1</v>
      </c>
      <c r="AD161" s="43" t="s">
        <v>616</v>
      </c>
      <c r="AE161" s="21">
        <v>1</v>
      </c>
      <c r="AF161" s="21">
        <v>1</v>
      </c>
      <c r="AG161" s="42" t="s">
        <v>616</v>
      </c>
      <c r="AH161" s="21"/>
    </row>
    <row r="162" spans="1:34" s="416" customFormat="1" ht="13.5" customHeight="1">
      <c r="A162" s="404" t="s">
        <v>797</v>
      </c>
      <c r="B162" s="409">
        <v>967</v>
      </c>
      <c r="C162" s="398">
        <v>1028</v>
      </c>
      <c r="D162" s="398">
        <v>446</v>
      </c>
      <c r="E162" s="406">
        <v>50</v>
      </c>
      <c r="F162" s="406">
        <v>89.9</v>
      </c>
      <c r="G162" s="399">
        <v>24</v>
      </c>
      <c r="H162" s="407">
        <v>1231</v>
      </c>
      <c r="I162" s="398">
        <v>848.2</v>
      </c>
      <c r="J162" s="398">
        <v>800.2</v>
      </c>
      <c r="K162" s="398" t="s">
        <v>667</v>
      </c>
      <c r="L162" s="408">
        <v>160</v>
      </c>
      <c r="M162" s="409">
        <v>334</v>
      </c>
      <c r="N162" s="410">
        <v>3.7</v>
      </c>
      <c r="O162" s="410">
        <v>3.83</v>
      </c>
      <c r="P162" s="406">
        <v>2033000</v>
      </c>
      <c r="Q162" s="408">
        <v>39540</v>
      </c>
      <c r="R162" s="408">
        <v>46810</v>
      </c>
      <c r="S162" s="411">
        <v>40.64</v>
      </c>
      <c r="T162" s="407">
        <v>517.1</v>
      </c>
      <c r="U162" s="408">
        <v>133900</v>
      </c>
      <c r="V162" s="406">
        <v>6003</v>
      </c>
      <c r="W162" s="406">
        <v>9486</v>
      </c>
      <c r="X162" s="407">
        <v>10.43</v>
      </c>
      <c r="Y162" s="411">
        <v>257.89999999999998</v>
      </c>
      <c r="Z162" s="411">
        <v>24930</v>
      </c>
      <c r="AA162" s="400">
        <v>292450</v>
      </c>
      <c r="AB162" s="398">
        <v>1</v>
      </c>
      <c r="AC162" s="398">
        <v>1</v>
      </c>
      <c r="AD162" s="399" t="s">
        <v>616</v>
      </c>
      <c r="AE162" s="398">
        <v>1</v>
      </c>
      <c r="AF162" s="398">
        <v>1</v>
      </c>
      <c r="AG162" s="400" t="s">
        <v>616</v>
      </c>
      <c r="AH162" s="398"/>
    </row>
    <row r="163" spans="1:34" s="10" customFormat="1" ht="13.5" customHeight="1">
      <c r="A163" s="33"/>
      <c r="B163" s="44"/>
      <c r="C163" s="21"/>
      <c r="D163" s="21"/>
      <c r="E163" s="36"/>
      <c r="F163" s="36"/>
      <c r="G163" s="43"/>
      <c r="H163" s="41"/>
      <c r="I163" s="21"/>
      <c r="J163" s="21"/>
      <c r="K163" s="21"/>
      <c r="L163" s="35"/>
      <c r="M163" s="38"/>
      <c r="N163" s="39"/>
      <c r="O163" s="39"/>
      <c r="P163" s="36"/>
      <c r="Q163" s="35"/>
      <c r="R163" s="35"/>
      <c r="S163" s="40"/>
      <c r="T163" s="41"/>
      <c r="U163" s="35"/>
      <c r="V163" s="36"/>
      <c r="W163" s="36"/>
      <c r="X163" s="41"/>
      <c r="Y163" s="40"/>
      <c r="Z163" s="40"/>
      <c r="AA163" s="42"/>
      <c r="AB163" s="21"/>
      <c r="AC163" s="21"/>
      <c r="AD163" s="43"/>
      <c r="AE163" s="21"/>
      <c r="AF163" s="21"/>
      <c r="AG163" s="42"/>
      <c r="AH163" s="21"/>
    </row>
    <row r="164" spans="1:34" s="416" customFormat="1" ht="13.5" customHeight="1">
      <c r="A164" s="404" t="s">
        <v>798</v>
      </c>
      <c r="B164" s="409">
        <v>296</v>
      </c>
      <c r="C164" s="398">
        <v>982</v>
      </c>
      <c r="D164" s="398">
        <v>400</v>
      </c>
      <c r="E164" s="406">
        <v>16.5</v>
      </c>
      <c r="F164" s="406">
        <v>27</v>
      </c>
      <c r="G164" s="399">
        <v>30</v>
      </c>
      <c r="H164" s="407">
        <v>376.8</v>
      </c>
      <c r="I164" s="398">
        <v>928</v>
      </c>
      <c r="J164" s="398">
        <v>868</v>
      </c>
      <c r="K164" s="398" t="s">
        <v>667</v>
      </c>
      <c r="L164" s="408">
        <v>134</v>
      </c>
      <c r="M164" s="409">
        <v>294</v>
      </c>
      <c r="N164" s="410">
        <v>3.4790000000000001</v>
      </c>
      <c r="O164" s="410">
        <v>11.76</v>
      </c>
      <c r="P164" s="406">
        <v>618700</v>
      </c>
      <c r="Q164" s="408">
        <v>12600</v>
      </c>
      <c r="R164" s="408">
        <v>14220</v>
      </c>
      <c r="S164" s="411">
        <v>40.520000000000003</v>
      </c>
      <c r="T164" s="407">
        <v>181.5</v>
      </c>
      <c r="U164" s="408">
        <v>28850</v>
      </c>
      <c r="V164" s="406">
        <v>1443</v>
      </c>
      <c r="W164" s="406">
        <v>2235</v>
      </c>
      <c r="X164" s="407">
        <v>8.75</v>
      </c>
      <c r="Y164" s="411">
        <v>105.6</v>
      </c>
      <c r="Z164" s="411">
        <v>756.9</v>
      </c>
      <c r="AA164" s="400">
        <v>65670</v>
      </c>
      <c r="AB164" s="398">
        <v>1</v>
      </c>
      <c r="AC164" s="398">
        <v>1</v>
      </c>
      <c r="AD164" s="399">
        <v>2</v>
      </c>
      <c r="AE164" s="398">
        <v>4</v>
      </c>
      <c r="AF164" s="398">
        <v>4</v>
      </c>
      <c r="AG164" s="400">
        <v>4</v>
      </c>
      <c r="AH164" s="398" t="s">
        <v>661</v>
      </c>
    </row>
    <row r="165" spans="1:34" s="10" customFormat="1" ht="13.5" customHeight="1">
      <c r="A165" s="33" t="s">
        <v>799</v>
      </c>
      <c r="B165" s="44">
        <v>321</v>
      </c>
      <c r="C165" s="21">
        <v>990</v>
      </c>
      <c r="D165" s="21">
        <v>400</v>
      </c>
      <c r="E165" s="36">
        <v>16.5</v>
      </c>
      <c r="F165" s="36">
        <v>31</v>
      </c>
      <c r="G165" s="43">
        <v>30</v>
      </c>
      <c r="H165" s="41">
        <v>408.8</v>
      </c>
      <c r="I165" s="21">
        <v>928</v>
      </c>
      <c r="J165" s="21">
        <v>868</v>
      </c>
      <c r="K165" s="21" t="s">
        <v>667</v>
      </c>
      <c r="L165" s="35">
        <v>134</v>
      </c>
      <c r="M165" s="38">
        <v>294</v>
      </c>
      <c r="N165" s="39">
        <v>3.4950000000000001</v>
      </c>
      <c r="O165" s="39">
        <v>10.89</v>
      </c>
      <c r="P165" s="36">
        <v>696400</v>
      </c>
      <c r="Q165" s="35">
        <v>14070</v>
      </c>
      <c r="R165" s="35">
        <v>15800</v>
      </c>
      <c r="S165" s="40">
        <v>41.27</v>
      </c>
      <c r="T165" s="41">
        <v>184.6</v>
      </c>
      <c r="U165" s="35">
        <v>33120</v>
      </c>
      <c r="V165" s="36">
        <v>1656</v>
      </c>
      <c r="W165" s="36">
        <v>2555</v>
      </c>
      <c r="X165" s="41">
        <v>9</v>
      </c>
      <c r="Y165" s="40">
        <v>113.6</v>
      </c>
      <c r="Z165" s="40">
        <v>1021</v>
      </c>
      <c r="AA165" s="42">
        <v>76030</v>
      </c>
      <c r="AB165" s="21">
        <v>1</v>
      </c>
      <c r="AC165" s="21">
        <v>1</v>
      </c>
      <c r="AD165" s="43">
        <v>2</v>
      </c>
      <c r="AE165" s="21">
        <v>4</v>
      </c>
      <c r="AF165" s="21">
        <v>4</v>
      </c>
      <c r="AG165" s="42">
        <v>4</v>
      </c>
      <c r="AH165" s="21" t="s">
        <v>661</v>
      </c>
    </row>
    <row r="166" spans="1:34" s="416" customFormat="1" ht="13.5" customHeight="1">
      <c r="A166" s="404" t="s">
        <v>800</v>
      </c>
      <c r="B166" s="409">
        <v>371</v>
      </c>
      <c r="C166" s="398">
        <v>1000</v>
      </c>
      <c r="D166" s="398">
        <v>400</v>
      </c>
      <c r="E166" s="406">
        <v>19</v>
      </c>
      <c r="F166" s="406">
        <v>36</v>
      </c>
      <c r="G166" s="399">
        <v>30</v>
      </c>
      <c r="H166" s="407">
        <v>472</v>
      </c>
      <c r="I166" s="398">
        <v>928</v>
      </c>
      <c r="J166" s="398">
        <v>868</v>
      </c>
      <c r="K166" s="398" t="s">
        <v>667</v>
      </c>
      <c r="L166" s="408">
        <v>136</v>
      </c>
      <c r="M166" s="409">
        <v>294</v>
      </c>
      <c r="N166" s="410">
        <v>3.51</v>
      </c>
      <c r="O166" s="410">
        <v>9.4740000000000002</v>
      </c>
      <c r="P166" s="406">
        <v>812100</v>
      </c>
      <c r="Q166" s="408">
        <v>16240</v>
      </c>
      <c r="R166" s="408">
        <v>18330</v>
      </c>
      <c r="S166" s="411">
        <v>41.48</v>
      </c>
      <c r="T166" s="407">
        <v>212.5</v>
      </c>
      <c r="U166" s="408">
        <v>38480</v>
      </c>
      <c r="V166" s="406">
        <v>1924</v>
      </c>
      <c r="W166" s="406">
        <v>2976</v>
      </c>
      <c r="X166" s="407">
        <v>9.0299999999999994</v>
      </c>
      <c r="Y166" s="411">
        <v>126.1</v>
      </c>
      <c r="Z166" s="411">
        <v>1565</v>
      </c>
      <c r="AA166" s="400">
        <v>89210</v>
      </c>
      <c r="AB166" s="398">
        <v>1</v>
      </c>
      <c r="AC166" s="398">
        <v>1</v>
      </c>
      <c r="AD166" s="399">
        <v>1</v>
      </c>
      <c r="AE166" s="398">
        <v>4</v>
      </c>
      <c r="AF166" s="398">
        <v>4</v>
      </c>
      <c r="AG166" s="400">
        <v>4</v>
      </c>
      <c r="AH166" s="398" t="s">
        <v>661</v>
      </c>
    </row>
    <row r="167" spans="1:34" s="10" customFormat="1" ht="13.5" customHeight="1">
      <c r="A167" s="33" t="s">
        <v>801</v>
      </c>
      <c r="B167" s="44">
        <v>412</v>
      </c>
      <c r="C167" s="21">
        <v>1008</v>
      </c>
      <c r="D167" s="21">
        <v>402</v>
      </c>
      <c r="E167" s="36">
        <v>21</v>
      </c>
      <c r="F167" s="36">
        <v>40</v>
      </c>
      <c r="G167" s="43">
        <v>30</v>
      </c>
      <c r="H167" s="41">
        <v>524.20000000000005</v>
      </c>
      <c r="I167" s="21">
        <v>928</v>
      </c>
      <c r="J167" s="21">
        <v>868</v>
      </c>
      <c r="K167" s="21" t="s">
        <v>667</v>
      </c>
      <c r="L167" s="35">
        <v>142</v>
      </c>
      <c r="M167" s="38">
        <v>290</v>
      </c>
      <c r="N167" s="39">
        <v>3.53</v>
      </c>
      <c r="O167" s="39">
        <v>8.58</v>
      </c>
      <c r="P167" s="36">
        <v>909800</v>
      </c>
      <c r="Q167" s="35">
        <v>18050</v>
      </c>
      <c r="R167" s="35">
        <v>20440</v>
      </c>
      <c r="S167" s="40">
        <v>41.66</v>
      </c>
      <c r="T167" s="41">
        <v>235</v>
      </c>
      <c r="U167" s="35">
        <v>43410</v>
      </c>
      <c r="V167" s="36">
        <v>2160</v>
      </c>
      <c r="W167" s="36">
        <v>3348</v>
      </c>
      <c r="X167" s="41">
        <v>9.1</v>
      </c>
      <c r="Y167" s="40">
        <v>136.1</v>
      </c>
      <c r="Z167" s="40">
        <v>2128</v>
      </c>
      <c r="AA167" s="42">
        <v>101460</v>
      </c>
      <c r="AB167" s="21">
        <v>1</v>
      </c>
      <c r="AC167" s="21">
        <v>1</v>
      </c>
      <c r="AD167" s="43">
        <v>1</v>
      </c>
      <c r="AE167" s="21">
        <v>3</v>
      </c>
      <c r="AF167" s="21">
        <v>4</v>
      </c>
      <c r="AG167" s="42">
        <v>4</v>
      </c>
      <c r="AH167" s="21" t="s">
        <v>661</v>
      </c>
    </row>
    <row r="168" spans="1:34" s="416" customFormat="1" ht="13.5" customHeight="1">
      <c r="A168" s="404" t="s">
        <v>802</v>
      </c>
      <c r="B168" s="409">
        <v>477</v>
      </c>
      <c r="C168" s="398">
        <v>1018</v>
      </c>
      <c r="D168" s="398">
        <v>404</v>
      </c>
      <c r="E168" s="406">
        <v>25.5</v>
      </c>
      <c r="F168" s="406">
        <v>45</v>
      </c>
      <c r="G168" s="399">
        <v>30</v>
      </c>
      <c r="H168" s="407">
        <v>608</v>
      </c>
      <c r="I168" s="398">
        <v>928</v>
      </c>
      <c r="J168" s="398">
        <v>868</v>
      </c>
      <c r="K168" s="398" t="s">
        <v>667</v>
      </c>
      <c r="L168" s="408">
        <v>146</v>
      </c>
      <c r="M168" s="409">
        <v>292</v>
      </c>
      <c r="N168" s="410">
        <v>3.5489999999999999</v>
      </c>
      <c r="O168" s="410">
        <v>7.4370000000000003</v>
      </c>
      <c r="P168" s="406">
        <v>1047000</v>
      </c>
      <c r="Q168" s="408">
        <v>20570</v>
      </c>
      <c r="R168" s="408">
        <v>23530</v>
      </c>
      <c r="S168" s="411">
        <v>41.5</v>
      </c>
      <c r="T168" s="407">
        <v>282.8</v>
      </c>
      <c r="U168" s="408">
        <v>49610</v>
      </c>
      <c r="V168" s="406">
        <v>2456</v>
      </c>
      <c r="W168" s="406">
        <v>3838</v>
      </c>
      <c r="X168" s="407">
        <v>9.0299999999999994</v>
      </c>
      <c r="Y168" s="411">
        <v>150.6</v>
      </c>
      <c r="Z168" s="411">
        <v>3159</v>
      </c>
      <c r="AA168" s="400">
        <v>117050</v>
      </c>
      <c r="AB168" s="398">
        <v>1</v>
      </c>
      <c r="AC168" s="398">
        <v>1</v>
      </c>
      <c r="AD168" s="399">
        <v>1</v>
      </c>
      <c r="AE168" s="398">
        <v>2</v>
      </c>
      <c r="AF168" s="398">
        <v>3</v>
      </c>
      <c r="AG168" s="400">
        <v>4</v>
      </c>
      <c r="AH168" s="398" t="s">
        <v>661</v>
      </c>
    </row>
    <row r="169" spans="1:34" s="10" customFormat="1" ht="13.5" customHeight="1">
      <c r="A169" s="33" t="s">
        <v>803</v>
      </c>
      <c r="B169" s="44">
        <v>554</v>
      </c>
      <c r="C169" s="21">
        <v>1032</v>
      </c>
      <c r="D169" s="21">
        <v>408</v>
      </c>
      <c r="E169" s="36">
        <v>29.5</v>
      </c>
      <c r="F169" s="36">
        <v>52</v>
      </c>
      <c r="G169" s="43">
        <v>30</v>
      </c>
      <c r="H169" s="41">
        <v>705.8</v>
      </c>
      <c r="I169" s="21">
        <v>928</v>
      </c>
      <c r="J169" s="21">
        <v>868</v>
      </c>
      <c r="K169" s="21" t="s">
        <v>667</v>
      </c>
      <c r="L169" s="35">
        <v>150</v>
      </c>
      <c r="M169" s="38">
        <v>296</v>
      </c>
      <c r="N169" s="39">
        <v>3.585</v>
      </c>
      <c r="O169" s="39">
        <v>6.4710000000000001</v>
      </c>
      <c r="P169" s="36">
        <v>1232000</v>
      </c>
      <c r="Q169" s="35">
        <v>23880</v>
      </c>
      <c r="R169" s="35">
        <v>27500</v>
      </c>
      <c r="S169" s="40">
        <v>41.79</v>
      </c>
      <c r="T169" s="41">
        <v>328</v>
      </c>
      <c r="U169" s="35">
        <v>59100</v>
      </c>
      <c r="V169" s="36">
        <v>2897</v>
      </c>
      <c r="W169" s="36">
        <v>4547</v>
      </c>
      <c r="X169" s="41">
        <v>9.15</v>
      </c>
      <c r="Y169" s="40">
        <v>168.6</v>
      </c>
      <c r="Z169" s="40">
        <v>4860</v>
      </c>
      <c r="AA169" s="42">
        <v>141330</v>
      </c>
      <c r="AB169" s="21">
        <v>1</v>
      </c>
      <c r="AC169" s="21">
        <v>1</v>
      </c>
      <c r="AD169" s="43">
        <v>1</v>
      </c>
      <c r="AE169" s="21">
        <v>1</v>
      </c>
      <c r="AF169" s="21">
        <v>2</v>
      </c>
      <c r="AG169" s="42">
        <v>3</v>
      </c>
      <c r="AH169" s="21" t="s">
        <v>661</v>
      </c>
    </row>
    <row r="170" spans="1:34" s="416" customFormat="1" ht="13.5" customHeight="1">
      <c r="A170" s="404" t="s">
        <v>804</v>
      </c>
      <c r="B170" s="409">
        <v>642</v>
      </c>
      <c r="C170" s="398">
        <v>1048</v>
      </c>
      <c r="D170" s="398">
        <v>412</v>
      </c>
      <c r="E170" s="406">
        <v>34</v>
      </c>
      <c r="F170" s="406">
        <v>60</v>
      </c>
      <c r="G170" s="399">
        <v>30</v>
      </c>
      <c r="H170" s="407">
        <v>817.6</v>
      </c>
      <c r="I170" s="398">
        <v>928</v>
      </c>
      <c r="J170" s="398">
        <v>868</v>
      </c>
      <c r="K170" s="398" t="s">
        <v>667</v>
      </c>
      <c r="L170" s="408">
        <v>154</v>
      </c>
      <c r="M170" s="409">
        <v>300</v>
      </c>
      <c r="N170" s="410">
        <v>3.6240000000000001</v>
      </c>
      <c r="O170" s="410">
        <v>5.6470000000000002</v>
      </c>
      <c r="P170" s="406">
        <v>1451000</v>
      </c>
      <c r="Q170" s="408">
        <v>27680</v>
      </c>
      <c r="R170" s="408">
        <v>32100</v>
      </c>
      <c r="S170" s="411">
        <v>42.12</v>
      </c>
      <c r="T170" s="407">
        <v>379.6</v>
      </c>
      <c r="U170" s="408">
        <v>70280</v>
      </c>
      <c r="V170" s="406">
        <v>3412</v>
      </c>
      <c r="W170" s="406">
        <v>5379</v>
      </c>
      <c r="X170" s="407">
        <v>9.27</v>
      </c>
      <c r="Y170" s="411">
        <v>189.1</v>
      </c>
      <c r="Z170" s="411">
        <v>7440</v>
      </c>
      <c r="AA170" s="400">
        <v>170670</v>
      </c>
      <c r="AB170" s="398">
        <v>1</v>
      </c>
      <c r="AC170" s="398">
        <v>1</v>
      </c>
      <c r="AD170" s="399">
        <v>1</v>
      </c>
      <c r="AE170" s="398">
        <v>1</v>
      </c>
      <c r="AF170" s="398">
        <v>1</v>
      </c>
      <c r="AG170" s="400">
        <v>2</v>
      </c>
      <c r="AH170" s="398" t="s">
        <v>661</v>
      </c>
    </row>
    <row r="171" spans="1:34" s="10" customFormat="1" ht="13.5" customHeight="1">
      <c r="A171" s="33" t="s">
        <v>805</v>
      </c>
      <c r="B171" s="44">
        <v>748</v>
      </c>
      <c r="C171" s="21">
        <v>1068</v>
      </c>
      <c r="D171" s="21">
        <v>417</v>
      </c>
      <c r="E171" s="36">
        <v>39</v>
      </c>
      <c r="F171" s="36">
        <v>70</v>
      </c>
      <c r="G171" s="43">
        <v>30</v>
      </c>
      <c r="H171" s="41">
        <v>953.4</v>
      </c>
      <c r="I171" s="21">
        <v>928</v>
      </c>
      <c r="J171" s="21">
        <v>868</v>
      </c>
      <c r="K171" s="21" t="s">
        <v>667</v>
      </c>
      <c r="L171" s="35">
        <v>160</v>
      </c>
      <c r="M171" s="38">
        <v>304</v>
      </c>
      <c r="N171" s="39">
        <v>3.6739999999999999</v>
      </c>
      <c r="O171" s="39">
        <v>4.9089999999999998</v>
      </c>
      <c r="P171" s="36">
        <v>1732000</v>
      </c>
      <c r="Q171" s="35">
        <v>32430</v>
      </c>
      <c r="R171" s="35">
        <v>37880</v>
      </c>
      <c r="S171" s="40">
        <v>42.62</v>
      </c>
      <c r="T171" s="41">
        <v>438.9</v>
      </c>
      <c r="U171" s="35">
        <v>85111</v>
      </c>
      <c r="V171" s="36">
        <v>4082</v>
      </c>
      <c r="W171" s="36">
        <v>6459</v>
      </c>
      <c r="X171" s="41">
        <v>9.4499999999999993</v>
      </c>
      <c r="Y171" s="40">
        <v>214.1</v>
      </c>
      <c r="Z171" s="40">
        <v>11670</v>
      </c>
      <c r="AA171" s="42">
        <v>210650</v>
      </c>
      <c r="AB171" s="21">
        <v>1</v>
      </c>
      <c r="AC171" s="21">
        <v>1</v>
      </c>
      <c r="AD171" s="43">
        <v>1</v>
      </c>
      <c r="AE171" s="21">
        <v>1</v>
      </c>
      <c r="AF171" s="21">
        <v>1</v>
      </c>
      <c r="AG171" s="42">
        <v>1</v>
      </c>
      <c r="AH171" s="21" t="s">
        <v>661</v>
      </c>
    </row>
    <row r="172" spans="1:34" s="416" customFormat="1" ht="13.5" customHeight="1">
      <c r="A172" s="404" t="s">
        <v>806</v>
      </c>
      <c r="B172" s="409">
        <v>883</v>
      </c>
      <c r="C172" s="398">
        <v>1092</v>
      </c>
      <c r="D172" s="398">
        <v>424</v>
      </c>
      <c r="E172" s="406">
        <v>45.5</v>
      </c>
      <c r="F172" s="406">
        <v>82</v>
      </c>
      <c r="G172" s="399">
        <v>30</v>
      </c>
      <c r="H172" s="407">
        <v>1125.3</v>
      </c>
      <c r="I172" s="398">
        <v>928</v>
      </c>
      <c r="J172" s="398">
        <v>868</v>
      </c>
      <c r="K172" s="398" t="s">
        <v>667</v>
      </c>
      <c r="L172" s="408">
        <v>166</v>
      </c>
      <c r="M172" s="409">
        <v>312</v>
      </c>
      <c r="N172" s="410">
        <v>3.7370000000000001</v>
      </c>
      <c r="O172" s="410">
        <v>4.2309999999999999</v>
      </c>
      <c r="P172" s="406">
        <v>2096000</v>
      </c>
      <c r="Q172" s="408">
        <v>38390</v>
      </c>
      <c r="R172" s="408">
        <v>45260</v>
      </c>
      <c r="S172" s="411">
        <v>43.16</v>
      </c>
      <c r="T172" s="407">
        <v>516.5</v>
      </c>
      <c r="U172" s="408">
        <v>105000</v>
      </c>
      <c r="V172" s="406">
        <v>4952</v>
      </c>
      <c r="W172" s="406">
        <v>7874</v>
      </c>
      <c r="X172" s="407">
        <v>9.66</v>
      </c>
      <c r="Y172" s="411">
        <v>244.6</v>
      </c>
      <c r="Z172" s="411">
        <v>18750</v>
      </c>
      <c r="AA172" s="400">
        <v>265670</v>
      </c>
      <c r="AB172" s="398">
        <v>1</v>
      </c>
      <c r="AC172" s="398">
        <v>1</v>
      </c>
      <c r="AD172" s="399" t="s">
        <v>616</v>
      </c>
      <c r="AE172" s="398">
        <v>1</v>
      </c>
      <c r="AF172" s="398">
        <v>1</v>
      </c>
      <c r="AG172" s="400" t="s">
        <v>616</v>
      </c>
      <c r="AH172" s="398"/>
    </row>
    <row r="173" spans="1:34" s="10" customFormat="1" ht="13.5" customHeight="1">
      <c r="A173" s="33"/>
      <c r="B173" s="44"/>
      <c r="C173" s="21"/>
      <c r="D173" s="21"/>
      <c r="E173" s="36"/>
      <c r="F173" s="36"/>
      <c r="G173" s="43"/>
      <c r="H173" s="41"/>
      <c r="I173" s="21"/>
      <c r="J173" s="21"/>
      <c r="K173" s="21"/>
      <c r="L173" s="35"/>
      <c r="M173" s="38"/>
      <c r="N173" s="39"/>
      <c r="O173" s="39"/>
      <c r="P173" s="36"/>
      <c r="Q173" s="35"/>
      <c r="R173" s="35"/>
      <c r="S173" s="40"/>
      <c r="T173" s="41"/>
      <c r="U173" s="35"/>
      <c r="V173" s="36"/>
      <c r="W173" s="36"/>
      <c r="X173" s="41"/>
      <c r="Y173" s="40"/>
      <c r="Z173" s="40"/>
      <c r="AA173" s="42"/>
      <c r="AB173" s="21"/>
      <c r="AC173" s="21"/>
      <c r="AD173" s="43"/>
      <c r="AE173" s="21"/>
      <c r="AF173" s="21"/>
      <c r="AG173" s="42"/>
      <c r="AH173" s="21"/>
    </row>
    <row r="174" spans="1:34" s="416" customFormat="1" ht="13.5" customHeight="1">
      <c r="A174" s="404" t="s">
        <v>807</v>
      </c>
      <c r="B174" s="409">
        <v>343</v>
      </c>
      <c r="C174" s="398">
        <v>1090</v>
      </c>
      <c r="D174" s="398">
        <v>400</v>
      </c>
      <c r="E174" s="406">
        <v>18</v>
      </c>
      <c r="F174" s="406">
        <v>31</v>
      </c>
      <c r="G174" s="399">
        <v>20</v>
      </c>
      <c r="H174" s="407">
        <v>436.5</v>
      </c>
      <c r="I174" s="398">
        <v>1028</v>
      </c>
      <c r="J174" s="398">
        <v>988</v>
      </c>
      <c r="K174" s="398" t="s">
        <v>667</v>
      </c>
      <c r="L174" s="408">
        <v>116</v>
      </c>
      <c r="M174" s="409">
        <v>294</v>
      </c>
      <c r="N174" s="410">
        <v>3.71</v>
      </c>
      <c r="O174" s="410">
        <v>10.83</v>
      </c>
      <c r="P174" s="406">
        <v>867400</v>
      </c>
      <c r="Q174" s="408">
        <v>15920</v>
      </c>
      <c r="R174" s="408">
        <v>18060</v>
      </c>
      <c r="S174" s="411">
        <v>44.58</v>
      </c>
      <c r="T174" s="407">
        <v>206.5</v>
      </c>
      <c r="U174" s="408">
        <v>33120</v>
      </c>
      <c r="V174" s="406">
        <v>1656</v>
      </c>
      <c r="W174" s="406">
        <v>2568</v>
      </c>
      <c r="X174" s="407">
        <v>8.7100000000000009</v>
      </c>
      <c r="Y174" s="411">
        <v>103.4</v>
      </c>
      <c r="Z174" s="411">
        <v>1037</v>
      </c>
      <c r="AA174" s="400">
        <v>92710</v>
      </c>
      <c r="AB174" s="398">
        <v>1</v>
      </c>
      <c r="AC174" s="398">
        <v>1</v>
      </c>
      <c r="AD174" s="399">
        <v>2</v>
      </c>
      <c r="AE174" s="398">
        <v>4</v>
      </c>
      <c r="AF174" s="398">
        <v>4</v>
      </c>
      <c r="AG174" s="400">
        <v>4</v>
      </c>
      <c r="AH174" s="398" t="s">
        <v>661</v>
      </c>
    </row>
    <row r="175" spans="1:34" s="10" customFormat="1" ht="13.5" customHeight="1">
      <c r="A175" s="33" t="s">
        <v>808</v>
      </c>
      <c r="B175" s="44">
        <v>390</v>
      </c>
      <c r="C175" s="21">
        <v>1100</v>
      </c>
      <c r="D175" s="21">
        <v>400</v>
      </c>
      <c r="E175" s="36">
        <v>20</v>
      </c>
      <c r="F175" s="36">
        <v>36</v>
      </c>
      <c r="G175" s="43">
        <v>20</v>
      </c>
      <c r="H175" s="41">
        <v>497</v>
      </c>
      <c r="I175" s="21">
        <v>1028</v>
      </c>
      <c r="J175" s="21">
        <v>988</v>
      </c>
      <c r="K175" s="21" t="s">
        <v>667</v>
      </c>
      <c r="L175" s="35">
        <v>118</v>
      </c>
      <c r="M175" s="38">
        <v>294</v>
      </c>
      <c r="N175" s="39">
        <v>3.726</v>
      </c>
      <c r="O175" s="39">
        <v>9.5489999999999995</v>
      </c>
      <c r="P175" s="36">
        <v>1005000</v>
      </c>
      <c r="Q175" s="35">
        <v>18280</v>
      </c>
      <c r="R175" s="35">
        <v>20780</v>
      </c>
      <c r="S175" s="40">
        <v>44.98</v>
      </c>
      <c r="T175" s="41">
        <v>230.6</v>
      </c>
      <c r="U175" s="35">
        <v>38480</v>
      </c>
      <c r="V175" s="36">
        <v>1924</v>
      </c>
      <c r="W175" s="36">
        <v>2988</v>
      </c>
      <c r="X175" s="41">
        <v>8.8000000000000007</v>
      </c>
      <c r="Y175" s="89">
        <v>115.4</v>
      </c>
      <c r="Z175" s="89">
        <v>1564</v>
      </c>
      <c r="AA175" s="158">
        <v>108680</v>
      </c>
      <c r="AB175" s="21">
        <v>1</v>
      </c>
      <c r="AC175" s="21">
        <v>1</v>
      </c>
      <c r="AD175" s="43">
        <v>1</v>
      </c>
      <c r="AE175" s="21">
        <v>4</v>
      </c>
      <c r="AF175" s="21">
        <v>4</v>
      </c>
      <c r="AG175" s="42">
        <v>4</v>
      </c>
      <c r="AH175" s="21" t="s">
        <v>661</v>
      </c>
    </row>
    <row r="176" spans="1:34" s="416" customFormat="1" ht="13.5" customHeight="1">
      <c r="A176" s="404" t="s">
        <v>809</v>
      </c>
      <c r="B176" s="409">
        <v>433</v>
      </c>
      <c r="C176" s="398">
        <v>1108</v>
      </c>
      <c r="D176" s="398">
        <v>402</v>
      </c>
      <c r="E176" s="406">
        <v>22</v>
      </c>
      <c r="F176" s="406">
        <v>40</v>
      </c>
      <c r="G176" s="399">
        <v>20</v>
      </c>
      <c r="H176" s="407">
        <v>551.20000000000005</v>
      </c>
      <c r="I176" s="398">
        <v>1028</v>
      </c>
      <c r="J176" s="398">
        <v>988</v>
      </c>
      <c r="K176" s="398" t="s">
        <v>667</v>
      </c>
      <c r="L176" s="408">
        <v>122</v>
      </c>
      <c r="M176" s="409">
        <v>290</v>
      </c>
      <c r="N176" s="410">
        <v>3.746</v>
      </c>
      <c r="O176" s="410">
        <v>8.657</v>
      </c>
      <c r="P176" s="406">
        <v>1126000</v>
      </c>
      <c r="Q176" s="408">
        <v>20320</v>
      </c>
      <c r="R176" s="408">
        <v>23160</v>
      </c>
      <c r="S176" s="411">
        <v>45.19</v>
      </c>
      <c r="T176" s="407">
        <v>254.4</v>
      </c>
      <c r="U176" s="408">
        <v>43410</v>
      </c>
      <c r="V176" s="406">
        <v>2160</v>
      </c>
      <c r="W176" s="406">
        <v>3362</v>
      </c>
      <c r="X176" s="407">
        <v>8.8699999999999992</v>
      </c>
      <c r="Y176" s="396">
        <v>125.4</v>
      </c>
      <c r="Z176" s="396">
        <v>2130</v>
      </c>
      <c r="AA176" s="414">
        <v>123500</v>
      </c>
      <c r="AB176" s="398">
        <v>1</v>
      </c>
      <c r="AC176" s="398">
        <v>1</v>
      </c>
      <c r="AD176" s="399">
        <v>1</v>
      </c>
      <c r="AE176" s="398">
        <v>4</v>
      </c>
      <c r="AF176" s="398">
        <v>4</v>
      </c>
      <c r="AG176" s="400">
        <v>4</v>
      </c>
      <c r="AH176" s="398" t="s">
        <v>661</v>
      </c>
    </row>
    <row r="177" spans="1:34" s="10" customFormat="1" ht="13.5" customHeight="1">
      <c r="A177" s="33" t="s">
        <v>810</v>
      </c>
      <c r="B177" s="44">
        <v>499</v>
      </c>
      <c r="C177" s="21">
        <v>1118</v>
      </c>
      <c r="D177" s="21">
        <v>405</v>
      </c>
      <c r="E177" s="36">
        <v>26</v>
      </c>
      <c r="F177" s="36">
        <v>45</v>
      </c>
      <c r="G177" s="43">
        <v>20</v>
      </c>
      <c r="H177" s="41">
        <v>635.20000000000005</v>
      </c>
      <c r="I177" s="21">
        <v>1028</v>
      </c>
      <c r="J177" s="21">
        <v>988</v>
      </c>
      <c r="K177" s="21" t="s">
        <v>667</v>
      </c>
      <c r="L177" s="35">
        <v>126</v>
      </c>
      <c r="M177" s="38">
        <v>294</v>
      </c>
      <c r="N177" s="39">
        <v>3.77</v>
      </c>
      <c r="O177" s="39">
        <v>7.56</v>
      </c>
      <c r="P177" s="36">
        <v>1294000</v>
      </c>
      <c r="Q177" s="35">
        <v>23150</v>
      </c>
      <c r="R177" s="35">
        <v>26600</v>
      </c>
      <c r="S177" s="40">
        <v>45.14</v>
      </c>
      <c r="T177" s="41">
        <v>300.39999999999998</v>
      </c>
      <c r="U177" s="35">
        <v>49980</v>
      </c>
      <c r="V177" s="36">
        <v>2468</v>
      </c>
      <c r="W177" s="36">
        <v>3870</v>
      </c>
      <c r="X177" s="41">
        <v>8.8699999999999992</v>
      </c>
      <c r="Y177" s="89">
        <v>139.4</v>
      </c>
      <c r="Z177" s="89">
        <v>3135</v>
      </c>
      <c r="AA177" s="158">
        <v>143410</v>
      </c>
      <c r="AB177" s="21">
        <v>1</v>
      </c>
      <c r="AC177" s="21">
        <v>1</v>
      </c>
      <c r="AD177" s="43">
        <v>1</v>
      </c>
      <c r="AE177" s="21">
        <v>2</v>
      </c>
      <c r="AF177" s="21">
        <v>4</v>
      </c>
      <c r="AG177" s="42">
        <v>4</v>
      </c>
      <c r="AH177" s="21" t="s">
        <v>661</v>
      </c>
    </row>
    <row r="178" spans="1:34" s="159" customFormat="1" ht="13.5" customHeight="1" thickBot="1">
      <c r="A178" s="81"/>
      <c r="B178" s="139"/>
      <c r="C178" s="83"/>
      <c r="D178" s="83"/>
      <c r="E178" s="84"/>
      <c r="F178" s="84"/>
      <c r="G178" s="90"/>
      <c r="H178" s="91"/>
      <c r="I178" s="83"/>
      <c r="J178" s="83"/>
      <c r="K178" s="83"/>
      <c r="L178" s="86"/>
      <c r="M178" s="87"/>
      <c r="N178" s="88"/>
      <c r="O178" s="88"/>
      <c r="P178" s="84"/>
      <c r="Q178" s="83"/>
      <c r="R178" s="83"/>
      <c r="S178" s="89"/>
      <c r="T178" s="91"/>
      <c r="U178" s="83"/>
      <c r="V178" s="84"/>
      <c r="W178" s="83"/>
      <c r="X178" s="91"/>
      <c r="Y178" s="89"/>
      <c r="Z178" s="40"/>
      <c r="AA178" s="42"/>
      <c r="AB178" s="53"/>
      <c r="AC178" s="53"/>
      <c r="AD178" s="54"/>
      <c r="AE178" s="53"/>
      <c r="AF178" s="53"/>
      <c r="AG178" s="55"/>
      <c r="AH178" s="80"/>
    </row>
    <row r="179" spans="1:34" s="66" customFormat="1" ht="13.5" customHeight="1" thickTop="1">
      <c r="A179" s="98"/>
      <c r="B179" s="99"/>
      <c r="C179" s="99"/>
      <c r="D179" s="99"/>
      <c r="E179" s="99"/>
      <c r="F179" s="99"/>
      <c r="H179" s="99"/>
      <c r="I179" s="99"/>
      <c r="J179" s="99"/>
      <c r="K179" s="99"/>
      <c r="L179" s="160"/>
      <c r="M179" s="99"/>
      <c r="N179" s="161"/>
      <c r="O179" s="99"/>
      <c r="P179" s="99"/>
      <c r="Q179" s="99"/>
      <c r="R179" s="99"/>
      <c r="S179" s="99"/>
      <c r="T179" s="99"/>
      <c r="U179" s="99"/>
      <c r="V179" s="99"/>
      <c r="W179" s="99"/>
      <c r="X179" s="161"/>
      <c r="Y179" s="99"/>
      <c r="Z179" s="100"/>
      <c r="AA179" s="100"/>
      <c r="AB179" s="100"/>
      <c r="AC179" s="100"/>
      <c r="AD179" s="100"/>
      <c r="AE179" s="100"/>
      <c r="AF179" s="100"/>
      <c r="AG179" s="100"/>
      <c r="AH179" s="99"/>
    </row>
    <row r="180" spans="1:34" s="66" customFormat="1" ht="13.5" hidden="1" customHeight="1">
      <c r="A180" s="98"/>
      <c r="B180" s="99"/>
      <c r="C180" s="99"/>
      <c r="D180" s="99"/>
      <c r="E180" s="99"/>
      <c r="F180" s="99"/>
      <c r="H180" s="99"/>
      <c r="I180" s="99"/>
      <c r="J180" s="99"/>
      <c r="K180" s="99"/>
      <c r="L180" s="160"/>
      <c r="M180" s="99"/>
      <c r="N180" s="161"/>
      <c r="O180" s="99"/>
      <c r="P180" s="99"/>
      <c r="Q180" s="99"/>
      <c r="R180" s="99"/>
      <c r="S180" s="99"/>
      <c r="T180" s="99"/>
      <c r="U180" s="99"/>
      <c r="V180" s="99"/>
      <c r="W180" s="99"/>
      <c r="X180" s="161"/>
      <c r="Y180" s="99"/>
      <c r="Z180" s="100"/>
      <c r="AA180" s="100"/>
      <c r="AB180" s="100"/>
      <c r="AC180" s="100"/>
      <c r="AD180" s="100"/>
      <c r="AE180" s="100"/>
      <c r="AF180" s="100"/>
      <c r="AG180" s="100"/>
      <c r="AH180" s="99"/>
    </row>
    <row r="181" spans="1:34" ht="13.5" hidden="1" customHeight="1"/>
    <row r="182" spans="1:34" ht="13.5" hidden="1" customHeight="1"/>
    <row r="183" spans="1:34" ht="13.5" hidden="1" customHeight="1"/>
    <row r="184" spans="1:34" ht="13.5" hidden="1" customHeight="1">
      <c r="A184" s="125"/>
      <c r="B184" s="101"/>
      <c r="C184" s="101"/>
      <c r="D184" s="101"/>
      <c r="E184" s="125"/>
      <c r="F184" s="122"/>
      <c r="G184" s="101"/>
      <c r="H184" s="122"/>
      <c r="I184" s="101"/>
      <c r="J184" s="101"/>
      <c r="K184" s="125"/>
      <c r="L184" s="162"/>
      <c r="P184" s="102"/>
      <c r="Q184" s="102"/>
      <c r="R184" s="102"/>
      <c r="S184" s="102"/>
      <c r="T184" s="102"/>
      <c r="U184" s="101"/>
      <c r="V184" s="102"/>
      <c r="W184" s="102"/>
      <c r="X184" s="102"/>
      <c r="Y184" s="102"/>
      <c r="Z184" s="59"/>
      <c r="AA184" s="59"/>
      <c r="AB184" s="101"/>
    </row>
    <row r="185" spans="1:34" ht="13.5" hidden="1" customHeight="1">
      <c r="A185" s="101"/>
      <c r="B185" s="101"/>
      <c r="C185" s="101"/>
      <c r="D185" s="101"/>
      <c r="E185" s="101"/>
      <c r="F185" s="122"/>
      <c r="G185" s="101"/>
      <c r="H185" s="122"/>
      <c r="I185" s="101"/>
      <c r="J185" s="101"/>
      <c r="K185" s="101"/>
      <c r="L185" s="162"/>
      <c r="P185" s="102"/>
      <c r="Q185" s="102"/>
      <c r="R185" s="102"/>
      <c r="S185" s="102"/>
      <c r="T185" s="102"/>
      <c r="U185" s="101"/>
      <c r="V185" s="102"/>
      <c r="W185" s="102"/>
      <c r="X185" s="102"/>
      <c r="Y185" s="102"/>
      <c r="Z185" s="59"/>
      <c r="AA185" s="59"/>
      <c r="AB185" s="101"/>
    </row>
    <row r="186" spans="1:34" ht="13.5" hidden="1" customHeight="1">
      <c r="A186" s="125"/>
      <c r="B186" s="101"/>
      <c r="C186" s="101"/>
      <c r="D186" s="101"/>
      <c r="E186" s="125"/>
      <c r="F186" s="150"/>
      <c r="G186" s="101"/>
      <c r="H186" s="150"/>
      <c r="I186" s="101"/>
      <c r="J186" s="101"/>
      <c r="K186" s="125"/>
      <c r="M186" s="102"/>
      <c r="N186" s="163"/>
      <c r="O186" s="102"/>
      <c r="P186" s="102"/>
      <c r="Q186" s="102"/>
      <c r="R186" s="102"/>
      <c r="S186" s="102"/>
      <c r="T186" s="102"/>
      <c r="U186" s="101"/>
      <c r="V186" s="102"/>
      <c r="W186" s="102"/>
      <c r="X186" s="102"/>
      <c r="Y186" s="102"/>
      <c r="Z186" s="59"/>
      <c r="AA186" s="59"/>
      <c r="AB186" s="101"/>
      <c r="AC186" s="59"/>
      <c r="AD186" s="59"/>
      <c r="AE186" s="59"/>
      <c r="AF186" s="59"/>
      <c r="AG186" s="59"/>
      <c r="AH186" s="102"/>
    </row>
    <row r="187" spans="1:34" ht="13.5" hidden="1" customHeight="1">
      <c r="A187" s="101"/>
      <c r="B187" s="101"/>
      <c r="C187" s="101"/>
      <c r="D187" s="101"/>
      <c r="E187" s="101"/>
      <c r="F187" s="150"/>
      <c r="G187" s="101"/>
      <c r="H187" s="150"/>
      <c r="I187" s="101"/>
      <c r="J187" s="101"/>
      <c r="K187" s="101"/>
      <c r="M187" s="102"/>
      <c r="N187" s="163"/>
      <c r="O187" s="102"/>
      <c r="P187" s="102"/>
      <c r="Q187" s="102"/>
      <c r="R187" s="102"/>
      <c r="S187" s="102"/>
      <c r="T187" s="102"/>
      <c r="U187" s="101"/>
      <c r="V187" s="102"/>
      <c r="W187" s="102"/>
      <c r="X187" s="102"/>
      <c r="Y187" s="102"/>
      <c r="Z187" s="59"/>
      <c r="AA187" s="59"/>
      <c r="AB187" s="101"/>
      <c r="AC187" s="59"/>
      <c r="AD187" s="59"/>
      <c r="AE187" s="59"/>
      <c r="AF187" s="59"/>
      <c r="AG187" s="59"/>
      <c r="AH187" s="102"/>
    </row>
    <row r="188" spans="1:34" ht="13.5" hidden="1" customHeight="1"/>
    <row r="189" spans="1:34" s="102" customFormat="1" ht="13.5" hidden="1" customHeight="1">
      <c r="A189" s="98"/>
      <c r="B189" s="99"/>
      <c r="C189" s="99"/>
      <c r="D189" s="99"/>
      <c r="E189" s="99"/>
      <c r="F189" s="99"/>
      <c r="G189" s="66"/>
      <c r="H189" s="99"/>
      <c r="I189" s="99"/>
      <c r="J189" s="99"/>
      <c r="K189" s="99"/>
      <c r="L189" s="160"/>
      <c r="M189" s="99"/>
      <c r="N189" s="161"/>
      <c r="O189" s="99"/>
      <c r="P189" s="99"/>
      <c r="Q189" s="99"/>
      <c r="R189" s="99"/>
      <c r="S189" s="99"/>
      <c r="T189" s="99"/>
      <c r="U189" s="99"/>
      <c r="V189" s="99"/>
      <c r="W189" s="99"/>
      <c r="X189" s="161"/>
      <c r="Y189" s="99"/>
      <c r="Z189" s="100"/>
      <c r="AA189" s="100"/>
      <c r="AB189" s="100"/>
      <c r="AC189" s="100"/>
      <c r="AD189" s="100"/>
      <c r="AE189" s="100"/>
      <c r="AF189" s="100"/>
      <c r="AG189" s="100"/>
      <c r="AH189" s="99"/>
    </row>
    <row r="190" spans="1:34" s="102" customFormat="1" ht="13.5" hidden="1" customHeight="1">
      <c r="A190" s="101"/>
      <c r="B190" s="101"/>
      <c r="C190" s="101"/>
      <c r="D190" s="101"/>
      <c r="E190" s="101"/>
      <c r="F190" s="150"/>
      <c r="G190" s="101"/>
      <c r="H190" s="150"/>
      <c r="I190" s="101"/>
      <c r="J190" s="101"/>
      <c r="K190" s="101"/>
      <c r="L190" s="160"/>
      <c r="M190" s="99"/>
      <c r="N190" s="161"/>
      <c r="O190" s="99"/>
      <c r="P190" s="99"/>
      <c r="Q190" s="99"/>
      <c r="R190" s="99"/>
      <c r="S190" s="99"/>
      <c r="T190" s="99"/>
      <c r="U190" s="99"/>
      <c r="V190" s="99"/>
      <c r="W190" s="99"/>
      <c r="X190" s="161"/>
      <c r="Y190" s="99"/>
      <c r="Z190" s="100"/>
      <c r="AA190" s="100"/>
      <c r="AB190" s="100"/>
      <c r="AC190" s="100"/>
      <c r="AD190" s="100"/>
      <c r="AE190" s="100"/>
      <c r="AF190" s="100"/>
      <c r="AG190" s="100"/>
      <c r="AH190" s="99"/>
    </row>
    <row r="191" spans="1:34" ht="13.5" hidden="1" customHeight="1">
      <c r="A191" s="101"/>
      <c r="B191" s="101"/>
      <c r="C191" s="101"/>
      <c r="D191" s="101"/>
      <c r="E191" s="101"/>
      <c r="F191" s="150"/>
      <c r="G191" s="101"/>
      <c r="H191" s="150"/>
      <c r="I191" s="101"/>
      <c r="J191" s="101"/>
      <c r="K191" s="101"/>
    </row>
    <row r="192" spans="1:34" ht="13.5" hidden="1" customHeight="1">
      <c r="A192" s="101"/>
      <c r="B192" s="101"/>
      <c r="C192" s="101"/>
      <c r="D192" s="101"/>
      <c r="E192" s="101"/>
      <c r="F192" s="150"/>
      <c r="G192" s="101"/>
      <c r="H192" s="150"/>
      <c r="I192" s="101"/>
      <c r="J192" s="101"/>
      <c r="K192" s="101"/>
    </row>
    <row r="193" ht="13.5" hidden="1" customHeight="1"/>
    <row r="194" ht="13.5" hidden="1" customHeight="1"/>
    <row r="195" ht="13.5" hidden="1" customHeight="1"/>
    <row r="196" ht="13.5" hidden="1" customHeight="1"/>
    <row r="197" ht="13.5" hidden="1" customHeight="1"/>
    <row r="198" ht="13.5" hidden="1" customHeight="1"/>
    <row r="199" ht="13.5" hidden="1" customHeight="1"/>
    <row r="200" ht="13.5" hidden="1" customHeight="1"/>
    <row r="201" ht="13.5" hidden="1" customHeight="1"/>
    <row r="202" ht="13.5" hidden="1" customHeight="1"/>
    <row r="203" ht="13.5" hidden="1" customHeight="1"/>
    <row r="204" ht="13.5" hidden="1" customHeight="1"/>
    <row r="205" ht="13.5" hidden="1" customHeight="1"/>
    <row r="206" ht="13.5" hidden="1" customHeight="1"/>
    <row r="207" ht="13.5" hidden="1" customHeight="1"/>
    <row r="208" ht="13.5" hidden="1" customHeight="1"/>
    <row r="209" ht="13.5" hidden="1" customHeight="1"/>
    <row r="210" ht="13.5" hidden="1" customHeight="1"/>
    <row r="211" ht="13.5" hidden="1" customHeight="1"/>
    <row r="212" ht="13.5" hidden="1" customHeight="1"/>
    <row r="213" ht="13.5" hidden="1" customHeight="1"/>
    <row r="214" ht="13.5" hidden="1" customHeight="1"/>
    <row r="215" ht="13.5" hidden="1" customHeight="1"/>
    <row r="216" ht="13.5" hidden="1" customHeight="1"/>
    <row r="217" ht="13.5" hidden="1" customHeight="1"/>
    <row r="218" ht="13.5" hidden="1" customHeight="1"/>
    <row r="219" ht="13.5" hidden="1" customHeight="1"/>
    <row r="220" ht="13.5" hidden="1" customHeight="1"/>
    <row r="221" ht="13.5" hidden="1" customHeight="1"/>
    <row r="222" ht="13.5" hidden="1" customHeight="1"/>
    <row r="223" ht="13.5" hidden="1" customHeight="1"/>
    <row r="224" ht="13.5" hidden="1" customHeight="1"/>
    <row r="225" ht="13.5" hidden="1" customHeight="1"/>
    <row r="226" ht="13.5" hidden="1" customHeight="1"/>
    <row r="227" ht="13.5" hidden="1" customHeight="1"/>
    <row r="228" ht="13.5" hidden="1" customHeight="1"/>
    <row r="229" ht="13.5" hidden="1" customHeight="1"/>
    <row r="230" ht="13.5" hidden="1" customHeight="1"/>
    <row r="231" ht="13.5" hidden="1" customHeight="1"/>
    <row r="232" ht="13.5" hidden="1" customHeight="1"/>
    <row r="233" ht="13.5" hidden="1" customHeight="1"/>
    <row r="234" ht="13.5" hidden="1" customHeight="1"/>
    <row r="235" ht="13.5" hidden="1" customHeight="1"/>
    <row r="236" ht="13.5" hidden="1" customHeight="1"/>
    <row r="237" ht="13.5" hidden="1" customHeight="1"/>
    <row r="238" ht="13.5" hidden="1" customHeight="1"/>
    <row r="239" ht="13.5" hidden="1" customHeight="1"/>
    <row r="240" ht="13.5" hidden="1" customHeight="1"/>
    <row r="241" ht="13.5" hidden="1" customHeight="1"/>
    <row r="242" ht="13.5" hidden="1" customHeight="1"/>
    <row r="243" ht="13.5" hidden="1" customHeight="1"/>
    <row r="244" ht="13.5" hidden="1" customHeight="1"/>
    <row r="245" ht="13.5" hidden="1" customHeight="1"/>
    <row r="246" ht="13.5" hidden="1" customHeight="1"/>
    <row r="247" ht="13.5" hidden="1" customHeight="1"/>
    <row r="248" ht="13.5" hidden="1" customHeight="1"/>
    <row r="249" ht="13.5" hidden="1" customHeight="1"/>
    <row r="250" ht="13.5" hidden="1" customHeight="1"/>
    <row r="251" ht="13.5" hidden="1" customHeight="1"/>
    <row r="252" ht="13.5" hidden="1" customHeight="1"/>
    <row r="253" ht="13.5" hidden="1" customHeight="1"/>
    <row r="254" ht="13.5" hidden="1" customHeight="1"/>
    <row r="255" ht="13.5" hidden="1" customHeight="1"/>
    <row r="256" ht="13.5" hidden="1" customHeight="1"/>
    <row r="257" ht="13.5" hidden="1" customHeight="1"/>
    <row r="258" ht="13.5" hidden="1" customHeight="1"/>
    <row r="259" ht="13.5" hidden="1" customHeight="1"/>
    <row r="260" ht="13.5" hidden="1" customHeight="1"/>
    <row r="261" ht="13.5" hidden="1" customHeight="1"/>
    <row r="262" ht="13.5" hidden="1" customHeight="1"/>
    <row r="263" ht="13.5" hidden="1" customHeight="1"/>
    <row r="264" ht="13.5" hidden="1" customHeight="1"/>
    <row r="265" ht="13.5" hidden="1" customHeight="1"/>
    <row r="266" ht="13.5" hidden="1" customHeight="1"/>
    <row r="267" ht="13.5" hidden="1" customHeight="1"/>
    <row r="268" ht="13.5" hidden="1" customHeight="1"/>
    <row r="269" ht="13.5" hidden="1" customHeight="1"/>
    <row r="270" ht="13.5" hidden="1" customHeight="1"/>
    <row r="271" ht="13.5" hidden="1" customHeight="1"/>
    <row r="272" ht="13.5" hidden="1" customHeight="1"/>
    <row r="273" ht="13.5" hidden="1" customHeight="1"/>
    <row r="274" ht="13.5" hidden="1" customHeight="1"/>
    <row r="275" ht="13.5" hidden="1" customHeight="1"/>
    <row r="276" ht="13.5" hidden="1" customHeight="1"/>
    <row r="277" ht="13.5" hidden="1" customHeight="1"/>
    <row r="278" ht="13.5" hidden="1" customHeight="1"/>
    <row r="279" ht="13.5" hidden="1" customHeight="1"/>
    <row r="280" ht="13.5" hidden="1" customHeight="1"/>
    <row r="281" ht="13.5" hidden="1" customHeight="1"/>
    <row r="282" ht="13.5" hidden="1" customHeight="1"/>
    <row r="283" ht="13.5" hidden="1" customHeight="1"/>
    <row r="284" ht="13.5" hidden="1" customHeight="1"/>
    <row r="285" ht="13.5" hidden="1" customHeight="1"/>
    <row r="286" ht="13.5" hidden="1" customHeight="1"/>
    <row r="287" ht="13.5" hidden="1" customHeight="1"/>
    <row r="288" ht="13.5" hidden="1" customHeight="1"/>
    <row r="289" ht="13.5" hidden="1" customHeight="1"/>
    <row r="290" ht="13.5" hidden="1" customHeight="1"/>
    <row r="291" ht="13.5" hidden="1" customHeight="1"/>
    <row r="292" ht="13.5" hidden="1" customHeight="1"/>
    <row r="293" ht="13.5" hidden="1" customHeight="1"/>
    <row r="294" ht="13.5" hidden="1" customHeight="1"/>
    <row r="295" ht="13.5" hidden="1" customHeight="1"/>
    <row r="296" ht="13.5" hidden="1" customHeight="1"/>
    <row r="297" ht="13.5" hidden="1" customHeight="1"/>
    <row r="298" ht="13.5" hidden="1" customHeight="1"/>
    <row r="299" ht="13.5" hidden="1" customHeight="1"/>
    <row r="300" ht="13.5" hidden="1" customHeight="1"/>
    <row r="301" ht="13.5" hidden="1" customHeight="1"/>
    <row r="302" ht="13.5" hidden="1" customHeight="1"/>
    <row r="303" ht="13.5" hidden="1" customHeight="1"/>
    <row r="304" ht="13.5" hidden="1" customHeight="1"/>
    <row r="305" ht="13.5" hidden="1" customHeight="1"/>
    <row r="306" ht="13.5" hidden="1" customHeight="1"/>
    <row r="307" ht="13.5" hidden="1" customHeight="1"/>
    <row r="308" ht="13.5" hidden="1" customHeight="1"/>
    <row r="309" ht="13.5" hidden="1" customHeight="1"/>
    <row r="310" ht="13.5" hidden="1" customHeight="1"/>
    <row r="311" ht="13.5" hidden="1" customHeight="1"/>
    <row r="312" ht="13.5" hidden="1" customHeight="1"/>
    <row r="313" ht="13.5" hidden="1" customHeight="1"/>
    <row r="314" ht="13.5" hidden="1" customHeight="1"/>
    <row r="315" ht="13.5" hidden="1" customHeight="1"/>
    <row r="316" ht="13.5" hidden="1" customHeight="1"/>
    <row r="317" ht="13.5" hidden="1" customHeight="1"/>
    <row r="318" ht="13.5" hidden="1" customHeight="1"/>
    <row r="319" ht="13.5" hidden="1" customHeight="1"/>
    <row r="320" ht="13.5" hidden="1" customHeight="1"/>
    <row r="321" ht="13.5" hidden="1" customHeight="1"/>
    <row r="322" ht="13.5" hidden="1" customHeight="1"/>
    <row r="323" ht="13.5" hidden="1" customHeight="1"/>
    <row r="324" ht="13.5" hidden="1" customHeight="1"/>
    <row r="325" ht="13.5" hidden="1" customHeight="1"/>
    <row r="326" ht="13.5" hidden="1" customHeight="1"/>
    <row r="327" ht="13.5" hidden="1" customHeight="1"/>
    <row r="328" ht="13.5" hidden="1" customHeight="1"/>
    <row r="329" ht="13.5" hidden="1" customHeight="1"/>
    <row r="330" ht="13.5" hidden="1" customHeight="1"/>
    <row r="331" ht="13.5" hidden="1" customHeight="1"/>
    <row r="332" ht="13.5" hidden="1" customHeight="1"/>
    <row r="333" ht="13.5" hidden="1" customHeight="1"/>
    <row r="334" ht="13.5" hidden="1" customHeight="1"/>
    <row r="335" ht="13.5" hidden="1" customHeight="1"/>
    <row r="336" ht="13.5" hidden="1" customHeight="1"/>
    <row r="337" ht="13.5" hidden="1" customHeight="1"/>
    <row r="338" ht="13.5" hidden="1" customHeight="1"/>
    <row r="339" ht="13.5" hidden="1" customHeight="1"/>
    <row r="340" ht="13.5" hidden="1" customHeight="1"/>
    <row r="341" ht="13.5" hidden="1" customHeight="1"/>
    <row r="342" ht="13.5" hidden="1" customHeight="1"/>
    <row r="343" ht="13.5" hidden="1" customHeight="1"/>
    <row r="344" ht="13.5" hidden="1" customHeight="1"/>
    <row r="345" ht="13.5" hidden="1" customHeight="1"/>
    <row r="346" ht="13.5" hidden="1" customHeight="1"/>
    <row r="347" ht="13.5" hidden="1" customHeight="1"/>
    <row r="348" ht="13.5" hidden="1" customHeight="1"/>
    <row r="349" ht="13.5" hidden="1" customHeight="1"/>
    <row r="350" ht="13.5" hidden="1" customHeight="1"/>
    <row r="351" ht="13.5" hidden="1" customHeight="1"/>
  </sheetData>
  <phoneticPr fontId="0" type="noConversion"/>
  <pageMargins left="0.75" right="0.75" top="1" bottom="1" header="0.4921259845" footer="0.4921259845"/>
  <pageSetup paperSize="0" scale="57" orientation="landscape" horizontalDpi="4294967292" verticalDpi="4294967292"/>
  <headerFooter alignWithMargins="0">
    <oddFooter>&amp;LLe &amp;D&amp;CProfilés &amp;A du &amp;F&amp;RPage &amp;P sur &amp;N</oddFooter>
  </headerFooter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J320"/>
  <sheetViews>
    <sheetView topLeftCell="A28" zoomScale="130" zoomScaleNormal="130" workbookViewId="0">
      <selection activeCell="B44" sqref="B44"/>
    </sheetView>
  </sheetViews>
  <sheetFormatPr defaultColWidth="0" defaultRowHeight="14.1" customHeight="1" zeroHeight="1"/>
  <cols>
    <col min="1" max="1" width="14.85546875" style="103" customWidth="1"/>
    <col min="2" max="2" width="6.140625" style="94" customWidth="1"/>
    <col min="3" max="6" width="5.42578125" style="94" customWidth="1"/>
    <col min="7" max="7" width="4.28515625" style="104" customWidth="1"/>
    <col min="8" max="10" width="5.7109375" style="94" customWidth="1"/>
    <col min="11" max="11" width="4.28515625" style="94" customWidth="1"/>
    <col min="12" max="12" width="5.7109375" style="151" customWidth="1"/>
    <col min="13" max="13" width="4.85546875" style="94" customWidth="1"/>
    <col min="14" max="14" width="5.42578125" style="152" customWidth="1"/>
    <col min="15" max="15" width="5.42578125" style="94" customWidth="1"/>
    <col min="16" max="16" width="14.85546875" style="103" customWidth="1"/>
    <col min="17" max="17" width="5.140625" style="94" customWidth="1"/>
    <col min="18" max="18" width="5.85546875" style="94" customWidth="1"/>
    <col min="19" max="20" width="5.140625" style="94" customWidth="1"/>
    <col min="21" max="21" width="5" style="94" customWidth="1"/>
    <col min="22" max="22" width="5.7109375" style="94" customWidth="1"/>
    <col min="23" max="23" width="5.85546875" style="94" customWidth="1"/>
    <col min="24" max="24" width="5.7109375" style="94" customWidth="1"/>
    <col min="25" max="25" width="6.140625" style="94" customWidth="1"/>
    <col min="26" max="26" width="4.85546875" style="152" customWidth="1"/>
    <col min="27" max="27" width="5.85546875" style="94" customWidth="1"/>
    <col min="28" max="28" width="5.140625" style="7" customWidth="1"/>
    <col min="29" max="29" width="8.140625" style="7" customWidth="1"/>
    <col min="30" max="35" width="3.28515625" style="7" customWidth="1"/>
    <col min="36" max="36" width="2.7109375" style="94" customWidth="1"/>
    <col min="37" max="16384" width="10.85546875" style="94" hidden="1"/>
  </cols>
  <sheetData>
    <row r="1" spans="1:36" s="425" customFormat="1" ht="14.1" customHeight="1">
      <c r="A1" s="424"/>
      <c r="G1" s="426"/>
      <c r="L1" s="427"/>
      <c r="N1" s="428"/>
      <c r="P1" s="424"/>
      <c r="Z1" s="428"/>
      <c r="AB1" s="429"/>
      <c r="AC1" s="429"/>
      <c r="AD1" s="429"/>
      <c r="AE1" s="429"/>
      <c r="AF1" s="429"/>
      <c r="AG1" s="429"/>
      <c r="AH1" s="429"/>
      <c r="AI1" s="429"/>
    </row>
    <row r="2" spans="1:36" s="425" customFormat="1" ht="14.1" customHeight="1">
      <c r="A2" s="424"/>
      <c r="G2" s="426"/>
      <c r="L2" s="427"/>
      <c r="N2" s="428"/>
      <c r="P2" s="424"/>
      <c r="Z2" s="428"/>
      <c r="AB2" s="429"/>
      <c r="AC2" s="429"/>
      <c r="AD2" s="429"/>
      <c r="AE2" s="429"/>
      <c r="AF2" s="429"/>
      <c r="AG2" s="429"/>
      <c r="AH2" s="429"/>
      <c r="AI2" s="429"/>
    </row>
    <row r="3" spans="1:36" s="62" customFormat="1" ht="18.75" customHeight="1">
      <c r="A3" s="423" t="s">
        <v>1813</v>
      </c>
      <c r="B3" s="322"/>
      <c r="C3" s="322"/>
      <c r="D3" s="322"/>
      <c r="E3" s="63"/>
      <c r="F3" s="324"/>
      <c r="G3" s="322"/>
      <c r="H3" s="324"/>
      <c r="I3" s="322"/>
      <c r="J3" s="322"/>
      <c r="K3" s="417"/>
      <c r="L3" s="321"/>
      <c r="M3" s="417"/>
      <c r="N3" s="418"/>
      <c r="O3" s="417"/>
      <c r="P3" s="417"/>
      <c r="Q3" s="417"/>
      <c r="R3" s="417"/>
      <c r="S3" s="417"/>
      <c r="T3" s="417"/>
      <c r="U3" s="417"/>
      <c r="V3" s="417"/>
      <c r="W3" s="417"/>
      <c r="X3" s="417"/>
      <c r="Y3" s="417"/>
      <c r="Z3" s="418"/>
      <c r="AA3" s="417"/>
      <c r="AB3" s="419"/>
      <c r="AC3" s="419"/>
      <c r="AD3" s="419"/>
      <c r="AE3" s="419"/>
      <c r="AF3" s="419"/>
      <c r="AG3" s="419"/>
      <c r="AH3" s="419"/>
      <c r="AI3" s="419"/>
      <c r="AJ3" s="417"/>
    </row>
    <row r="4" spans="1:36" s="62" customFormat="1" ht="18.75" customHeight="1">
      <c r="A4" s="423" t="s">
        <v>1814</v>
      </c>
      <c r="B4" s="322"/>
      <c r="C4" s="322"/>
      <c r="D4" s="322"/>
      <c r="E4" s="63"/>
      <c r="F4" s="324"/>
      <c r="G4" s="322"/>
      <c r="H4" s="324"/>
      <c r="I4" s="322"/>
      <c r="J4" s="322"/>
      <c r="K4" s="417"/>
      <c r="L4" s="321"/>
      <c r="M4" s="417"/>
      <c r="N4" s="418"/>
      <c r="O4" s="417"/>
      <c r="P4" s="417"/>
      <c r="Q4" s="417"/>
      <c r="R4" s="417"/>
      <c r="S4" s="417"/>
      <c r="T4" s="417"/>
      <c r="U4" s="417"/>
      <c r="V4" s="417"/>
      <c r="W4" s="417"/>
      <c r="X4" s="417"/>
      <c r="Y4" s="417"/>
      <c r="Z4" s="418"/>
      <c r="AA4" s="417"/>
      <c r="AB4" s="419"/>
      <c r="AC4" s="419"/>
      <c r="AD4" s="419"/>
      <c r="AE4" s="419"/>
      <c r="AF4" s="419"/>
      <c r="AG4" s="419"/>
      <c r="AH4" s="419"/>
      <c r="AI4" s="419"/>
      <c r="AJ4" s="417"/>
    </row>
    <row r="5" spans="1:36" s="62" customFormat="1" ht="14.1" customHeight="1">
      <c r="A5" s="420" t="s">
        <v>1815</v>
      </c>
      <c r="B5" s="322"/>
      <c r="C5" s="322"/>
      <c r="D5" s="322"/>
      <c r="E5" s="63"/>
      <c r="F5" s="324"/>
      <c r="G5" s="322"/>
      <c r="H5" s="324"/>
      <c r="I5" s="322"/>
      <c r="J5" s="322"/>
      <c r="K5" s="417"/>
      <c r="L5" s="420"/>
      <c r="M5" s="417"/>
      <c r="N5" s="418"/>
      <c r="O5" s="417"/>
      <c r="P5" s="417"/>
      <c r="Q5" s="417"/>
      <c r="R5" s="417"/>
      <c r="S5" s="417"/>
      <c r="T5" s="417"/>
      <c r="U5" s="417"/>
      <c r="V5" s="417"/>
      <c r="W5" s="417"/>
      <c r="X5" s="417"/>
      <c r="Y5" s="417"/>
      <c r="Z5" s="418"/>
      <c r="AA5" s="417"/>
      <c r="AB5" s="419"/>
      <c r="AC5" s="419"/>
      <c r="AD5" s="419"/>
      <c r="AE5" s="419"/>
      <c r="AF5" s="419"/>
      <c r="AG5" s="419"/>
      <c r="AH5" s="419"/>
      <c r="AI5" s="419"/>
      <c r="AJ5" s="417"/>
    </row>
    <row r="6" spans="1:36" s="62" customFormat="1" ht="14.1" customHeight="1">
      <c r="A6" s="322" t="s">
        <v>1816</v>
      </c>
      <c r="B6" s="322"/>
      <c r="C6" s="322"/>
      <c r="D6" s="322"/>
      <c r="F6" s="324"/>
      <c r="G6" s="322"/>
      <c r="H6" s="324"/>
      <c r="I6" s="322"/>
      <c r="J6" s="322"/>
      <c r="K6" s="417"/>
      <c r="L6" s="322"/>
      <c r="M6" s="417"/>
      <c r="N6" s="418"/>
      <c r="O6" s="417"/>
      <c r="P6" s="417"/>
      <c r="Q6" s="417"/>
      <c r="R6" s="417"/>
      <c r="S6" s="417"/>
      <c r="T6" s="417"/>
      <c r="U6" s="417"/>
      <c r="V6" s="417"/>
      <c r="W6" s="417"/>
      <c r="X6" s="417"/>
      <c r="Y6" s="417"/>
      <c r="Z6" s="418"/>
      <c r="AA6" s="417"/>
      <c r="AB6" s="419"/>
      <c r="AC6" s="419"/>
      <c r="AD6" s="419"/>
      <c r="AE6" s="419"/>
      <c r="AF6" s="419"/>
      <c r="AG6" s="419"/>
      <c r="AH6" s="419"/>
      <c r="AI6" s="419"/>
      <c r="AJ6" s="417"/>
    </row>
    <row r="7" spans="1:36" s="62" customFormat="1" ht="14.1" customHeight="1">
      <c r="A7" s="322"/>
      <c r="B7" s="322"/>
      <c r="C7" s="322"/>
      <c r="D7" s="322"/>
      <c r="E7" s="322"/>
      <c r="F7" s="324"/>
      <c r="G7" s="322"/>
      <c r="H7" s="324"/>
      <c r="I7" s="322"/>
      <c r="J7" s="322"/>
      <c r="K7" s="322"/>
      <c r="L7" s="421"/>
      <c r="M7" s="417"/>
      <c r="N7" s="418"/>
      <c r="O7" s="417"/>
      <c r="P7" s="417"/>
      <c r="Q7" s="417"/>
      <c r="R7" s="417"/>
      <c r="S7" s="417"/>
      <c r="T7" s="417"/>
      <c r="U7" s="417"/>
      <c r="V7" s="417"/>
      <c r="W7" s="417"/>
      <c r="X7" s="417"/>
      <c r="Y7" s="417"/>
      <c r="Z7" s="418"/>
      <c r="AA7" s="417"/>
      <c r="AB7" s="419"/>
      <c r="AC7" s="419"/>
      <c r="AD7" s="419"/>
      <c r="AE7" s="419"/>
      <c r="AF7" s="419"/>
      <c r="AG7" s="419"/>
      <c r="AH7" s="419"/>
      <c r="AI7" s="419"/>
      <c r="AJ7" s="417"/>
    </row>
    <row r="8" spans="1:36" s="62" customFormat="1" ht="14.1" customHeight="1" thickBot="1">
      <c r="A8" s="417"/>
      <c r="B8" s="417"/>
      <c r="C8" s="417"/>
      <c r="D8" s="417"/>
      <c r="E8" s="417"/>
      <c r="F8" s="417"/>
      <c r="G8" s="422"/>
      <c r="H8" s="417"/>
      <c r="I8" s="417"/>
      <c r="J8" s="417"/>
      <c r="K8" s="417"/>
      <c r="L8" s="421"/>
      <c r="M8" s="417"/>
      <c r="N8" s="418"/>
      <c r="O8" s="417"/>
      <c r="P8" s="417"/>
      <c r="Q8" s="417"/>
      <c r="R8" s="417"/>
      <c r="S8" s="417"/>
      <c r="T8" s="417"/>
      <c r="U8" s="417"/>
      <c r="V8" s="417"/>
      <c r="W8" s="417"/>
      <c r="X8" s="417"/>
      <c r="Y8" s="417"/>
      <c r="Z8" s="418"/>
      <c r="AA8" s="417"/>
      <c r="AB8" s="419"/>
      <c r="AC8" s="419"/>
      <c r="AD8" s="419"/>
      <c r="AE8" s="419"/>
      <c r="AF8" s="419"/>
      <c r="AG8" s="419"/>
      <c r="AH8" s="419"/>
      <c r="AI8" s="419"/>
      <c r="AJ8" s="417"/>
    </row>
    <row r="9" spans="1:36" s="62" customFormat="1" ht="14.1" customHeight="1" thickTop="1" thickBot="1">
      <c r="A9" s="327"/>
      <c r="B9" s="328"/>
      <c r="C9" s="327"/>
      <c r="D9" s="363"/>
      <c r="E9" s="363"/>
      <c r="F9" s="363"/>
      <c r="G9" s="364"/>
      <c r="H9" s="366" t="s">
        <v>1799</v>
      </c>
      <c r="I9" s="327"/>
      <c r="J9" s="363"/>
      <c r="K9" s="363"/>
      <c r="L9" s="368"/>
      <c r="M9" s="364"/>
      <c r="N9" s="327"/>
      <c r="O9" s="364"/>
      <c r="P9" s="327"/>
      <c r="Q9" s="364"/>
      <c r="R9" s="370"/>
      <c r="S9" s="362"/>
      <c r="T9" s="362"/>
      <c r="U9" s="362"/>
      <c r="V9" s="362"/>
      <c r="W9" s="362" t="s">
        <v>1804</v>
      </c>
      <c r="X9" s="362"/>
      <c r="Y9" s="362"/>
      <c r="Z9" s="362"/>
      <c r="AA9" s="362"/>
      <c r="AB9" s="371"/>
      <c r="AC9" s="372"/>
      <c r="AD9" s="374"/>
      <c r="AE9" s="375"/>
      <c r="AF9" s="375" t="s">
        <v>1806</v>
      </c>
      <c r="AG9" s="375"/>
      <c r="AH9" s="375"/>
      <c r="AI9" s="376"/>
      <c r="AJ9" s="66" t="s">
        <v>570</v>
      </c>
    </row>
    <row r="10" spans="1:36" s="62" customFormat="1" ht="14.1" customHeight="1" thickTop="1" thickBot="1">
      <c r="A10" s="329" t="s">
        <v>1799</v>
      </c>
      <c r="B10" s="330"/>
      <c r="C10" s="329"/>
      <c r="D10" s="360"/>
      <c r="E10" s="360" t="s">
        <v>1800</v>
      </c>
      <c r="F10" s="360"/>
      <c r="G10" s="365"/>
      <c r="H10" s="367" t="s">
        <v>1801</v>
      </c>
      <c r="I10" s="329"/>
      <c r="J10" s="360" t="s">
        <v>1802</v>
      </c>
      <c r="K10" s="360"/>
      <c r="L10" s="369"/>
      <c r="M10" s="365"/>
      <c r="N10" s="329" t="s">
        <v>1803</v>
      </c>
      <c r="O10" s="365"/>
      <c r="P10" s="329" t="s">
        <v>1799</v>
      </c>
      <c r="Q10" s="365"/>
      <c r="R10" s="370"/>
      <c r="S10" s="362" t="s">
        <v>1859</v>
      </c>
      <c r="T10" s="362"/>
      <c r="U10" s="362"/>
      <c r="V10" s="373"/>
      <c r="W10" s="370"/>
      <c r="X10" s="362" t="s">
        <v>1860</v>
      </c>
      <c r="Y10" s="362"/>
      <c r="Z10" s="373"/>
      <c r="AA10" s="331"/>
      <c r="AB10" s="332"/>
      <c r="AC10" s="333"/>
      <c r="AD10" s="377"/>
      <c r="AE10" s="378"/>
      <c r="AF10" s="378" t="s">
        <v>1807</v>
      </c>
      <c r="AG10" s="378"/>
      <c r="AH10" s="378"/>
      <c r="AI10" s="379"/>
      <c r="AJ10" s="66" t="s">
        <v>571</v>
      </c>
    </row>
    <row r="11" spans="1:36" s="62" customFormat="1" ht="14.1" customHeight="1" thickTop="1">
      <c r="A11" s="69"/>
      <c r="B11" s="67" t="s">
        <v>572</v>
      </c>
      <c r="C11" s="18" t="s">
        <v>573</v>
      </c>
      <c r="D11" s="18" t="s">
        <v>574</v>
      </c>
      <c r="E11" s="18" t="s">
        <v>811</v>
      </c>
      <c r="F11" s="18" t="s">
        <v>812</v>
      </c>
      <c r="G11" s="67" t="s">
        <v>577</v>
      </c>
      <c r="H11" s="67" t="s">
        <v>578</v>
      </c>
      <c r="I11" s="18" t="s">
        <v>813</v>
      </c>
      <c r="J11" s="18" t="s">
        <v>580</v>
      </c>
      <c r="K11" s="18" t="s">
        <v>581</v>
      </c>
      <c r="L11" s="130" t="s">
        <v>814</v>
      </c>
      <c r="M11" s="67" t="s">
        <v>815</v>
      </c>
      <c r="N11" s="18" t="s">
        <v>816</v>
      </c>
      <c r="O11" s="18" t="s">
        <v>817</v>
      </c>
      <c r="P11" s="69"/>
      <c r="Q11" s="67" t="s">
        <v>572</v>
      </c>
      <c r="R11" s="18" t="s">
        <v>818</v>
      </c>
      <c r="S11" s="18" t="s">
        <v>587</v>
      </c>
      <c r="T11" s="18" t="s">
        <v>588</v>
      </c>
      <c r="U11" s="18" t="s">
        <v>819</v>
      </c>
      <c r="V11" s="67" t="s">
        <v>820</v>
      </c>
      <c r="W11" s="18" t="s">
        <v>821</v>
      </c>
      <c r="X11" s="18" t="s">
        <v>592</v>
      </c>
      <c r="Y11" s="18" t="s">
        <v>593</v>
      </c>
      <c r="Z11" s="67" t="s">
        <v>822</v>
      </c>
      <c r="AA11" s="18" t="s">
        <v>823</v>
      </c>
      <c r="AB11" s="13" t="s">
        <v>824</v>
      </c>
      <c r="AC11" s="16" t="s">
        <v>825</v>
      </c>
      <c r="AD11" s="374"/>
      <c r="AE11" s="375"/>
      <c r="AF11" s="376"/>
      <c r="AG11" s="374"/>
      <c r="AH11" s="375"/>
      <c r="AI11" s="376"/>
      <c r="AJ11" s="66" t="s">
        <v>598</v>
      </c>
    </row>
    <row r="12" spans="1:36" s="62" customFormat="1" ht="14.1" customHeight="1" thickBot="1">
      <c r="A12" s="69"/>
      <c r="B12" s="67" t="s">
        <v>599</v>
      </c>
      <c r="C12" s="18" t="s">
        <v>600</v>
      </c>
      <c r="D12" s="18" t="s">
        <v>601</v>
      </c>
      <c r="E12" s="18" t="s">
        <v>601</v>
      </c>
      <c r="F12" s="18" t="s">
        <v>601</v>
      </c>
      <c r="G12" s="67" t="s">
        <v>601</v>
      </c>
      <c r="H12" s="67" t="s">
        <v>608</v>
      </c>
      <c r="I12" s="18" t="s">
        <v>601</v>
      </c>
      <c r="J12" s="18" t="s">
        <v>601</v>
      </c>
      <c r="K12" s="18"/>
      <c r="L12" s="129" t="s">
        <v>601</v>
      </c>
      <c r="M12" s="67" t="s">
        <v>601</v>
      </c>
      <c r="N12" s="18" t="s">
        <v>603</v>
      </c>
      <c r="O12" s="18" t="s">
        <v>604</v>
      </c>
      <c r="P12" s="69"/>
      <c r="Q12" s="67" t="s">
        <v>599</v>
      </c>
      <c r="R12" s="18" t="s">
        <v>826</v>
      </c>
      <c r="S12" s="18" t="s">
        <v>610</v>
      </c>
      <c r="T12" s="18" t="s">
        <v>610</v>
      </c>
      <c r="U12" s="18" t="s">
        <v>607</v>
      </c>
      <c r="V12" s="67" t="s">
        <v>608</v>
      </c>
      <c r="W12" s="18" t="s">
        <v>609</v>
      </c>
      <c r="X12" s="18" t="s">
        <v>610</v>
      </c>
      <c r="Y12" s="18" t="s">
        <v>610</v>
      </c>
      <c r="Z12" s="67" t="s">
        <v>607</v>
      </c>
      <c r="AA12" s="18" t="s">
        <v>601</v>
      </c>
      <c r="AB12" s="13" t="s">
        <v>611</v>
      </c>
      <c r="AC12" s="16" t="s">
        <v>612</v>
      </c>
      <c r="AD12" s="377"/>
      <c r="AE12" s="378" t="s">
        <v>1808</v>
      </c>
      <c r="AF12" s="379"/>
      <c r="AG12" s="377"/>
      <c r="AH12" s="378" t="s">
        <v>1809</v>
      </c>
      <c r="AI12" s="379"/>
      <c r="AJ12" s="66" t="s">
        <v>613</v>
      </c>
    </row>
    <row r="13" spans="1:36" s="62" customFormat="1" ht="14.1" customHeight="1" thickTop="1" thickBot="1">
      <c r="A13" s="131"/>
      <c r="B13" s="132"/>
      <c r="C13" s="133"/>
      <c r="D13" s="133"/>
      <c r="E13" s="133"/>
      <c r="F13" s="133"/>
      <c r="G13" s="132"/>
      <c r="H13" s="132"/>
      <c r="I13" s="133"/>
      <c r="J13" s="133"/>
      <c r="K13" s="133"/>
      <c r="L13" s="134"/>
      <c r="M13" s="132"/>
      <c r="N13" s="133"/>
      <c r="O13" s="133"/>
      <c r="P13" s="131"/>
      <c r="Q13" s="132"/>
      <c r="R13" s="133"/>
      <c r="S13" s="133"/>
      <c r="T13" s="133"/>
      <c r="U13" s="133"/>
      <c r="V13" s="132"/>
      <c r="W13" s="133"/>
      <c r="X13" s="133"/>
      <c r="Y13" s="133"/>
      <c r="Z13" s="132"/>
      <c r="AA13" s="133"/>
      <c r="AB13" s="24"/>
      <c r="AC13" s="27"/>
      <c r="AD13" s="28">
        <v>235</v>
      </c>
      <c r="AE13" s="28">
        <v>355</v>
      </c>
      <c r="AF13" s="28">
        <v>460</v>
      </c>
      <c r="AG13" s="28">
        <v>235</v>
      </c>
      <c r="AH13" s="28">
        <v>355</v>
      </c>
      <c r="AI13" s="29">
        <v>460</v>
      </c>
      <c r="AJ13" s="66" t="s">
        <v>578</v>
      </c>
    </row>
    <row r="14" spans="1:36" s="138" customFormat="1" ht="13.5" customHeight="1" thickTop="1">
      <c r="A14" s="135"/>
      <c r="B14" s="135"/>
      <c r="C14" s="135"/>
      <c r="D14" s="135"/>
      <c r="E14" s="135"/>
      <c r="F14" s="135"/>
      <c r="G14" s="135"/>
      <c r="H14" s="135"/>
      <c r="I14" s="135"/>
      <c r="J14" s="135"/>
      <c r="K14" s="135"/>
      <c r="L14" s="136"/>
      <c r="M14" s="135"/>
      <c r="N14" s="135"/>
      <c r="O14" s="135"/>
      <c r="P14" s="135"/>
      <c r="Q14" s="135"/>
      <c r="R14" s="135"/>
      <c r="S14" s="135"/>
      <c r="T14" s="135"/>
      <c r="U14" s="135"/>
      <c r="V14" s="135"/>
      <c r="W14" s="135"/>
      <c r="X14" s="135"/>
      <c r="Y14" s="135"/>
      <c r="Z14" s="135"/>
      <c r="AA14" s="135"/>
      <c r="AB14" s="137"/>
      <c r="AC14" s="137"/>
      <c r="AD14" s="137"/>
      <c r="AE14" s="137"/>
      <c r="AF14" s="137"/>
      <c r="AG14" s="137"/>
      <c r="AH14" s="137"/>
      <c r="AI14" s="137"/>
      <c r="AJ14" s="99" t="s">
        <v>614</v>
      </c>
    </row>
    <row r="15" spans="1:36" s="430" customFormat="1" ht="13.5" customHeight="1">
      <c r="A15" s="387" t="s">
        <v>827</v>
      </c>
      <c r="B15" s="388">
        <v>54.1</v>
      </c>
      <c r="C15" s="389">
        <v>244</v>
      </c>
      <c r="D15" s="389">
        <v>260</v>
      </c>
      <c r="E15" s="390">
        <v>6.5</v>
      </c>
      <c r="F15" s="390">
        <v>9.5</v>
      </c>
      <c r="G15" s="391">
        <v>24</v>
      </c>
      <c r="H15" s="392">
        <v>68.97</v>
      </c>
      <c r="I15" s="389">
        <v>225</v>
      </c>
      <c r="J15" s="389">
        <v>177</v>
      </c>
      <c r="K15" s="389" t="s">
        <v>667</v>
      </c>
      <c r="L15" s="393">
        <v>110</v>
      </c>
      <c r="M15" s="394">
        <v>158</v>
      </c>
      <c r="N15" s="396">
        <v>1.47</v>
      </c>
      <c r="O15" s="396">
        <v>27.22</v>
      </c>
      <c r="P15" s="387" t="s">
        <v>827</v>
      </c>
      <c r="Q15" s="388">
        <v>54.1</v>
      </c>
      <c r="R15" s="393">
        <v>7981</v>
      </c>
      <c r="S15" s="390">
        <v>654.1</v>
      </c>
      <c r="T15" s="390">
        <v>714.5</v>
      </c>
      <c r="U15" s="396">
        <v>10.76</v>
      </c>
      <c r="V15" s="392">
        <v>24.75</v>
      </c>
      <c r="W15" s="393">
        <v>2788</v>
      </c>
      <c r="X15" s="390">
        <v>214.5</v>
      </c>
      <c r="Y15" s="390">
        <v>327.7</v>
      </c>
      <c r="Z15" s="392">
        <v>6.36</v>
      </c>
      <c r="AA15" s="396">
        <v>53.62</v>
      </c>
      <c r="AB15" s="398">
        <v>30.31</v>
      </c>
      <c r="AC15" s="400">
        <v>382.6</v>
      </c>
      <c r="AD15" s="398">
        <v>3</v>
      </c>
      <c r="AE15" s="398">
        <v>4</v>
      </c>
      <c r="AF15" s="399" t="s">
        <v>616</v>
      </c>
      <c r="AG15" s="398">
        <v>3</v>
      </c>
      <c r="AH15" s="398">
        <v>4</v>
      </c>
      <c r="AI15" s="400" t="s">
        <v>616</v>
      </c>
      <c r="AJ15" s="398"/>
    </row>
    <row r="16" spans="1:36" s="138" customFormat="1" ht="16.5" customHeight="1">
      <c r="A16" s="81" t="s">
        <v>828</v>
      </c>
      <c r="B16" s="139">
        <v>68.2</v>
      </c>
      <c r="C16" s="83">
        <v>250</v>
      </c>
      <c r="D16" s="83">
        <v>260</v>
      </c>
      <c r="E16" s="84">
        <v>7.5</v>
      </c>
      <c r="F16" s="84">
        <v>12.5</v>
      </c>
      <c r="G16" s="90">
        <v>24</v>
      </c>
      <c r="H16" s="91">
        <v>86.82</v>
      </c>
      <c r="I16" s="83">
        <v>225</v>
      </c>
      <c r="J16" s="83">
        <v>177</v>
      </c>
      <c r="K16" s="83" t="s">
        <v>667</v>
      </c>
      <c r="L16" s="86">
        <v>110</v>
      </c>
      <c r="M16" s="87">
        <v>158</v>
      </c>
      <c r="N16" s="89">
        <v>1.48</v>
      </c>
      <c r="O16" s="89">
        <v>21.77</v>
      </c>
      <c r="P16" s="81" t="s">
        <v>828</v>
      </c>
      <c r="Q16" s="82">
        <v>68.2</v>
      </c>
      <c r="R16" s="86">
        <v>10450</v>
      </c>
      <c r="S16" s="84">
        <v>836.4</v>
      </c>
      <c r="T16" s="84">
        <v>919.8</v>
      </c>
      <c r="U16" s="89">
        <v>10.97</v>
      </c>
      <c r="V16" s="91">
        <v>28.76</v>
      </c>
      <c r="W16" s="86">
        <v>3668</v>
      </c>
      <c r="X16" s="84">
        <v>282.10000000000002</v>
      </c>
      <c r="Y16" s="84">
        <v>430.2</v>
      </c>
      <c r="Z16" s="91">
        <v>6.5</v>
      </c>
      <c r="AA16" s="89">
        <v>60.62</v>
      </c>
      <c r="AB16" s="109">
        <v>52.37</v>
      </c>
      <c r="AC16" s="111">
        <v>516.4</v>
      </c>
      <c r="AD16" s="21">
        <v>2</v>
      </c>
      <c r="AE16" s="21">
        <v>3</v>
      </c>
      <c r="AF16" s="43" t="s">
        <v>616</v>
      </c>
      <c r="AG16" s="21">
        <v>2</v>
      </c>
      <c r="AH16" s="21">
        <v>3</v>
      </c>
      <c r="AI16" s="42" t="s">
        <v>616</v>
      </c>
      <c r="AJ16" s="21"/>
    </row>
    <row r="17" spans="1:36" s="430" customFormat="1" ht="13.5" customHeight="1">
      <c r="A17" s="387" t="s">
        <v>829</v>
      </c>
      <c r="B17" s="388">
        <v>93</v>
      </c>
      <c r="C17" s="389">
        <v>260</v>
      </c>
      <c r="D17" s="389">
        <v>260</v>
      </c>
      <c r="E17" s="390">
        <v>10</v>
      </c>
      <c r="F17" s="390">
        <v>17.5</v>
      </c>
      <c r="G17" s="391">
        <v>24</v>
      </c>
      <c r="H17" s="388">
        <v>118.4</v>
      </c>
      <c r="I17" s="389">
        <v>225</v>
      </c>
      <c r="J17" s="389">
        <v>177</v>
      </c>
      <c r="K17" s="389" t="s">
        <v>667</v>
      </c>
      <c r="L17" s="393">
        <v>114</v>
      </c>
      <c r="M17" s="394">
        <v>158</v>
      </c>
      <c r="N17" s="396">
        <v>1.5</v>
      </c>
      <c r="O17" s="396">
        <v>16.12</v>
      </c>
      <c r="P17" s="387" t="s">
        <v>829</v>
      </c>
      <c r="Q17" s="388">
        <v>93</v>
      </c>
      <c r="R17" s="393">
        <v>14920</v>
      </c>
      <c r="S17" s="393">
        <v>1148</v>
      </c>
      <c r="T17" s="393">
        <v>1283</v>
      </c>
      <c r="U17" s="396">
        <v>11.22</v>
      </c>
      <c r="V17" s="392">
        <v>37.590000000000003</v>
      </c>
      <c r="W17" s="393">
        <v>5135</v>
      </c>
      <c r="X17" s="390">
        <v>395</v>
      </c>
      <c r="Y17" s="390">
        <v>602.20000000000005</v>
      </c>
      <c r="Z17" s="392">
        <v>6.58</v>
      </c>
      <c r="AA17" s="396">
        <v>73.12</v>
      </c>
      <c r="AB17" s="431">
        <v>123.8</v>
      </c>
      <c r="AC17" s="432">
        <v>753.7</v>
      </c>
      <c r="AD17" s="398">
        <v>1</v>
      </c>
      <c r="AE17" s="398">
        <v>1</v>
      </c>
      <c r="AF17" s="399">
        <v>2</v>
      </c>
      <c r="AG17" s="398">
        <v>1</v>
      </c>
      <c r="AH17" s="398">
        <v>1</v>
      </c>
      <c r="AI17" s="400">
        <v>2</v>
      </c>
      <c r="AJ17" s="398" t="s">
        <v>661</v>
      </c>
    </row>
    <row r="18" spans="1:36" s="138" customFormat="1" ht="13.5" customHeight="1">
      <c r="A18" s="81" t="s">
        <v>830</v>
      </c>
      <c r="B18" s="140">
        <v>114</v>
      </c>
      <c r="C18" s="83">
        <v>268</v>
      </c>
      <c r="D18" s="83">
        <v>262</v>
      </c>
      <c r="E18" s="84">
        <v>12.5</v>
      </c>
      <c r="F18" s="84">
        <v>21.5</v>
      </c>
      <c r="G18" s="90">
        <v>24</v>
      </c>
      <c r="H18" s="82">
        <v>145.69999999999999</v>
      </c>
      <c r="I18" s="83">
        <v>225</v>
      </c>
      <c r="J18" s="83">
        <v>177</v>
      </c>
      <c r="K18" s="83" t="s">
        <v>667</v>
      </c>
      <c r="L18" s="86">
        <v>116</v>
      </c>
      <c r="M18" s="87">
        <v>160</v>
      </c>
      <c r="N18" s="89">
        <v>1.52</v>
      </c>
      <c r="O18" s="89">
        <v>13.27</v>
      </c>
      <c r="P18" s="81" t="s">
        <v>830</v>
      </c>
      <c r="Q18" s="87">
        <v>114</v>
      </c>
      <c r="R18" s="86">
        <v>18910</v>
      </c>
      <c r="S18" s="86">
        <v>1411</v>
      </c>
      <c r="T18" s="86">
        <v>1600</v>
      </c>
      <c r="U18" s="89">
        <v>11.39</v>
      </c>
      <c r="V18" s="91">
        <v>46.08</v>
      </c>
      <c r="W18" s="86">
        <v>6456</v>
      </c>
      <c r="X18" s="84">
        <v>492.8</v>
      </c>
      <c r="Y18" s="84">
        <v>752.5</v>
      </c>
      <c r="Z18" s="91">
        <v>6.66</v>
      </c>
      <c r="AA18" s="89">
        <v>83.62</v>
      </c>
      <c r="AB18" s="109">
        <v>222.4</v>
      </c>
      <c r="AC18" s="111">
        <v>979</v>
      </c>
      <c r="AD18" s="21">
        <v>1</v>
      </c>
      <c r="AE18" s="21">
        <v>1</v>
      </c>
      <c r="AF18" s="43">
        <v>1</v>
      </c>
      <c r="AG18" s="21">
        <v>1</v>
      </c>
      <c r="AH18" s="21">
        <v>1</v>
      </c>
      <c r="AI18" s="42">
        <v>1</v>
      </c>
      <c r="AJ18" s="21" t="s">
        <v>661</v>
      </c>
    </row>
    <row r="19" spans="1:36" s="433" customFormat="1" ht="13.5" customHeight="1">
      <c r="A19" s="387" t="s">
        <v>831</v>
      </c>
      <c r="B19" s="394">
        <v>142</v>
      </c>
      <c r="C19" s="389">
        <v>278</v>
      </c>
      <c r="D19" s="389">
        <v>265</v>
      </c>
      <c r="E19" s="390">
        <v>15.5</v>
      </c>
      <c r="F19" s="390">
        <v>26.5</v>
      </c>
      <c r="G19" s="391">
        <v>24</v>
      </c>
      <c r="H19" s="388">
        <v>180.3</v>
      </c>
      <c r="I19" s="389">
        <v>225</v>
      </c>
      <c r="J19" s="389">
        <v>177</v>
      </c>
      <c r="K19" s="389" t="s">
        <v>667</v>
      </c>
      <c r="L19" s="393">
        <v>120</v>
      </c>
      <c r="M19" s="394">
        <v>164</v>
      </c>
      <c r="N19" s="396">
        <v>1.54</v>
      </c>
      <c r="O19" s="396">
        <v>10.91</v>
      </c>
      <c r="P19" s="387" t="s">
        <v>831</v>
      </c>
      <c r="Q19" s="394">
        <v>142</v>
      </c>
      <c r="R19" s="393">
        <v>24330</v>
      </c>
      <c r="S19" s="393">
        <v>1750</v>
      </c>
      <c r="T19" s="393">
        <v>2015</v>
      </c>
      <c r="U19" s="396">
        <v>11.62</v>
      </c>
      <c r="V19" s="392">
        <v>56.65</v>
      </c>
      <c r="W19" s="393">
        <v>8236</v>
      </c>
      <c r="X19" s="390">
        <v>621.6</v>
      </c>
      <c r="Y19" s="390">
        <v>950.5</v>
      </c>
      <c r="Z19" s="392">
        <v>6.76</v>
      </c>
      <c r="AA19" s="396">
        <v>96.62</v>
      </c>
      <c r="AB19" s="431">
        <v>406.8</v>
      </c>
      <c r="AC19" s="432">
        <v>1300</v>
      </c>
      <c r="AD19" s="398">
        <v>1</v>
      </c>
      <c r="AE19" s="398">
        <v>1</v>
      </c>
      <c r="AF19" s="399">
        <v>1</v>
      </c>
      <c r="AG19" s="398">
        <v>1</v>
      </c>
      <c r="AH19" s="398">
        <v>1</v>
      </c>
      <c r="AI19" s="400">
        <v>1</v>
      </c>
      <c r="AJ19" s="398" t="s">
        <v>661</v>
      </c>
    </row>
    <row r="20" spans="1:36" s="141" customFormat="1" ht="13.5" customHeight="1">
      <c r="A20" s="81" t="s">
        <v>832</v>
      </c>
      <c r="B20" s="140">
        <v>172</v>
      </c>
      <c r="C20" s="83">
        <v>290</v>
      </c>
      <c r="D20" s="83">
        <v>268</v>
      </c>
      <c r="E20" s="84">
        <v>18</v>
      </c>
      <c r="F20" s="84">
        <v>32.5</v>
      </c>
      <c r="G20" s="90">
        <v>24</v>
      </c>
      <c r="H20" s="82">
        <v>219.6</v>
      </c>
      <c r="I20" s="83">
        <v>225</v>
      </c>
      <c r="J20" s="83">
        <v>177</v>
      </c>
      <c r="K20" s="83" t="s">
        <v>667</v>
      </c>
      <c r="L20" s="86">
        <v>122</v>
      </c>
      <c r="M20" s="87">
        <v>166</v>
      </c>
      <c r="N20" s="89">
        <v>1.57</v>
      </c>
      <c r="O20" s="89">
        <v>9.1300000000000008</v>
      </c>
      <c r="P20" s="81" t="s">
        <v>832</v>
      </c>
      <c r="Q20" s="87">
        <v>172</v>
      </c>
      <c r="R20" s="86">
        <v>31310</v>
      </c>
      <c r="S20" s="86">
        <v>2159</v>
      </c>
      <c r="T20" s="86">
        <v>2524</v>
      </c>
      <c r="U20" s="89">
        <v>11.94</v>
      </c>
      <c r="V20" s="91">
        <v>66.89</v>
      </c>
      <c r="W20" s="86">
        <v>10450</v>
      </c>
      <c r="X20" s="84">
        <v>779.7</v>
      </c>
      <c r="Y20" s="86">
        <v>1192</v>
      </c>
      <c r="Z20" s="91">
        <v>6.9</v>
      </c>
      <c r="AA20" s="89">
        <v>111.1</v>
      </c>
      <c r="AB20" s="109">
        <v>719</v>
      </c>
      <c r="AC20" s="111">
        <v>1728</v>
      </c>
      <c r="AD20" s="21">
        <v>1</v>
      </c>
      <c r="AE20" s="21">
        <v>1</v>
      </c>
      <c r="AF20" s="43">
        <v>1</v>
      </c>
      <c r="AG20" s="21">
        <v>1</v>
      </c>
      <c r="AH20" s="21">
        <v>1</v>
      </c>
      <c r="AI20" s="42">
        <v>1</v>
      </c>
      <c r="AJ20" s="21" t="s">
        <v>661</v>
      </c>
    </row>
    <row r="21" spans="1:36" s="141" customFormat="1" ht="13.5" customHeight="1">
      <c r="A21" s="81"/>
      <c r="B21" s="139"/>
      <c r="C21" s="83"/>
      <c r="D21" s="83"/>
      <c r="E21" s="84"/>
      <c r="F21" s="84"/>
      <c r="G21" s="90"/>
      <c r="H21" s="91"/>
      <c r="I21" s="83"/>
      <c r="J21" s="83"/>
      <c r="K21" s="83"/>
      <c r="L21" s="86"/>
      <c r="M21" s="87"/>
      <c r="N21" s="89"/>
      <c r="O21" s="89"/>
      <c r="P21" s="81"/>
      <c r="Q21" s="82"/>
      <c r="R21" s="86"/>
      <c r="S21" s="86"/>
      <c r="T21" s="86"/>
      <c r="U21" s="89"/>
      <c r="V21" s="91"/>
      <c r="W21" s="86"/>
      <c r="X21" s="84"/>
      <c r="Y21" s="84"/>
      <c r="Z21" s="91"/>
      <c r="AA21" s="89"/>
      <c r="AB21" s="109"/>
      <c r="AC21" s="111"/>
      <c r="AD21" s="21"/>
      <c r="AE21" s="21"/>
      <c r="AF21" s="43"/>
      <c r="AG21" s="21"/>
      <c r="AH21" s="21"/>
      <c r="AI21" s="42"/>
      <c r="AJ21" s="21"/>
    </row>
    <row r="22" spans="1:36" s="434" customFormat="1" ht="13.5" customHeight="1">
      <c r="A22" s="387" t="s">
        <v>833</v>
      </c>
      <c r="B22" s="388">
        <v>74.2</v>
      </c>
      <c r="C22" s="389">
        <v>301</v>
      </c>
      <c r="D22" s="389">
        <v>300</v>
      </c>
      <c r="E22" s="390">
        <v>8</v>
      </c>
      <c r="F22" s="390">
        <v>11</v>
      </c>
      <c r="G22" s="391">
        <v>27</v>
      </c>
      <c r="H22" s="392">
        <v>94.58</v>
      </c>
      <c r="I22" s="389">
        <v>279</v>
      </c>
      <c r="J22" s="389">
        <v>225</v>
      </c>
      <c r="K22" s="389" t="s">
        <v>667</v>
      </c>
      <c r="L22" s="393">
        <v>118</v>
      </c>
      <c r="M22" s="394">
        <v>198</v>
      </c>
      <c r="N22" s="396">
        <v>1.74</v>
      </c>
      <c r="O22" s="396">
        <v>23.43</v>
      </c>
      <c r="P22" s="387" t="s">
        <v>833</v>
      </c>
      <c r="Q22" s="388">
        <v>74.2</v>
      </c>
      <c r="R22" s="393">
        <v>16450</v>
      </c>
      <c r="S22" s="393">
        <v>1093</v>
      </c>
      <c r="T22" s="393">
        <v>1196</v>
      </c>
      <c r="U22" s="396">
        <v>13.19</v>
      </c>
      <c r="V22" s="392">
        <v>35.4</v>
      </c>
      <c r="W22" s="393">
        <v>4959</v>
      </c>
      <c r="X22" s="390">
        <v>330.6</v>
      </c>
      <c r="Y22" s="390">
        <v>505.7</v>
      </c>
      <c r="Z22" s="392">
        <v>7.24</v>
      </c>
      <c r="AA22" s="396">
        <v>61.63</v>
      </c>
      <c r="AB22" s="431">
        <v>55.87</v>
      </c>
      <c r="AC22" s="432">
        <v>1041</v>
      </c>
      <c r="AD22" s="398">
        <v>3</v>
      </c>
      <c r="AE22" s="398">
        <v>4</v>
      </c>
      <c r="AF22" s="399" t="s">
        <v>616</v>
      </c>
      <c r="AG22" s="398">
        <v>3</v>
      </c>
      <c r="AH22" s="398">
        <v>4</v>
      </c>
      <c r="AI22" s="400" t="s">
        <v>616</v>
      </c>
      <c r="AJ22" s="398"/>
    </row>
    <row r="23" spans="1:36" s="141" customFormat="1" ht="13.5" customHeight="1">
      <c r="A23" s="81" t="s">
        <v>834</v>
      </c>
      <c r="B23" s="139">
        <v>97.6</v>
      </c>
      <c r="C23" s="83">
        <v>310</v>
      </c>
      <c r="D23" s="83">
        <v>300</v>
      </c>
      <c r="E23" s="84">
        <v>9</v>
      </c>
      <c r="F23" s="84">
        <v>15.5</v>
      </c>
      <c r="G23" s="90">
        <v>27</v>
      </c>
      <c r="H23" s="82">
        <v>124.4</v>
      </c>
      <c r="I23" s="83">
        <v>279</v>
      </c>
      <c r="J23" s="83">
        <v>225</v>
      </c>
      <c r="K23" s="83" t="s">
        <v>667</v>
      </c>
      <c r="L23" s="86">
        <v>118</v>
      </c>
      <c r="M23" s="87">
        <v>198</v>
      </c>
      <c r="N23" s="89">
        <v>1.76</v>
      </c>
      <c r="O23" s="89">
        <v>17.98</v>
      </c>
      <c r="P23" s="81" t="s">
        <v>834</v>
      </c>
      <c r="Q23" s="82">
        <v>97.6</v>
      </c>
      <c r="R23" s="86">
        <v>22930</v>
      </c>
      <c r="S23" s="86">
        <v>1479</v>
      </c>
      <c r="T23" s="86">
        <v>1628</v>
      </c>
      <c r="U23" s="89">
        <v>13.58</v>
      </c>
      <c r="V23" s="91">
        <v>41.13</v>
      </c>
      <c r="W23" s="86">
        <v>6985</v>
      </c>
      <c r="X23" s="84">
        <v>465.7</v>
      </c>
      <c r="Y23" s="84">
        <v>709.7</v>
      </c>
      <c r="Z23" s="91">
        <v>7.49</v>
      </c>
      <c r="AA23" s="89">
        <v>71.63</v>
      </c>
      <c r="AB23" s="109">
        <v>108</v>
      </c>
      <c r="AC23" s="111">
        <v>1512</v>
      </c>
      <c r="AD23" s="21">
        <v>1</v>
      </c>
      <c r="AE23" s="21">
        <v>3</v>
      </c>
      <c r="AF23" s="43">
        <v>3</v>
      </c>
      <c r="AG23" s="21">
        <v>1</v>
      </c>
      <c r="AH23" s="21">
        <v>3</v>
      </c>
      <c r="AI23" s="42">
        <v>3</v>
      </c>
      <c r="AJ23" s="21" t="s">
        <v>661</v>
      </c>
    </row>
    <row r="24" spans="1:36" s="434" customFormat="1" ht="13.5" customHeight="1">
      <c r="A24" s="387" t="s">
        <v>835</v>
      </c>
      <c r="B24" s="394">
        <v>127</v>
      </c>
      <c r="C24" s="389">
        <v>320</v>
      </c>
      <c r="D24" s="389">
        <v>300</v>
      </c>
      <c r="E24" s="390">
        <v>11.5</v>
      </c>
      <c r="F24" s="390">
        <v>20.5</v>
      </c>
      <c r="G24" s="391">
        <v>27</v>
      </c>
      <c r="H24" s="388">
        <v>161.30000000000001</v>
      </c>
      <c r="I24" s="389">
        <v>279</v>
      </c>
      <c r="J24" s="389">
        <v>225</v>
      </c>
      <c r="K24" s="389" t="s">
        <v>667</v>
      </c>
      <c r="L24" s="393">
        <v>122</v>
      </c>
      <c r="M24" s="394">
        <v>198</v>
      </c>
      <c r="N24" s="396">
        <v>1.77</v>
      </c>
      <c r="O24" s="396">
        <v>13.98</v>
      </c>
      <c r="P24" s="387" t="s">
        <v>835</v>
      </c>
      <c r="Q24" s="394">
        <v>127</v>
      </c>
      <c r="R24" s="393">
        <v>30820</v>
      </c>
      <c r="S24" s="393">
        <v>1926</v>
      </c>
      <c r="T24" s="393">
        <v>2149</v>
      </c>
      <c r="U24" s="396">
        <v>13.82</v>
      </c>
      <c r="V24" s="392">
        <v>51.77</v>
      </c>
      <c r="W24" s="393">
        <v>9239</v>
      </c>
      <c r="X24" s="390">
        <v>615.9</v>
      </c>
      <c r="Y24" s="390">
        <v>939.1</v>
      </c>
      <c r="Z24" s="392">
        <v>7.57</v>
      </c>
      <c r="AA24" s="396">
        <v>84.13</v>
      </c>
      <c r="AB24" s="431">
        <v>225.1</v>
      </c>
      <c r="AC24" s="432">
        <v>2069</v>
      </c>
      <c r="AD24" s="398">
        <v>1</v>
      </c>
      <c r="AE24" s="398">
        <v>1</v>
      </c>
      <c r="AF24" s="399">
        <v>2</v>
      </c>
      <c r="AG24" s="398">
        <v>1</v>
      </c>
      <c r="AH24" s="398">
        <v>1</v>
      </c>
      <c r="AI24" s="400">
        <v>2</v>
      </c>
      <c r="AJ24" s="398" t="s">
        <v>661</v>
      </c>
    </row>
    <row r="25" spans="1:36" s="141" customFormat="1" ht="13.5" customHeight="1">
      <c r="A25" s="81" t="s">
        <v>836</v>
      </c>
      <c r="B25" s="140">
        <v>158</v>
      </c>
      <c r="C25" s="83">
        <v>330</v>
      </c>
      <c r="D25" s="83">
        <v>303</v>
      </c>
      <c r="E25" s="84">
        <v>14.5</v>
      </c>
      <c r="F25" s="84">
        <v>25.5</v>
      </c>
      <c r="G25" s="90">
        <v>27</v>
      </c>
      <c r="H25" s="82">
        <v>201.2</v>
      </c>
      <c r="I25" s="83">
        <v>279</v>
      </c>
      <c r="J25" s="83">
        <v>225</v>
      </c>
      <c r="K25" s="83" t="s">
        <v>667</v>
      </c>
      <c r="L25" s="86">
        <v>124</v>
      </c>
      <c r="M25" s="87">
        <v>202</v>
      </c>
      <c r="N25" s="89">
        <v>1.8</v>
      </c>
      <c r="O25" s="89">
        <v>11.37</v>
      </c>
      <c r="P25" s="81" t="s">
        <v>836</v>
      </c>
      <c r="Q25" s="87">
        <v>158</v>
      </c>
      <c r="R25" s="86">
        <v>39640</v>
      </c>
      <c r="S25" s="86">
        <v>2403</v>
      </c>
      <c r="T25" s="86">
        <v>2718</v>
      </c>
      <c r="U25" s="89">
        <v>14.04</v>
      </c>
      <c r="V25" s="91">
        <v>64.180000000000007</v>
      </c>
      <c r="W25" s="86">
        <v>11840</v>
      </c>
      <c r="X25" s="84">
        <v>781.7</v>
      </c>
      <c r="Y25" s="86">
        <v>1194</v>
      </c>
      <c r="Z25" s="91">
        <v>7.67</v>
      </c>
      <c r="AA25" s="89">
        <v>97.13</v>
      </c>
      <c r="AB25" s="109">
        <v>420.5</v>
      </c>
      <c r="AC25" s="111">
        <v>2741</v>
      </c>
      <c r="AD25" s="21">
        <v>1</v>
      </c>
      <c r="AE25" s="21">
        <v>1</v>
      </c>
      <c r="AF25" s="43">
        <v>1</v>
      </c>
      <c r="AG25" s="21">
        <v>1</v>
      </c>
      <c r="AH25" s="21">
        <v>1</v>
      </c>
      <c r="AI25" s="42">
        <v>1</v>
      </c>
      <c r="AJ25" s="21" t="s">
        <v>661</v>
      </c>
    </row>
    <row r="26" spans="1:36" s="434" customFormat="1" ht="13.5" customHeight="1">
      <c r="A26" s="387" t="s">
        <v>837</v>
      </c>
      <c r="B26" s="394">
        <v>198</v>
      </c>
      <c r="C26" s="389">
        <v>343</v>
      </c>
      <c r="D26" s="389">
        <v>306</v>
      </c>
      <c r="E26" s="390">
        <v>18</v>
      </c>
      <c r="F26" s="390">
        <v>32</v>
      </c>
      <c r="G26" s="391">
        <v>27</v>
      </c>
      <c r="H26" s="388">
        <v>252.3</v>
      </c>
      <c r="I26" s="389">
        <v>279</v>
      </c>
      <c r="J26" s="389">
        <v>225</v>
      </c>
      <c r="K26" s="389" t="s">
        <v>667</v>
      </c>
      <c r="L26" s="393">
        <v>128</v>
      </c>
      <c r="M26" s="394">
        <v>204</v>
      </c>
      <c r="N26" s="396">
        <v>1.83</v>
      </c>
      <c r="O26" s="396">
        <v>9.23</v>
      </c>
      <c r="P26" s="387" t="s">
        <v>837</v>
      </c>
      <c r="Q26" s="394">
        <v>198</v>
      </c>
      <c r="R26" s="393">
        <v>51900</v>
      </c>
      <c r="S26" s="393">
        <v>3026</v>
      </c>
      <c r="T26" s="393">
        <v>3479</v>
      </c>
      <c r="U26" s="396">
        <v>14.34</v>
      </c>
      <c r="V26" s="392">
        <v>79.52</v>
      </c>
      <c r="W26" s="393">
        <v>15310</v>
      </c>
      <c r="X26" s="393">
        <v>1001</v>
      </c>
      <c r="Y26" s="393">
        <v>1530</v>
      </c>
      <c r="Z26" s="392">
        <v>7.79</v>
      </c>
      <c r="AA26" s="390">
        <v>113.6</v>
      </c>
      <c r="AB26" s="431">
        <v>805.3</v>
      </c>
      <c r="AC26" s="432">
        <v>3695</v>
      </c>
      <c r="AD26" s="398">
        <v>1</v>
      </c>
      <c r="AE26" s="398">
        <v>1</v>
      </c>
      <c r="AF26" s="399">
        <v>1</v>
      </c>
      <c r="AG26" s="398">
        <v>1</v>
      </c>
      <c r="AH26" s="398">
        <v>1</v>
      </c>
      <c r="AI26" s="400">
        <v>1</v>
      </c>
      <c r="AJ26" s="398" t="s">
        <v>661</v>
      </c>
    </row>
    <row r="27" spans="1:36" s="141" customFormat="1" ht="13.5" customHeight="1">
      <c r="A27" s="33" t="s">
        <v>838</v>
      </c>
      <c r="B27" s="44">
        <v>245</v>
      </c>
      <c r="C27" s="21">
        <v>359</v>
      </c>
      <c r="D27" s="21">
        <v>309</v>
      </c>
      <c r="E27" s="36">
        <v>21</v>
      </c>
      <c r="F27" s="36">
        <v>40</v>
      </c>
      <c r="G27" s="43">
        <v>27</v>
      </c>
      <c r="H27" s="51">
        <v>312</v>
      </c>
      <c r="I27" s="21">
        <v>279</v>
      </c>
      <c r="J27" s="21">
        <v>225</v>
      </c>
      <c r="K27" s="21" t="s">
        <v>667</v>
      </c>
      <c r="L27" s="35">
        <v>132</v>
      </c>
      <c r="M27" s="38">
        <v>204</v>
      </c>
      <c r="N27" s="40">
        <v>1.87</v>
      </c>
      <c r="O27" s="40">
        <v>7.62</v>
      </c>
      <c r="P27" s="33" t="s">
        <v>838</v>
      </c>
      <c r="Q27" s="38">
        <v>245</v>
      </c>
      <c r="R27" s="35">
        <v>68130</v>
      </c>
      <c r="S27" s="35">
        <v>3796</v>
      </c>
      <c r="T27" s="35">
        <v>4435</v>
      </c>
      <c r="U27" s="40">
        <v>14.78</v>
      </c>
      <c r="V27" s="41">
        <v>94.85</v>
      </c>
      <c r="W27" s="35">
        <v>19710</v>
      </c>
      <c r="X27" s="35">
        <v>1276</v>
      </c>
      <c r="Y27" s="35">
        <v>1951</v>
      </c>
      <c r="Z27" s="41">
        <v>7.95</v>
      </c>
      <c r="AA27" s="36">
        <v>132.6</v>
      </c>
      <c r="AB27" s="109">
        <v>1501</v>
      </c>
      <c r="AC27" s="111">
        <v>5004</v>
      </c>
      <c r="AD27" s="21">
        <v>1</v>
      </c>
      <c r="AE27" s="21">
        <v>1</v>
      </c>
      <c r="AF27" s="43">
        <v>1</v>
      </c>
      <c r="AG27" s="21">
        <v>1</v>
      </c>
      <c r="AH27" s="21">
        <v>1</v>
      </c>
      <c r="AI27" s="42">
        <v>1</v>
      </c>
      <c r="AJ27" s="21" t="s">
        <v>661</v>
      </c>
    </row>
    <row r="28" spans="1:36" s="434" customFormat="1" ht="13.5" customHeight="1">
      <c r="A28" s="387" t="s">
        <v>839</v>
      </c>
      <c r="B28" s="394">
        <v>300</v>
      </c>
      <c r="C28" s="389">
        <v>375</v>
      </c>
      <c r="D28" s="389">
        <v>313</v>
      </c>
      <c r="E28" s="390">
        <v>27</v>
      </c>
      <c r="F28" s="390">
        <v>48</v>
      </c>
      <c r="G28" s="391">
        <v>27</v>
      </c>
      <c r="H28" s="388">
        <v>382.1</v>
      </c>
      <c r="I28" s="389">
        <v>279</v>
      </c>
      <c r="J28" s="389">
        <v>225</v>
      </c>
      <c r="K28" s="389" t="s">
        <v>667</v>
      </c>
      <c r="L28" s="393">
        <v>138</v>
      </c>
      <c r="M28" s="394">
        <v>208</v>
      </c>
      <c r="N28" s="396">
        <v>1.9</v>
      </c>
      <c r="O28" s="396">
        <v>6.34</v>
      </c>
      <c r="P28" s="387" t="s">
        <v>839</v>
      </c>
      <c r="Q28" s="394">
        <v>300</v>
      </c>
      <c r="R28" s="393">
        <v>86900</v>
      </c>
      <c r="S28" s="393">
        <v>4635</v>
      </c>
      <c r="T28" s="393">
        <v>5522</v>
      </c>
      <c r="U28" s="396">
        <v>15.08</v>
      </c>
      <c r="V28" s="392">
        <v>120.47</v>
      </c>
      <c r="W28" s="393">
        <v>24600</v>
      </c>
      <c r="X28" s="393">
        <v>1572</v>
      </c>
      <c r="Y28" s="393">
        <v>2414</v>
      </c>
      <c r="Z28" s="392">
        <v>8.02</v>
      </c>
      <c r="AA28" s="390">
        <v>154.6</v>
      </c>
      <c r="AB28" s="431">
        <v>2650</v>
      </c>
      <c r="AC28" s="432">
        <v>6558</v>
      </c>
      <c r="AD28" s="398">
        <v>1</v>
      </c>
      <c r="AE28" s="398">
        <v>1</v>
      </c>
      <c r="AF28" s="399">
        <v>1</v>
      </c>
      <c r="AG28" s="398">
        <v>1</v>
      </c>
      <c r="AH28" s="398">
        <v>1</v>
      </c>
      <c r="AI28" s="400">
        <v>1</v>
      </c>
      <c r="AJ28" s="398" t="s">
        <v>661</v>
      </c>
    </row>
    <row r="29" spans="1:36" s="141" customFormat="1" ht="13.5" customHeight="1">
      <c r="A29" s="81"/>
      <c r="B29" s="139"/>
      <c r="C29" s="83"/>
      <c r="D29" s="83"/>
      <c r="E29" s="84"/>
      <c r="F29" s="84"/>
      <c r="G29" s="90"/>
      <c r="H29" s="82"/>
      <c r="I29" s="83"/>
      <c r="J29" s="83"/>
      <c r="K29" s="83"/>
      <c r="L29" s="86"/>
      <c r="M29" s="87"/>
      <c r="N29" s="89"/>
      <c r="O29" s="89"/>
      <c r="P29" s="81"/>
      <c r="Q29" s="82"/>
      <c r="R29" s="86"/>
      <c r="S29" s="86"/>
      <c r="T29" s="86"/>
      <c r="U29" s="89"/>
      <c r="V29" s="91"/>
      <c r="W29" s="86"/>
      <c r="X29" s="84"/>
      <c r="Y29" s="84"/>
      <c r="Z29" s="91"/>
      <c r="AA29" s="89"/>
      <c r="AB29" s="109"/>
      <c r="AC29" s="111"/>
      <c r="AD29" s="21"/>
      <c r="AE29" s="21"/>
      <c r="AF29" s="43"/>
      <c r="AG29" s="21"/>
      <c r="AH29" s="21"/>
      <c r="AI29" s="42"/>
      <c r="AJ29" s="21"/>
    </row>
    <row r="30" spans="1:36" s="434" customFormat="1" ht="13.5" customHeight="1">
      <c r="A30" s="387" t="s">
        <v>840</v>
      </c>
      <c r="B30" s="394">
        <v>134</v>
      </c>
      <c r="C30" s="389">
        <v>356</v>
      </c>
      <c r="D30" s="389">
        <v>369</v>
      </c>
      <c r="E30" s="390">
        <v>11.2</v>
      </c>
      <c r="F30" s="390">
        <v>18</v>
      </c>
      <c r="G30" s="391">
        <v>15</v>
      </c>
      <c r="H30" s="388">
        <v>170.6</v>
      </c>
      <c r="I30" s="389">
        <v>320</v>
      </c>
      <c r="J30" s="389">
        <v>290</v>
      </c>
      <c r="K30" s="389" t="s">
        <v>667</v>
      </c>
      <c r="L30" s="393">
        <v>100</v>
      </c>
      <c r="M30" s="394">
        <v>264</v>
      </c>
      <c r="N30" s="396">
        <v>2.14</v>
      </c>
      <c r="O30" s="396">
        <v>15.98</v>
      </c>
      <c r="P30" s="387" t="s">
        <v>840</v>
      </c>
      <c r="Q30" s="394">
        <v>134</v>
      </c>
      <c r="R30" s="393">
        <v>41510</v>
      </c>
      <c r="S30" s="393">
        <v>2332</v>
      </c>
      <c r="T30" s="393">
        <v>2562</v>
      </c>
      <c r="U30" s="396">
        <v>15.6</v>
      </c>
      <c r="V30" s="392">
        <v>45.19</v>
      </c>
      <c r="W30" s="393">
        <v>15080</v>
      </c>
      <c r="X30" s="390">
        <v>817.3</v>
      </c>
      <c r="Y30" s="390">
        <v>1237</v>
      </c>
      <c r="Z30" s="392">
        <v>9.4</v>
      </c>
      <c r="AA30" s="396">
        <v>64.77</v>
      </c>
      <c r="AB30" s="431">
        <v>168.8</v>
      </c>
      <c r="AC30" s="432">
        <v>4305</v>
      </c>
      <c r="AD30" s="398">
        <v>2</v>
      </c>
      <c r="AE30" s="398">
        <v>3</v>
      </c>
      <c r="AF30" s="399">
        <v>3</v>
      </c>
      <c r="AG30" s="398">
        <v>2</v>
      </c>
      <c r="AH30" s="398">
        <v>3</v>
      </c>
      <c r="AI30" s="400">
        <v>3</v>
      </c>
      <c r="AJ30" s="398" t="s">
        <v>661</v>
      </c>
    </row>
    <row r="31" spans="1:36" s="141" customFormat="1" ht="13.5" customHeight="1">
      <c r="A31" s="81" t="s">
        <v>841</v>
      </c>
      <c r="B31" s="140">
        <v>147</v>
      </c>
      <c r="C31" s="83">
        <v>360</v>
      </c>
      <c r="D31" s="83">
        <v>370</v>
      </c>
      <c r="E31" s="84">
        <v>12.3</v>
      </c>
      <c r="F31" s="84">
        <v>19.8</v>
      </c>
      <c r="G31" s="90">
        <v>15</v>
      </c>
      <c r="H31" s="82">
        <v>187.9</v>
      </c>
      <c r="I31" s="83">
        <v>320.39999999999998</v>
      </c>
      <c r="J31" s="83">
        <v>290.39999999999998</v>
      </c>
      <c r="K31" s="83" t="s">
        <v>667</v>
      </c>
      <c r="L31" s="86">
        <v>100</v>
      </c>
      <c r="M31" s="87">
        <v>264</v>
      </c>
      <c r="N31" s="89">
        <v>2.15</v>
      </c>
      <c r="O31" s="89">
        <v>14.58</v>
      </c>
      <c r="P31" s="81" t="s">
        <v>841</v>
      </c>
      <c r="Q31" s="87">
        <v>147</v>
      </c>
      <c r="R31" s="86">
        <v>46290</v>
      </c>
      <c r="S31" s="86">
        <v>2572</v>
      </c>
      <c r="T31" s="86">
        <v>2838</v>
      </c>
      <c r="U31" s="89">
        <v>15.7</v>
      </c>
      <c r="V31" s="91">
        <v>49.72</v>
      </c>
      <c r="W31" s="86">
        <v>16720</v>
      </c>
      <c r="X31" s="84">
        <v>903.9</v>
      </c>
      <c r="Y31" s="86">
        <v>1369</v>
      </c>
      <c r="Z31" s="91">
        <v>9.43</v>
      </c>
      <c r="AA31" s="89">
        <v>69.47</v>
      </c>
      <c r="AB31" s="109">
        <v>223.7</v>
      </c>
      <c r="AC31" s="111">
        <v>4836</v>
      </c>
      <c r="AD31" s="21">
        <v>1</v>
      </c>
      <c r="AE31" s="21">
        <v>3</v>
      </c>
      <c r="AF31" s="43">
        <v>3</v>
      </c>
      <c r="AG31" s="21">
        <v>1</v>
      </c>
      <c r="AH31" s="21">
        <v>3</v>
      </c>
      <c r="AI31" s="42">
        <v>3</v>
      </c>
      <c r="AJ31" s="21" t="s">
        <v>661</v>
      </c>
    </row>
    <row r="32" spans="1:36" s="435" customFormat="1" ht="13.5" customHeight="1">
      <c r="A32" s="387" t="s">
        <v>842</v>
      </c>
      <c r="B32" s="394">
        <v>162</v>
      </c>
      <c r="C32" s="389">
        <v>364</v>
      </c>
      <c r="D32" s="389">
        <v>371</v>
      </c>
      <c r="E32" s="390">
        <v>13.3</v>
      </c>
      <c r="F32" s="390">
        <v>21.8</v>
      </c>
      <c r="G32" s="391">
        <v>15</v>
      </c>
      <c r="H32" s="388">
        <v>206.3</v>
      </c>
      <c r="I32" s="389">
        <v>320.39999999999998</v>
      </c>
      <c r="J32" s="389">
        <v>290.39999999999998</v>
      </c>
      <c r="K32" s="389" t="s">
        <v>667</v>
      </c>
      <c r="L32" s="393">
        <v>102</v>
      </c>
      <c r="M32" s="394">
        <v>266</v>
      </c>
      <c r="N32" s="396">
        <v>2.16</v>
      </c>
      <c r="O32" s="396">
        <v>13.34</v>
      </c>
      <c r="P32" s="387" t="s">
        <v>842</v>
      </c>
      <c r="Q32" s="394">
        <v>162</v>
      </c>
      <c r="R32" s="393">
        <v>51540</v>
      </c>
      <c r="S32" s="393">
        <v>2832</v>
      </c>
      <c r="T32" s="393">
        <v>3139</v>
      </c>
      <c r="U32" s="396">
        <v>15.81</v>
      </c>
      <c r="V32" s="392">
        <v>53.98</v>
      </c>
      <c r="W32" s="393">
        <v>18560</v>
      </c>
      <c r="X32" s="393">
        <v>1001</v>
      </c>
      <c r="Y32" s="393">
        <v>1516</v>
      </c>
      <c r="Z32" s="392">
        <v>9.49</v>
      </c>
      <c r="AA32" s="396">
        <v>74.47</v>
      </c>
      <c r="AB32" s="431">
        <v>295.5</v>
      </c>
      <c r="AC32" s="432">
        <v>5432</v>
      </c>
      <c r="AD32" s="398">
        <v>1</v>
      </c>
      <c r="AE32" s="398">
        <v>2</v>
      </c>
      <c r="AF32" s="399">
        <v>3</v>
      </c>
      <c r="AG32" s="398">
        <v>1</v>
      </c>
      <c r="AH32" s="398">
        <v>2</v>
      </c>
      <c r="AI32" s="400">
        <v>3</v>
      </c>
      <c r="AJ32" s="398" t="s">
        <v>661</v>
      </c>
    </row>
    <row r="33" spans="1:36" s="141" customFormat="1" ht="13.5" customHeight="1">
      <c r="A33" s="81" t="s">
        <v>843</v>
      </c>
      <c r="B33" s="140">
        <v>179</v>
      </c>
      <c r="C33" s="83">
        <v>368</v>
      </c>
      <c r="D33" s="83">
        <v>373</v>
      </c>
      <c r="E33" s="84">
        <v>15</v>
      </c>
      <c r="F33" s="84">
        <v>23.9</v>
      </c>
      <c r="G33" s="90">
        <v>15</v>
      </c>
      <c r="H33" s="82">
        <v>228.3</v>
      </c>
      <c r="I33" s="83">
        <v>320.2</v>
      </c>
      <c r="J33" s="83">
        <v>290.2</v>
      </c>
      <c r="K33" s="83" t="s">
        <v>667</v>
      </c>
      <c r="L33" s="86">
        <v>104</v>
      </c>
      <c r="M33" s="87">
        <v>268</v>
      </c>
      <c r="N33" s="89">
        <v>2.17</v>
      </c>
      <c r="O33" s="89">
        <v>12.12</v>
      </c>
      <c r="P33" s="81" t="s">
        <v>843</v>
      </c>
      <c r="Q33" s="87">
        <v>179</v>
      </c>
      <c r="R33" s="86">
        <v>57440</v>
      </c>
      <c r="S33" s="86">
        <v>3122</v>
      </c>
      <c r="T33" s="86">
        <v>3482</v>
      </c>
      <c r="U33" s="89">
        <v>15.86</v>
      </c>
      <c r="V33" s="91">
        <v>60.72</v>
      </c>
      <c r="W33" s="86">
        <v>20680</v>
      </c>
      <c r="X33" s="86">
        <v>1109</v>
      </c>
      <c r="Y33" s="86">
        <v>1683</v>
      </c>
      <c r="Z33" s="91">
        <v>9.52</v>
      </c>
      <c r="AA33" s="89">
        <v>80.37</v>
      </c>
      <c r="AB33" s="109">
        <v>393.8</v>
      </c>
      <c r="AC33" s="111">
        <v>6119</v>
      </c>
      <c r="AD33" s="21">
        <v>1</v>
      </c>
      <c r="AE33" s="21">
        <v>1</v>
      </c>
      <c r="AF33" s="43">
        <v>2</v>
      </c>
      <c r="AG33" s="21">
        <v>1</v>
      </c>
      <c r="AH33" s="21">
        <v>1</v>
      </c>
      <c r="AI33" s="42">
        <v>2</v>
      </c>
      <c r="AJ33" s="21" t="s">
        <v>661</v>
      </c>
    </row>
    <row r="34" spans="1:36" s="434" customFormat="1" ht="13.5" customHeight="1">
      <c r="A34" s="404" t="s">
        <v>844</v>
      </c>
      <c r="B34" s="409">
        <v>196</v>
      </c>
      <c r="C34" s="398">
        <v>372</v>
      </c>
      <c r="D34" s="398">
        <v>374</v>
      </c>
      <c r="E34" s="406">
        <v>16.399999999999999</v>
      </c>
      <c r="F34" s="406">
        <v>26.2</v>
      </c>
      <c r="G34" s="399">
        <v>15</v>
      </c>
      <c r="H34" s="405">
        <v>250.3</v>
      </c>
      <c r="I34" s="398">
        <v>319.60000000000002</v>
      </c>
      <c r="J34" s="398">
        <v>289.60000000000002</v>
      </c>
      <c r="K34" s="398" t="s">
        <v>667</v>
      </c>
      <c r="L34" s="408">
        <v>104</v>
      </c>
      <c r="M34" s="409">
        <v>268</v>
      </c>
      <c r="N34" s="411">
        <v>2.1800000000000002</v>
      </c>
      <c r="O34" s="411">
        <v>11.1</v>
      </c>
      <c r="P34" s="404" t="s">
        <v>844</v>
      </c>
      <c r="Q34" s="409">
        <v>196</v>
      </c>
      <c r="R34" s="408">
        <v>63630</v>
      </c>
      <c r="S34" s="408">
        <v>3421</v>
      </c>
      <c r="T34" s="408">
        <v>3837</v>
      </c>
      <c r="U34" s="411">
        <v>15.94</v>
      </c>
      <c r="V34" s="407">
        <v>66.5</v>
      </c>
      <c r="W34" s="408">
        <v>22860</v>
      </c>
      <c r="X34" s="408">
        <v>1222</v>
      </c>
      <c r="Y34" s="408">
        <v>1856</v>
      </c>
      <c r="Z34" s="407">
        <v>9.56</v>
      </c>
      <c r="AA34" s="411">
        <v>86.37</v>
      </c>
      <c r="AB34" s="431">
        <v>517.1</v>
      </c>
      <c r="AC34" s="432">
        <v>6829</v>
      </c>
      <c r="AD34" s="398">
        <v>1</v>
      </c>
      <c r="AE34" s="398">
        <v>1</v>
      </c>
      <c r="AF34" s="399">
        <v>1</v>
      </c>
      <c r="AG34" s="398">
        <v>1</v>
      </c>
      <c r="AH34" s="398">
        <v>1</v>
      </c>
      <c r="AI34" s="400">
        <v>1</v>
      </c>
      <c r="AJ34" s="398" t="s">
        <v>661</v>
      </c>
    </row>
    <row r="35" spans="1:36" s="141" customFormat="1" ht="13.5" customHeight="1">
      <c r="A35" s="81"/>
      <c r="B35" s="140"/>
      <c r="C35" s="83"/>
      <c r="D35" s="83"/>
      <c r="E35" s="84"/>
      <c r="F35" s="84"/>
      <c r="G35" s="90"/>
      <c r="H35" s="82"/>
      <c r="I35" s="83"/>
      <c r="J35" s="83"/>
      <c r="K35" s="83"/>
      <c r="L35" s="86"/>
      <c r="M35" s="87"/>
      <c r="N35" s="89"/>
      <c r="O35" s="89"/>
      <c r="P35" s="81"/>
      <c r="Q35" s="87"/>
      <c r="R35" s="86"/>
      <c r="S35" s="86"/>
      <c r="T35" s="86"/>
      <c r="U35" s="89"/>
      <c r="V35" s="91"/>
      <c r="W35" s="86"/>
      <c r="X35" s="84"/>
      <c r="Y35" s="86"/>
      <c r="Z35" s="91"/>
      <c r="AA35" s="89"/>
      <c r="AB35" s="109"/>
      <c r="AC35" s="111"/>
      <c r="AD35" s="21"/>
      <c r="AE35" s="21"/>
      <c r="AF35" s="43"/>
      <c r="AG35" s="21"/>
      <c r="AH35" s="21"/>
      <c r="AI35" s="42"/>
      <c r="AJ35" s="21"/>
    </row>
    <row r="36" spans="1:36" s="434" customFormat="1" ht="13.5" customHeight="1">
      <c r="A36" s="387" t="s">
        <v>845</v>
      </c>
      <c r="B36" s="394">
        <v>187</v>
      </c>
      <c r="C36" s="389">
        <v>368</v>
      </c>
      <c r="D36" s="389">
        <v>391</v>
      </c>
      <c r="E36" s="390">
        <v>15</v>
      </c>
      <c r="F36" s="390">
        <v>24</v>
      </c>
      <c r="G36" s="391">
        <v>15</v>
      </c>
      <c r="H36" s="388">
        <v>237.6</v>
      </c>
      <c r="I36" s="389">
        <v>320</v>
      </c>
      <c r="J36" s="389">
        <v>290</v>
      </c>
      <c r="K36" s="389" t="s">
        <v>667</v>
      </c>
      <c r="L36" s="393">
        <v>104</v>
      </c>
      <c r="M36" s="394">
        <v>286</v>
      </c>
      <c r="N36" s="396">
        <v>2.2400000000000002</v>
      </c>
      <c r="O36" s="396">
        <v>12.03</v>
      </c>
      <c r="P36" s="387" t="s">
        <v>845</v>
      </c>
      <c r="Q36" s="394">
        <v>187</v>
      </c>
      <c r="R36" s="393">
        <v>60180</v>
      </c>
      <c r="S36" s="393">
        <v>3271</v>
      </c>
      <c r="T36" s="393">
        <v>3642</v>
      </c>
      <c r="U36" s="396">
        <v>15.91</v>
      </c>
      <c r="V36" s="392">
        <v>60.73</v>
      </c>
      <c r="W36" s="393">
        <v>23920</v>
      </c>
      <c r="X36" s="393">
        <v>1224</v>
      </c>
      <c r="Y36" s="393">
        <v>1855</v>
      </c>
      <c r="Z36" s="392">
        <v>10.029999999999999</v>
      </c>
      <c r="AA36" s="396">
        <v>80.569999999999993</v>
      </c>
      <c r="AB36" s="431">
        <v>414.6</v>
      </c>
      <c r="AC36" s="432">
        <v>7074</v>
      </c>
      <c r="AD36" s="398">
        <v>1</v>
      </c>
      <c r="AE36" s="398">
        <v>2</v>
      </c>
      <c r="AF36" s="399">
        <v>3</v>
      </c>
      <c r="AG36" s="398">
        <v>1</v>
      </c>
      <c r="AH36" s="398">
        <v>2</v>
      </c>
      <c r="AI36" s="400">
        <v>3</v>
      </c>
      <c r="AJ36" s="398" t="s">
        <v>661</v>
      </c>
    </row>
    <row r="37" spans="1:36" s="141" customFormat="1" ht="13.5" customHeight="1">
      <c r="A37" s="81" t="s">
        <v>846</v>
      </c>
      <c r="B37" s="140">
        <v>216</v>
      </c>
      <c r="C37" s="83">
        <v>375</v>
      </c>
      <c r="D37" s="83">
        <v>394</v>
      </c>
      <c r="E37" s="84">
        <v>17.3</v>
      </c>
      <c r="F37" s="84">
        <v>27.7</v>
      </c>
      <c r="G37" s="90">
        <v>15</v>
      </c>
      <c r="H37" s="82">
        <v>275.5</v>
      </c>
      <c r="I37" s="83">
        <v>319.60000000000002</v>
      </c>
      <c r="J37" s="83">
        <v>289.60000000000002</v>
      </c>
      <c r="K37" s="83" t="s">
        <v>667</v>
      </c>
      <c r="L37" s="86">
        <v>106</v>
      </c>
      <c r="M37" s="87">
        <v>288</v>
      </c>
      <c r="N37" s="89">
        <v>2.27</v>
      </c>
      <c r="O37" s="89">
        <v>10.48</v>
      </c>
      <c r="P37" s="81" t="s">
        <v>846</v>
      </c>
      <c r="Q37" s="87">
        <v>216</v>
      </c>
      <c r="R37" s="86">
        <v>71140</v>
      </c>
      <c r="S37" s="86">
        <v>3794</v>
      </c>
      <c r="T37" s="86">
        <v>4262</v>
      </c>
      <c r="U37" s="89">
        <v>16.07</v>
      </c>
      <c r="V37" s="91">
        <v>70.319999999999993</v>
      </c>
      <c r="W37" s="86">
        <v>28250</v>
      </c>
      <c r="X37" s="86">
        <v>1434</v>
      </c>
      <c r="Y37" s="86">
        <v>2176</v>
      </c>
      <c r="Z37" s="91">
        <v>10.130000000000001</v>
      </c>
      <c r="AA37" s="89">
        <v>90.27</v>
      </c>
      <c r="AB37" s="109">
        <v>637.29999999999995</v>
      </c>
      <c r="AC37" s="111">
        <v>8515</v>
      </c>
      <c r="AD37" s="21">
        <v>1</v>
      </c>
      <c r="AE37" s="21">
        <v>1</v>
      </c>
      <c r="AF37" s="43">
        <v>1</v>
      </c>
      <c r="AG37" s="21">
        <v>1</v>
      </c>
      <c r="AH37" s="21">
        <v>1</v>
      </c>
      <c r="AI37" s="42">
        <v>1</v>
      </c>
      <c r="AJ37" s="21" t="s">
        <v>661</v>
      </c>
    </row>
    <row r="38" spans="1:36" s="434" customFormat="1" ht="13.5" customHeight="1">
      <c r="A38" s="387" t="s">
        <v>847</v>
      </c>
      <c r="B38" s="394">
        <v>237</v>
      </c>
      <c r="C38" s="389">
        <v>380</v>
      </c>
      <c r="D38" s="389">
        <v>395</v>
      </c>
      <c r="E38" s="390">
        <v>18.899999999999999</v>
      </c>
      <c r="F38" s="390">
        <v>30.2</v>
      </c>
      <c r="G38" s="391">
        <v>15</v>
      </c>
      <c r="H38" s="388">
        <v>300.89999999999998</v>
      </c>
      <c r="I38" s="389">
        <v>319.60000000000002</v>
      </c>
      <c r="J38" s="389">
        <v>289.60000000000002</v>
      </c>
      <c r="K38" s="389" t="s">
        <v>667</v>
      </c>
      <c r="L38" s="393">
        <v>108</v>
      </c>
      <c r="M38" s="394">
        <v>290</v>
      </c>
      <c r="N38" s="396">
        <v>2.2799999999999998</v>
      </c>
      <c r="O38" s="396">
        <v>9.64</v>
      </c>
      <c r="P38" s="387" t="s">
        <v>847</v>
      </c>
      <c r="Q38" s="394">
        <v>237</v>
      </c>
      <c r="R38" s="393">
        <v>78780</v>
      </c>
      <c r="S38" s="393">
        <v>4146</v>
      </c>
      <c r="T38" s="393">
        <v>4686</v>
      </c>
      <c r="U38" s="396">
        <v>16.18</v>
      </c>
      <c r="V38" s="392">
        <v>77.099999999999994</v>
      </c>
      <c r="W38" s="393">
        <v>31040</v>
      </c>
      <c r="X38" s="393">
        <v>1572</v>
      </c>
      <c r="Y38" s="393">
        <v>2387</v>
      </c>
      <c r="Z38" s="392">
        <v>10.16</v>
      </c>
      <c r="AA38" s="396">
        <v>96.87</v>
      </c>
      <c r="AB38" s="431">
        <v>825.5</v>
      </c>
      <c r="AC38" s="432">
        <v>9489</v>
      </c>
      <c r="AD38" s="398">
        <v>1</v>
      </c>
      <c r="AE38" s="398">
        <v>1</v>
      </c>
      <c r="AF38" s="399">
        <v>1</v>
      </c>
      <c r="AG38" s="398">
        <v>1</v>
      </c>
      <c r="AH38" s="398">
        <v>1</v>
      </c>
      <c r="AI38" s="400">
        <v>1</v>
      </c>
      <c r="AJ38" s="398" t="s">
        <v>661</v>
      </c>
    </row>
    <row r="39" spans="1:36" s="32" customFormat="1" ht="13.5" customHeight="1">
      <c r="A39" s="81" t="s">
        <v>848</v>
      </c>
      <c r="B39" s="140">
        <v>262</v>
      </c>
      <c r="C39" s="83">
        <v>387</v>
      </c>
      <c r="D39" s="83">
        <v>398</v>
      </c>
      <c r="E39" s="84">
        <v>21.1</v>
      </c>
      <c r="F39" s="84">
        <v>33.299999999999997</v>
      </c>
      <c r="G39" s="90">
        <v>15</v>
      </c>
      <c r="H39" s="82">
        <v>334.6</v>
      </c>
      <c r="I39" s="83">
        <v>320.39999999999998</v>
      </c>
      <c r="J39" s="83">
        <v>290.39999999999998</v>
      </c>
      <c r="K39" s="83" t="s">
        <v>667</v>
      </c>
      <c r="L39" s="86">
        <v>110</v>
      </c>
      <c r="M39" s="87">
        <v>292</v>
      </c>
      <c r="N39" s="89">
        <v>2.2999999999999998</v>
      </c>
      <c r="O39" s="89">
        <v>8.75</v>
      </c>
      <c r="P39" s="81" t="s">
        <v>848</v>
      </c>
      <c r="Q39" s="87">
        <v>263</v>
      </c>
      <c r="R39" s="86">
        <v>89410</v>
      </c>
      <c r="S39" s="86">
        <v>4620</v>
      </c>
      <c r="T39" s="86">
        <v>5260</v>
      </c>
      <c r="U39" s="89">
        <v>16.350000000000001</v>
      </c>
      <c r="V39" s="91">
        <v>86.55</v>
      </c>
      <c r="W39" s="86">
        <v>35020</v>
      </c>
      <c r="X39" s="86">
        <v>1760</v>
      </c>
      <c r="Y39" s="86">
        <v>2676</v>
      </c>
      <c r="Z39" s="91">
        <v>10.23</v>
      </c>
      <c r="AA39" s="84">
        <v>105.3</v>
      </c>
      <c r="AB39" s="109">
        <v>1116</v>
      </c>
      <c r="AC39" s="111">
        <v>10940</v>
      </c>
      <c r="AD39" s="21">
        <v>1</v>
      </c>
      <c r="AE39" s="21">
        <v>1</v>
      </c>
      <c r="AF39" s="43">
        <v>1</v>
      </c>
      <c r="AG39" s="21">
        <v>1</v>
      </c>
      <c r="AH39" s="21">
        <v>1</v>
      </c>
      <c r="AI39" s="42">
        <v>1</v>
      </c>
      <c r="AJ39" s="21" t="s">
        <v>661</v>
      </c>
    </row>
    <row r="40" spans="1:36" s="434" customFormat="1" ht="13.5" customHeight="1">
      <c r="A40" s="387" t="s">
        <v>849</v>
      </c>
      <c r="B40" s="394">
        <v>287</v>
      </c>
      <c r="C40" s="389">
        <v>393</v>
      </c>
      <c r="D40" s="389">
        <v>399</v>
      </c>
      <c r="E40" s="390">
        <v>22.6</v>
      </c>
      <c r="F40" s="390">
        <v>36.6</v>
      </c>
      <c r="G40" s="391">
        <v>15</v>
      </c>
      <c r="H40" s="388">
        <v>366.3</v>
      </c>
      <c r="I40" s="389">
        <v>319.8</v>
      </c>
      <c r="J40" s="389">
        <v>289.8</v>
      </c>
      <c r="K40" s="389" t="s">
        <v>667</v>
      </c>
      <c r="L40" s="393">
        <v>112</v>
      </c>
      <c r="M40" s="394">
        <v>294</v>
      </c>
      <c r="N40" s="396">
        <v>2.31</v>
      </c>
      <c r="O40" s="396">
        <v>8.0399999999999991</v>
      </c>
      <c r="P40" s="387" t="s">
        <v>849</v>
      </c>
      <c r="Q40" s="394">
        <v>287</v>
      </c>
      <c r="R40" s="393">
        <v>99710</v>
      </c>
      <c r="S40" s="393">
        <v>5074</v>
      </c>
      <c r="T40" s="393">
        <v>5813</v>
      </c>
      <c r="U40" s="396">
        <v>16.5</v>
      </c>
      <c r="V40" s="392">
        <v>93.46</v>
      </c>
      <c r="W40" s="393">
        <v>38780</v>
      </c>
      <c r="X40" s="393">
        <v>1944</v>
      </c>
      <c r="Y40" s="393">
        <v>2957</v>
      </c>
      <c r="Z40" s="392">
        <v>10.29</v>
      </c>
      <c r="AA40" s="390">
        <v>113.4</v>
      </c>
      <c r="AB40" s="431">
        <v>1464</v>
      </c>
      <c r="AC40" s="432">
        <v>12300</v>
      </c>
      <c r="AD40" s="398">
        <v>1</v>
      </c>
      <c r="AE40" s="398">
        <v>1</v>
      </c>
      <c r="AF40" s="399">
        <v>1</v>
      </c>
      <c r="AG40" s="398">
        <v>1</v>
      </c>
      <c r="AH40" s="398">
        <v>1</v>
      </c>
      <c r="AI40" s="400">
        <v>1</v>
      </c>
      <c r="AJ40" s="398" t="s">
        <v>661</v>
      </c>
    </row>
    <row r="41" spans="1:36" s="141" customFormat="1" ht="13.5" customHeight="1">
      <c r="A41" s="81" t="s">
        <v>850</v>
      </c>
      <c r="B41" s="140">
        <v>314</v>
      </c>
      <c r="C41" s="83">
        <v>399</v>
      </c>
      <c r="D41" s="83">
        <v>401</v>
      </c>
      <c r="E41" s="84">
        <v>24.9</v>
      </c>
      <c r="F41" s="84">
        <v>39.6</v>
      </c>
      <c r="G41" s="90">
        <v>15</v>
      </c>
      <c r="H41" s="82">
        <v>399.2</v>
      </c>
      <c r="I41" s="83">
        <v>319.8</v>
      </c>
      <c r="J41" s="83">
        <v>289.8</v>
      </c>
      <c r="K41" s="83" t="s">
        <v>667</v>
      </c>
      <c r="L41" s="86">
        <v>114</v>
      </c>
      <c r="M41" s="87">
        <v>296</v>
      </c>
      <c r="N41" s="89">
        <v>2.33</v>
      </c>
      <c r="O41" s="89">
        <v>7.42</v>
      </c>
      <c r="P41" s="81" t="s">
        <v>850</v>
      </c>
      <c r="Q41" s="87">
        <v>314</v>
      </c>
      <c r="R41" s="86">
        <v>110200</v>
      </c>
      <c r="S41" s="86">
        <v>5525</v>
      </c>
      <c r="T41" s="86">
        <v>6374</v>
      </c>
      <c r="U41" s="89">
        <v>16.62</v>
      </c>
      <c r="V41" s="82">
        <v>103.3</v>
      </c>
      <c r="W41" s="86">
        <v>42600</v>
      </c>
      <c r="X41" s="86">
        <v>2125</v>
      </c>
      <c r="Y41" s="86">
        <v>3236</v>
      </c>
      <c r="Z41" s="91">
        <v>10.33</v>
      </c>
      <c r="AA41" s="84">
        <v>121.7</v>
      </c>
      <c r="AB41" s="109">
        <v>1870</v>
      </c>
      <c r="AC41" s="111">
        <v>13740</v>
      </c>
      <c r="AD41" s="21">
        <v>1</v>
      </c>
      <c r="AE41" s="21">
        <v>1</v>
      </c>
      <c r="AF41" s="43">
        <v>1</v>
      </c>
      <c r="AG41" s="21">
        <v>1</v>
      </c>
      <c r="AH41" s="21">
        <v>1</v>
      </c>
      <c r="AI41" s="42">
        <v>1</v>
      </c>
      <c r="AJ41" s="21" t="s">
        <v>661</v>
      </c>
    </row>
    <row r="42" spans="1:36" s="434" customFormat="1" ht="13.5" customHeight="1">
      <c r="A42" s="387" t="s">
        <v>851</v>
      </c>
      <c r="B42" s="394">
        <v>347</v>
      </c>
      <c r="C42" s="389">
        <v>407</v>
      </c>
      <c r="D42" s="389">
        <v>404</v>
      </c>
      <c r="E42" s="390">
        <v>27.2</v>
      </c>
      <c r="F42" s="390">
        <v>43.7</v>
      </c>
      <c r="G42" s="391">
        <v>15</v>
      </c>
      <c r="H42" s="388">
        <v>442</v>
      </c>
      <c r="I42" s="389">
        <v>319.60000000000002</v>
      </c>
      <c r="J42" s="389">
        <v>289.60000000000002</v>
      </c>
      <c r="K42" s="389" t="s">
        <v>667</v>
      </c>
      <c r="L42" s="393">
        <v>116</v>
      </c>
      <c r="M42" s="394">
        <v>298</v>
      </c>
      <c r="N42" s="396">
        <v>2.35</v>
      </c>
      <c r="O42" s="396">
        <v>6.77</v>
      </c>
      <c r="P42" s="387" t="s">
        <v>851</v>
      </c>
      <c r="Q42" s="394">
        <v>347</v>
      </c>
      <c r="R42" s="393">
        <v>124900</v>
      </c>
      <c r="S42" s="393">
        <v>6140</v>
      </c>
      <c r="T42" s="393">
        <v>7139</v>
      </c>
      <c r="U42" s="396">
        <v>16.809999999999999</v>
      </c>
      <c r="V42" s="388">
        <v>113.9</v>
      </c>
      <c r="W42" s="393">
        <v>48090</v>
      </c>
      <c r="X42" s="393">
        <v>2380</v>
      </c>
      <c r="Y42" s="393">
        <v>3629</v>
      </c>
      <c r="Z42" s="392">
        <v>10.43</v>
      </c>
      <c r="AA42" s="390">
        <v>132.19999999999999</v>
      </c>
      <c r="AB42" s="431">
        <v>2510</v>
      </c>
      <c r="AC42" s="432">
        <v>15850</v>
      </c>
      <c r="AD42" s="398">
        <v>1</v>
      </c>
      <c r="AE42" s="398">
        <v>1</v>
      </c>
      <c r="AF42" s="399">
        <v>1</v>
      </c>
      <c r="AG42" s="398">
        <v>1</v>
      </c>
      <c r="AH42" s="398">
        <v>1</v>
      </c>
      <c r="AI42" s="400">
        <v>1</v>
      </c>
      <c r="AJ42" s="398" t="s">
        <v>661</v>
      </c>
    </row>
    <row r="43" spans="1:36" s="141" customFormat="1" ht="13.5" customHeight="1">
      <c r="A43" s="81" t="s">
        <v>852</v>
      </c>
      <c r="B43" s="140">
        <v>382</v>
      </c>
      <c r="C43" s="83">
        <v>416</v>
      </c>
      <c r="D43" s="83">
        <v>406</v>
      </c>
      <c r="E43" s="84">
        <v>29.8</v>
      </c>
      <c r="F43" s="84">
        <v>48</v>
      </c>
      <c r="G43" s="90">
        <v>15</v>
      </c>
      <c r="H43" s="82">
        <v>487.1</v>
      </c>
      <c r="I43" s="83">
        <v>320</v>
      </c>
      <c r="J43" s="83">
        <v>290</v>
      </c>
      <c r="K43" s="83" t="s">
        <v>667</v>
      </c>
      <c r="L43" s="86">
        <v>118</v>
      </c>
      <c r="M43" s="87">
        <v>300</v>
      </c>
      <c r="N43" s="89">
        <v>2.37</v>
      </c>
      <c r="O43" s="89">
        <v>6.2</v>
      </c>
      <c r="P43" s="81" t="s">
        <v>852</v>
      </c>
      <c r="Q43" s="87">
        <v>382</v>
      </c>
      <c r="R43" s="86">
        <v>141300</v>
      </c>
      <c r="S43" s="86">
        <v>6794</v>
      </c>
      <c r="T43" s="86">
        <v>7965</v>
      </c>
      <c r="U43" s="89">
        <v>17.03</v>
      </c>
      <c r="V43" s="82">
        <v>126</v>
      </c>
      <c r="W43" s="86">
        <v>53620</v>
      </c>
      <c r="X43" s="86">
        <v>2641</v>
      </c>
      <c r="Y43" s="86">
        <v>4031</v>
      </c>
      <c r="Z43" s="91">
        <v>10.49</v>
      </c>
      <c r="AA43" s="84">
        <v>143.4</v>
      </c>
      <c r="AB43" s="109">
        <v>3326</v>
      </c>
      <c r="AC43" s="111">
        <v>18130</v>
      </c>
      <c r="AD43" s="21">
        <v>1</v>
      </c>
      <c r="AE43" s="21">
        <v>1</v>
      </c>
      <c r="AF43" s="43">
        <v>1</v>
      </c>
      <c r="AG43" s="21">
        <v>1</v>
      </c>
      <c r="AH43" s="21">
        <v>1</v>
      </c>
      <c r="AI43" s="42">
        <v>1</v>
      </c>
      <c r="AJ43" s="21" t="s">
        <v>661</v>
      </c>
    </row>
    <row r="44" spans="1:36" s="434" customFormat="1" ht="13.5" customHeight="1">
      <c r="A44" s="387" t="s">
        <v>853</v>
      </c>
      <c r="B44" s="394">
        <v>421</v>
      </c>
      <c r="C44" s="389">
        <v>425</v>
      </c>
      <c r="D44" s="389">
        <v>409</v>
      </c>
      <c r="E44" s="390">
        <v>32.799999999999997</v>
      </c>
      <c r="F44" s="390">
        <v>52.6</v>
      </c>
      <c r="G44" s="391">
        <v>15</v>
      </c>
      <c r="H44" s="388">
        <v>537.1</v>
      </c>
      <c r="I44" s="389">
        <v>319.8</v>
      </c>
      <c r="J44" s="389">
        <v>289.8</v>
      </c>
      <c r="K44" s="389" t="s">
        <v>667</v>
      </c>
      <c r="L44" s="393">
        <v>122</v>
      </c>
      <c r="M44" s="394">
        <v>304</v>
      </c>
      <c r="N44" s="396">
        <v>2.39</v>
      </c>
      <c r="O44" s="396">
        <v>5.68</v>
      </c>
      <c r="P44" s="387" t="s">
        <v>853</v>
      </c>
      <c r="Q44" s="394">
        <v>421</v>
      </c>
      <c r="R44" s="393">
        <v>159600</v>
      </c>
      <c r="S44" s="393">
        <v>7510</v>
      </c>
      <c r="T44" s="393">
        <v>8880</v>
      </c>
      <c r="U44" s="396">
        <v>17.239999999999998</v>
      </c>
      <c r="V44" s="388">
        <v>139.9</v>
      </c>
      <c r="W44" s="393">
        <v>60080</v>
      </c>
      <c r="X44" s="393">
        <v>2938</v>
      </c>
      <c r="Y44" s="393">
        <v>4489</v>
      </c>
      <c r="Z44" s="392">
        <v>10.58</v>
      </c>
      <c r="AA44" s="390">
        <v>155.6</v>
      </c>
      <c r="AB44" s="431">
        <v>4398</v>
      </c>
      <c r="AC44" s="432">
        <v>20800</v>
      </c>
      <c r="AD44" s="398">
        <v>1</v>
      </c>
      <c r="AE44" s="398">
        <v>1</v>
      </c>
      <c r="AF44" s="399">
        <v>1</v>
      </c>
      <c r="AG44" s="398">
        <v>1</v>
      </c>
      <c r="AH44" s="398">
        <v>1</v>
      </c>
      <c r="AI44" s="400">
        <v>1</v>
      </c>
      <c r="AJ44" s="398" t="s">
        <v>661</v>
      </c>
    </row>
    <row r="45" spans="1:36" s="141" customFormat="1" ht="13.5" customHeight="1">
      <c r="A45" s="81" t="s">
        <v>854</v>
      </c>
      <c r="B45" s="140">
        <v>463</v>
      </c>
      <c r="C45" s="83">
        <v>435</v>
      </c>
      <c r="D45" s="83">
        <v>412</v>
      </c>
      <c r="E45" s="84">
        <v>35.799999999999997</v>
      </c>
      <c r="F45" s="84">
        <v>57.4</v>
      </c>
      <c r="G45" s="90">
        <v>15</v>
      </c>
      <c r="H45" s="82">
        <v>589.5</v>
      </c>
      <c r="I45" s="83">
        <v>320.2</v>
      </c>
      <c r="J45" s="83">
        <v>290.2</v>
      </c>
      <c r="K45" s="83" t="s">
        <v>667</v>
      </c>
      <c r="L45" s="86">
        <v>124</v>
      </c>
      <c r="M45" s="87">
        <v>306</v>
      </c>
      <c r="N45" s="89">
        <v>2.42</v>
      </c>
      <c r="O45" s="89">
        <v>5.23</v>
      </c>
      <c r="P45" s="81" t="s">
        <v>854</v>
      </c>
      <c r="Q45" s="87">
        <v>463</v>
      </c>
      <c r="R45" s="86">
        <v>180200</v>
      </c>
      <c r="S45" s="86">
        <v>8283</v>
      </c>
      <c r="T45" s="86">
        <v>9878</v>
      </c>
      <c r="U45" s="89">
        <v>17.48</v>
      </c>
      <c r="V45" s="82">
        <v>154.30000000000001</v>
      </c>
      <c r="W45" s="86">
        <v>67040</v>
      </c>
      <c r="X45" s="86">
        <v>3254</v>
      </c>
      <c r="Y45" s="86">
        <v>4978</v>
      </c>
      <c r="Z45" s="91">
        <v>10.66</v>
      </c>
      <c r="AA45" s="84">
        <v>168.2</v>
      </c>
      <c r="AB45" s="109">
        <v>5735</v>
      </c>
      <c r="AC45" s="111">
        <v>23850</v>
      </c>
      <c r="AD45" s="21">
        <v>1</v>
      </c>
      <c r="AE45" s="21">
        <v>1</v>
      </c>
      <c r="AF45" s="43">
        <v>1</v>
      </c>
      <c r="AG45" s="21">
        <v>1</v>
      </c>
      <c r="AH45" s="21">
        <v>1</v>
      </c>
      <c r="AI45" s="42">
        <v>1</v>
      </c>
      <c r="AJ45" s="21" t="s">
        <v>661</v>
      </c>
    </row>
    <row r="46" spans="1:36" s="434" customFormat="1" ht="13.5" customHeight="1">
      <c r="A46" s="387" t="s">
        <v>855</v>
      </c>
      <c r="B46" s="394">
        <v>509</v>
      </c>
      <c r="C46" s="389">
        <v>446</v>
      </c>
      <c r="D46" s="389">
        <v>416</v>
      </c>
      <c r="E46" s="390">
        <v>39.1</v>
      </c>
      <c r="F46" s="390">
        <v>62.7</v>
      </c>
      <c r="G46" s="391">
        <v>15</v>
      </c>
      <c r="H46" s="388">
        <v>649</v>
      </c>
      <c r="I46" s="389">
        <v>320.60000000000002</v>
      </c>
      <c r="J46" s="389">
        <v>290.60000000000002</v>
      </c>
      <c r="K46" s="389" t="s">
        <v>667</v>
      </c>
      <c r="L46" s="393">
        <v>128</v>
      </c>
      <c r="M46" s="394">
        <v>310</v>
      </c>
      <c r="N46" s="396">
        <v>2.4500000000000002</v>
      </c>
      <c r="O46" s="396">
        <v>4.8099999999999996</v>
      </c>
      <c r="P46" s="387" t="s">
        <v>855</v>
      </c>
      <c r="Q46" s="394">
        <v>509</v>
      </c>
      <c r="R46" s="393">
        <v>204500</v>
      </c>
      <c r="S46" s="393">
        <v>9172</v>
      </c>
      <c r="T46" s="393">
        <v>11030</v>
      </c>
      <c r="U46" s="396">
        <v>17.75</v>
      </c>
      <c r="V46" s="388">
        <v>170.6</v>
      </c>
      <c r="W46" s="393">
        <v>75400</v>
      </c>
      <c r="X46" s="393">
        <v>3625</v>
      </c>
      <c r="Y46" s="393">
        <v>5552</v>
      </c>
      <c r="Z46" s="392">
        <v>10.78</v>
      </c>
      <c r="AA46" s="390">
        <v>182.1</v>
      </c>
      <c r="AB46" s="431">
        <v>7513</v>
      </c>
      <c r="AC46" s="432">
        <v>27630</v>
      </c>
      <c r="AD46" s="398">
        <v>1</v>
      </c>
      <c r="AE46" s="398">
        <v>1</v>
      </c>
      <c r="AF46" s="399">
        <v>1</v>
      </c>
      <c r="AG46" s="398">
        <v>1</v>
      </c>
      <c r="AH46" s="398">
        <v>1</v>
      </c>
      <c r="AI46" s="400">
        <v>1</v>
      </c>
      <c r="AJ46" s="398" t="s">
        <v>661</v>
      </c>
    </row>
    <row r="47" spans="1:36" s="141" customFormat="1" ht="13.5" customHeight="1">
      <c r="A47" s="81" t="s">
        <v>856</v>
      </c>
      <c r="B47" s="140">
        <v>551</v>
      </c>
      <c r="C47" s="83">
        <v>455</v>
      </c>
      <c r="D47" s="83">
        <v>418</v>
      </c>
      <c r="E47" s="84">
        <v>42</v>
      </c>
      <c r="F47" s="84">
        <v>67.599999999999994</v>
      </c>
      <c r="G47" s="90">
        <v>15</v>
      </c>
      <c r="H47" s="82">
        <v>701.4</v>
      </c>
      <c r="I47" s="83">
        <v>319.8</v>
      </c>
      <c r="J47" s="83">
        <v>289.8</v>
      </c>
      <c r="K47" s="83" t="s">
        <v>667</v>
      </c>
      <c r="L47" s="86">
        <v>132</v>
      </c>
      <c r="M47" s="87">
        <v>312</v>
      </c>
      <c r="N47" s="89">
        <v>2.4700000000000002</v>
      </c>
      <c r="O47" s="89">
        <v>4.49</v>
      </c>
      <c r="P47" s="81" t="s">
        <v>856</v>
      </c>
      <c r="Q47" s="87">
        <v>551</v>
      </c>
      <c r="R47" s="86">
        <v>226100</v>
      </c>
      <c r="S47" s="86">
        <v>9939</v>
      </c>
      <c r="T47" s="86">
        <v>12050</v>
      </c>
      <c r="U47" s="89">
        <v>17.95</v>
      </c>
      <c r="V47" s="82">
        <v>184.9</v>
      </c>
      <c r="W47" s="86">
        <v>82490</v>
      </c>
      <c r="X47" s="86">
        <v>3947</v>
      </c>
      <c r="Y47" s="86">
        <v>6051</v>
      </c>
      <c r="Z47" s="91">
        <v>10.85</v>
      </c>
      <c r="AA47" s="84">
        <v>194.8</v>
      </c>
      <c r="AB47" s="21">
        <v>9410</v>
      </c>
      <c r="AC47" s="42">
        <v>30870</v>
      </c>
      <c r="AD47" s="21">
        <v>1</v>
      </c>
      <c r="AE47" s="21">
        <v>1</v>
      </c>
      <c r="AF47" s="43">
        <v>1</v>
      </c>
      <c r="AG47" s="21">
        <v>1</v>
      </c>
      <c r="AH47" s="21">
        <v>1</v>
      </c>
      <c r="AI47" s="42">
        <v>1</v>
      </c>
      <c r="AJ47" s="21" t="s">
        <v>661</v>
      </c>
    </row>
    <row r="48" spans="1:36" s="434" customFormat="1" ht="13.5" customHeight="1">
      <c r="A48" s="387" t="s">
        <v>857</v>
      </c>
      <c r="B48" s="394">
        <v>592</v>
      </c>
      <c r="C48" s="389">
        <v>465</v>
      </c>
      <c r="D48" s="389">
        <v>421</v>
      </c>
      <c r="E48" s="390">
        <v>45</v>
      </c>
      <c r="F48" s="390">
        <v>72.3</v>
      </c>
      <c r="G48" s="391">
        <v>15</v>
      </c>
      <c r="H48" s="388">
        <v>754.9</v>
      </c>
      <c r="I48" s="389">
        <v>320.39999999999998</v>
      </c>
      <c r="J48" s="389">
        <v>290.39999999999998</v>
      </c>
      <c r="K48" s="389" t="s">
        <v>667</v>
      </c>
      <c r="L48" s="393">
        <v>134</v>
      </c>
      <c r="M48" s="394">
        <v>316</v>
      </c>
      <c r="N48" s="396">
        <v>2.5</v>
      </c>
      <c r="O48" s="396">
        <v>4.22</v>
      </c>
      <c r="P48" s="387" t="s">
        <v>857</v>
      </c>
      <c r="Q48" s="394">
        <v>592</v>
      </c>
      <c r="R48" s="393">
        <v>250200</v>
      </c>
      <c r="S48" s="393">
        <v>10760</v>
      </c>
      <c r="T48" s="393">
        <v>13140</v>
      </c>
      <c r="U48" s="396">
        <v>18.2</v>
      </c>
      <c r="V48" s="388">
        <v>200.3</v>
      </c>
      <c r="W48" s="393">
        <v>90170</v>
      </c>
      <c r="X48" s="393">
        <v>4284</v>
      </c>
      <c r="Y48" s="393">
        <v>6574</v>
      </c>
      <c r="Z48" s="392">
        <v>10.93</v>
      </c>
      <c r="AA48" s="390">
        <v>207.2</v>
      </c>
      <c r="AB48" s="431">
        <v>11560</v>
      </c>
      <c r="AC48" s="432">
        <v>34670</v>
      </c>
      <c r="AD48" s="398">
        <v>1</v>
      </c>
      <c r="AE48" s="398">
        <v>1</v>
      </c>
      <c r="AF48" s="399">
        <v>1</v>
      </c>
      <c r="AG48" s="398">
        <v>1</v>
      </c>
      <c r="AH48" s="398">
        <v>1</v>
      </c>
      <c r="AI48" s="400">
        <v>1</v>
      </c>
      <c r="AJ48" s="398" t="s">
        <v>661</v>
      </c>
    </row>
    <row r="49" spans="1:36" s="141" customFormat="1" ht="13.5" customHeight="1">
      <c r="A49" s="81" t="s">
        <v>858</v>
      </c>
      <c r="B49" s="140">
        <v>634</v>
      </c>
      <c r="C49" s="83">
        <v>474</v>
      </c>
      <c r="D49" s="83">
        <v>424</v>
      </c>
      <c r="E49" s="84">
        <v>47.6</v>
      </c>
      <c r="F49" s="84">
        <v>77.099999999999994</v>
      </c>
      <c r="G49" s="90">
        <v>15</v>
      </c>
      <c r="H49" s="82">
        <v>808</v>
      </c>
      <c r="I49" s="83">
        <v>319.8</v>
      </c>
      <c r="J49" s="83">
        <v>289.8</v>
      </c>
      <c r="K49" s="83" t="s">
        <v>667</v>
      </c>
      <c r="L49" s="86">
        <v>140</v>
      </c>
      <c r="M49" s="87">
        <v>312</v>
      </c>
      <c r="N49" s="89">
        <v>2.52</v>
      </c>
      <c r="O49" s="89">
        <v>3.98</v>
      </c>
      <c r="P49" s="81" t="s">
        <v>858</v>
      </c>
      <c r="Q49" s="87">
        <v>634</v>
      </c>
      <c r="R49" s="86">
        <v>274200</v>
      </c>
      <c r="S49" s="86">
        <v>11570</v>
      </c>
      <c r="T49" s="86">
        <v>14220</v>
      </c>
      <c r="U49" s="89">
        <v>18.420000000000002</v>
      </c>
      <c r="V49" s="82">
        <v>214</v>
      </c>
      <c r="W49" s="86">
        <v>98250</v>
      </c>
      <c r="X49" s="86">
        <v>4634</v>
      </c>
      <c r="Y49" s="86">
        <v>7117</v>
      </c>
      <c r="Z49" s="91">
        <v>11.03</v>
      </c>
      <c r="AA49" s="84">
        <v>219.4</v>
      </c>
      <c r="AB49" s="109">
        <v>14020</v>
      </c>
      <c r="AC49" s="111">
        <v>38570</v>
      </c>
      <c r="AD49" s="21">
        <v>1</v>
      </c>
      <c r="AE49" s="21">
        <v>1</v>
      </c>
      <c r="AF49" s="43">
        <v>1</v>
      </c>
      <c r="AG49" s="21">
        <v>1</v>
      </c>
      <c r="AH49" s="21">
        <v>1</v>
      </c>
      <c r="AI49" s="42">
        <v>1</v>
      </c>
      <c r="AJ49" s="21" t="s">
        <v>661</v>
      </c>
    </row>
    <row r="50" spans="1:36" s="434" customFormat="1" ht="13.5" customHeight="1">
      <c r="A50" s="387" t="s">
        <v>859</v>
      </c>
      <c r="B50" s="394">
        <v>677</v>
      </c>
      <c r="C50" s="389">
        <v>483</v>
      </c>
      <c r="D50" s="389">
        <v>428</v>
      </c>
      <c r="E50" s="390">
        <v>51.2</v>
      </c>
      <c r="F50" s="390">
        <v>81.5</v>
      </c>
      <c r="G50" s="391">
        <v>15</v>
      </c>
      <c r="H50" s="388">
        <v>863.4</v>
      </c>
      <c r="I50" s="389">
        <v>320</v>
      </c>
      <c r="J50" s="389">
        <v>290</v>
      </c>
      <c r="K50" s="389" t="s">
        <v>667</v>
      </c>
      <c r="L50" s="393">
        <v>144</v>
      </c>
      <c r="M50" s="394">
        <v>316</v>
      </c>
      <c r="N50" s="396">
        <v>2.5499999999999998</v>
      </c>
      <c r="O50" s="396">
        <v>3.76</v>
      </c>
      <c r="P50" s="387" t="s">
        <v>859</v>
      </c>
      <c r="Q50" s="394">
        <v>677</v>
      </c>
      <c r="R50" s="393">
        <v>299500</v>
      </c>
      <c r="S50" s="393">
        <v>12400</v>
      </c>
      <c r="T50" s="393">
        <v>15350</v>
      </c>
      <c r="U50" s="396">
        <v>18.62</v>
      </c>
      <c r="V50" s="388">
        <v>231.9</v>
      </c>
      <c r="W50" s="393">
        <v>106900</v>
      </c>
      <c r="X50" s="393">
        <v>4994</v>
      </c>
      <c r="Y50" s="393">
        <v>7680</v>
      </c>
      <c r="Z50" s="392">
        <v>11.13</v>
      </c>
      <c r="AA50" s="390">
        <v>231.8</v>
      </c>
      <c r="AB50" s="431">
        <v>16790</v>
      </c>
      <c r="AC50" s="432">
        <v>42920</v>
      </c>
      <c r="AD50" s="398">
        <v>1</v>
      </c>
      <c r="AE50" s="398">
        <v>1</v>
      </c>
      <c r="AF50" s="399">
        <v>1</v>
      </c>
      <c r="AG50" s="398">
        <v>1</v>
      </c>
      <c r="AH50" s="398">
        <v>1</v>
      </c>
      <c r="AI50" s="400">
        <v>1</v>
      </c>
      <c r="AJ50" s="398" t="s">
        <v>661</v>
      </c>
    </row>
    <row r="51" spans="1:36" s="141" customFormat="1" ht="13.5" customHeight="1">
      <c r="A51" s="81" t="s">
        <v>860</v>
      </c>
      <c r="B51" s="140">
        <v>744</v>
      </c>
      <c r="C51" s="83">
        <v>498</v>
      </c>
      <c r="D51" s="83">
        <v>432</v>
      </c>
      <c r="E51" s="84">
        <v>55.6</v>
      </c>
      <c r="F51" s="84">
        <v>88.9</v>
      </c>
      <c r="G51" s="90">
        <v>15</v>
      </c>
      <c r="H51" s="82">
        <v>948.1</v>
      </c>
      <c r="I51" s="83">
        <v>320.2</v>
      </c>
      <c r="J51" s="83">
        <v>290.2</v>
      </c>
      <c r="K51" s="83" t="s">
        <v>667</v>
      </c>
      <c r="L51" s="86">
        <v>148</v>
      </c>
      <c r="M51" s="87">
        <v>320</v>
      </c>
      <c r="N51" s="89">
        <v>2.59</v>
      </c>
      <c r="O51" s="89">
        <v>3.48</v>
      </c>
      <c r="P51" s="81" t="s">
        <v>860</v>
      </c>
      <c r="Q51" s="87">
        <v>744</v>
      </c>
      <c r="R51" s="86">
        <v>342100</v>
      </c>
      <c r="S51" s="86">
        <v>13740</v>
      </c>
      <c r="T51" s="86">
        <v>17170</v>
      </c>
      <c r="U51" s="89">
        <v>19</v>
      </c>
      <c r="V51" s="82">
        <v>256.10000000000002</v>
      </c>
      <c r="W51" s="86">
        <v>119900</v>
      </c>
      <c r="X51" s="86">
        <v>5552</v>
      </c>
      <c r="Y51" s="86">
        <v>8549</v>
      </c>
      <c r="Z51" s="91">
        <v>11.25</v>
      </c>
      <c r="AA51" s="84">
        <v>251</v>
      </c>
      <c r="AB51" s="109">
        <v>21840</v>
      </c>
      <c r="AC51" s="111">
        <v>49980</v>
      </c>
      <c r="AD51" s="21">
        <v>1</v>
      </c>
      <c r="AE51" s="21">
        <v>1</v>
      </c>
      <c r="AF51" s="43">
        <v>1</v>
      </c>
      <c r="AG51" s="21">
        <v>1</v>
      </c>
      <c r="AH51" s="21">
        <v>1</v>
      </c>
      <c r="AI51" s="42">
        <v>1</v>
      </c>
      <c r="AJ51" s="21" t="s">
        <v>661</v>
      </c>
    </row>
    <row r="52" spans="1:36" s="434" customFormat="1" ht="13.5" customHeight="1">
      <c r="A52" s="387" t="s">
        <v>861</v>
      </c>
      <c r="B52" s="394">
        <v>818</v>
      </c>
      <c r="C52" s="389">
        <v>514</v>
      </c>
      <c r="D52" s="389">
        <v>437</v>
      </c>
      <c r="E52" s="390">
        <v>60.5</v>
      </c>
      <c r="F52" s="390">
        <v>97</v>
      </c>
      <c r="G52" s="391">
        <v>15</v>
      </c>
      <c r="H52" s="394">
        <v>1043</v>
      </c>
      <c r="I52" s="389">
        <v>320</v>
      </c>
      <c r="J52" s="389">
        <v>290</v>
      </c>
      <c r="K52" s="389" t="s">
        <v>667</v>
      </c>
      <c r="L52" s="393">
        <v>154</v>
      </c>
      <c r="M52" s="394">
        <v>326</v>
      </c>
      <c r="N52" s="396">
        <v>2.63</v>
      </c>
      <c r="O52" s="396">
        <v>3.21</v>
      </c>
      <c r="P52" s="387" t="s">
        <v>861</v>
      </c>
      <c r="Q52" s="394">
        <v>818</v>
      </c>
      <c r="R52" s="393">
        <v>392200</v>
      </c>
      <c r="S52" s="393">
        <v>15260</v>
      </c>
      <c r="T52" s="393">
        <v>19260</v>
      </c>
      <c r="U52" s="396">
        <v>19.39</v>
      </c>
      <c r="V52" s="388">
        <v>283.3</v>
      </c>
      <c r="W52" s="393">
        <v>135500</v>
      </c>
      <c r="X52" s="393">
        <v>6203</v>
      </c>
      <c r="Y52" s="393">
        <v>9561</v>
      </c>
      <c r="Z52" s="392">
        <v>11.4</v>
      </c>
      <c r="AA52" s="390">
        <v>272.10000000000002</v>
      </c>
      <c r="AB52" s="431">
        <v>28510</v>
      </c>
      <c r="AC52" s="432">
        <v>58650</v>
      </c>
      <c r="AD52" s="398">
        <v>1</v>
      </c>
      <c r="AE52" s="398">
        <v>1</v>
      </c>
      <c r="AF52" s="399">
        <v>1</v>
      </c>
      <c r="AG52" s="398">
        <v>1</v>
      </c>
      <c r="AH52" s="398">
        <v>1</v>
      </c>
      <c r="AI52" s="400">
        <v>1</v>
      </c>
      <c r="AJ52" s="398" t="s">
        <v>661</v>
      </c>
    </row>
    <row r="53" spans="1:36" s="141" customFormat="1" ht="13.5" customHeight="1">
      <c r="A53" s="81" t="s">
        <v>862</v>
      </c>
      <c r="B53" s="140">
        <v>900</v>
      </c>
      <c r="C53" s="83">
        <v>531</v>
      </c>
      <c r="D53" s="83">
        <v>442</v>
      </c>
      <c r="E53" s="84">
        <v>65.900000000000006</v>
      </c>
      <c r="F53" s="83">
        <v>106</v>
      </c>
      <c r="G53" s="90">
        <v>15</v>
      </c>
      <c r="H53" s="87">
        <v>1149</v>
      </c>
      <c r="I53" s="83">
        <v>319</v>
      </c>
      <c r="J53" s="83">
        <v>289</v>
      </c>
      <c r="K53" s="83" t="s">
        <v>667</v>
      </c>
      <c r="L53" s="86">
        <v>158</v>
      </c>
      <c r="M53" s="87">
        <v>330</v>
      </c>
      <c r="N53" s="89">
        <v>2.67</v>
      </c>
      <c r="O53" s="89">
        <v>2.96</v>
      </c>
      <c r="P53" s="81" t="s">
        <v>862</v>
      </c>
      <c r="Q53" s="87">
        <v>900</v>
      </c>
      <c r="R53" s="86">
        <v>450200</v>
      </c>
      <c r="S53" s="86">
        <v>16960</v>
      </c>
      <c r="T53" s="86">
        <v>21620</v>
      </c>
      <c r="U53" s="89">
        <v>19.79</v>
      </c>
      <c r="V53" s="82">
        <v>313.8</v>
      </c>
      <c r="W53" s="86">
        <v>153300</v>
      </c>
      <c r="X53" s="86">
        <v>6938</v>
      </c>
      <c r="Y53" s="86">
        <v>10710</v>
      </c>
      <c r="Z53" s="91">
        <v>11.55</v>
      </c>
      <c r="AA53" s="84">
        <v>295.5</v>
      </c>
      <c r="AB53" s="109">
        <v>37350</v>
      </c>
      <c r="AC53" s="111">
        <v>68890</v>
      </c>
      <c r="AD53" s="21">
        <v>1</v>
      </c>
      <c r="AE53" s="21">
        <v>1</v>
      </c>
      <c r="AF53" s="43">
        <v>1</v>
      </c>
      <c r="AG53" s="21">
        <v>1</v>
      </c>
      <c r="AH53" s="21">
        <v>1</v>
      </c>
      <c r="AI53" s="42">
        <v>1</v>
      </c>
      <c r="AJ53" s="21" t="s">
        <v>661</v>
      </c>
    </row>
    <row r="54" spans="1:36" s="434" customFormat="1" ht="13.5" customHeight="1">
      <c r="A54" s="387" t="s">
        <v>863</v>
      </c>
      <c r="B54" s="394">
        <v>990</v>
      </c>
      <c r="C54" s="389">
        <v>550</v>
      </c>
      <c r="D54" s="389">
        <v>448</v>
      </c>
      <c r="E54" s="390">
        <v>71.900000000000006</v>
      </c>
      <c r="F54" s="389">
        <v>115</v>
      </c>
      <c r="G54" s="391">
        <v>15</v>
      </c>
      <c r="H54" s="394">
        <v>1262</v>
      </c>
      <c r="I54" s="389">
        <v>320</v>
      </c>
      <c r="J54" s="389">
        <v>290</v>
      </c>
      <c r="K54" s="389" t="s">
        <v>667</v>
      </c>
      <c r="L54" s="393">
        <v>164</v>
      </c>
      <c r="M54" s="394">
        <v>336</v>
      </c>
      <c r="N54" s="396">
        <v>2.72</v>
      </c>
      <c r="O54" s="396">
        <v>2.75</v>
      </c>
      <c r="P54" s="387" t="s">
        <v>863</v>
      </c>
      <c r="Q54" s="394">
        <v>990</v>
      </c>
      <c r="R54" s="393">
        <v>518900</v>
      </c>
      <c r="S54" s="393">
        <v>18870</v>
      </c>
      <c r="T54" s="393">
        <v>24280</v>
      </c>
      <c r="U54" s="396">
        <v>20.27</v>
      </c>
      <c r="V54" s="388">
        <v>349.2</v>
      </c>
      <c r="W54" s="393">
        <v>173400</v>
      </c>
      <c r="X54" s="393">
        <v>7739</v>
      </c>
      <c r="Y54" s="393">
        <v>11960</v>
      </c>
      <c r="Z54" s="392">
        <v>11.72</v>
      </c>
      <c r="AA54" s="390">
        <v>319.5</v>
      </c>
      <c r="AB54" s="431">
        <v>48210</v>
      </c>
      <c r="AC54" s="432">
        <v>81530</v>
      </c>
      <c r="AD54" s="398">
        <v>1</v>
      </c>
      <c r="AE54" s="398">
        <v>1</v>
      </c>
      <c r="AF54" s="399">
        <v>1</v>
      </c>
      <c r="AG54" s="398">
        <v>1</v>
      </c>
      <c r="AH54" s="398">
        <v>1</v>
      </c>
      <c r="AI54" s="400">
        <v>1</v>
      </c>
      <c r="AJ54" s="398" t="s">
        <v>661</v>
      </c>
    </row>
    <row r="55" spans="1:36" s="141" customFormat="1" ht="13.5" customHeight="1">
      <c r="A55" s="81" t="s">
        <v>864</v>
      </c>
      <c r="B55" s="140">
        <v>1086</v>
      </c>
      <c r="C55" s="83">
        <v>569</v>
      </c>
      <c r="D55" s="83">
        <v>454</v>
      </c>
      <c r="E55" s="84">
        <v>78</v>
      </c>
      <c r="F55" s="83">
        <v>125</v>
      </c>
      <c r="G55" s="90">
        <v>15</v>
      </c>
      <c r="H55" s="87">
        <v>1386</v>
      </c>
      <c r="I55" s="83">
        <v>319</v>
      </c>
      <c r="J55" s="83">
        <v>289</v>
      </c>
      <c r="K55" s="83" t="s">
        <v>667</v>
      </c>
      <c r="L55" s="86">
        <v>170</v>
      </c>
      <c r="M55" s="87">
        <v>342</v>
      </c>
      <c r="N55" s="89">
        <v>2.77</v>
      </c>
      <c r="O55" s="89">
        <v>2.5499999999999998</v>
      </c>
      <c r="P55" s="81" t="s">
        <v>864</v>
      </c>
      <c r="Q55" s="87">
        <v>1086</v>
      </c>
      <c r="R55" s="86">
        <v>595700</v>
      </c>
      <c r="S55" s="86">
        <v>20940</v>
      </c>
      <c r="T55" s="86">
        <v>27210</v>
      </c>
      <c r="U55" s="89">
        <v>20.73</v>
      </c>
      <c r="V55" s="82">
        <v>385.8</v>
      </c>
      <c r="W55" s="86">
        <v>196200</v>
      </c>
      <c r="X55" s="86">
        <v>8645</v>
      </c>
      <c r="Y55" s="86">
        <v>13380</v>
      </c>
      <c r="Z55" s="91">
        <v>11.9</v>
      </c>
      <c r="AA55" s="84">
        <v>345.6</v>
      </c>
      <c r="AB55" s="109">
        <v>62290</v>
      </c>
      <c r="AC55" s="111">
        <v>96080</v>
      </c>
      <c r="AD55" s="21">
        <v>1</v>
      </c>
      <c r="AE55" s="21">
        <v>1</v>
      </c>
      <c r="AF55" s="43">
        <v>1</v>
      </c>
      <c r="AG55" s="21">
        <v>1</v>
      </c>
      <c r="AH55" s="21">
        <v>1</v>
      </c>
      <c r="AI55" s="42">
        <v>1</v>
      </c>
      <c r="AJ55" s="21" t="s">
        <v>661</v>
      </c>
    </row>
    <row r="56" spans="1:36" s="141" customFormat="1" ht="13.5" customHeight="1" thickBot="1">
      <c r="A56" s="81"/>
      <c r="B56" s="139"/>
      <c r="C56" s="83"/>
      <c r="D56" s="83"/>
      <c r="E56" s="83"/>
      <c r="F56" s="83"/>
      <c r="G56" s="90"/>
      <c r="H56" s="91"/>
      <c r="I56" s="83"/>
      <c r="J56" s="83"/>
      <c r="K56" s="83"/>
      <c r="L56" s="86"/>
      <c r="M56" s="87"/>
      <c r="N56" s="89"/>
      <c r="O56" s="89"/>
      <c r="P56" s="81"/>
      <c r="Q56" s="90"/>
      <c r="R56" s="83"/>
      <c r="S56" s="83"/>
      <c r="T56" s="83"/>
      <c r="U56" s="83"/>
      <c r="V56" s="90"/>
      <c r="W56" s="83"/>
      <c r="X56" s="83"/>
      <c r="Y56" s="83"/>
      <c r="Z56" s="91"/>
      <c r="AA56" s="83"/>
      <c r="AB56" s="21"/>
      <c r="AC56" s="42"/>
      <c r="AD56" s="53"/>
      <c r="AE56" s="53"/>
      <c r="AF56" s="54"/>
      <c r="AG56" s="53"/>
      <c r="AH56" s="53"/>
      <c r="AI56" s="55"/>
      <c r="AJ56" s="80"/>
    </row>
    <row r="57" spans="1:36" s="141" customFormat="1" ht="13.5" customHeight="1" thickTop="1">
      <c r="A57" s="142"/>
      <c r="B57" s="104"/>
      <c r="C57" s="104"/>
      <c r="D57" s="104"/>
      <c r="E57" s="104"/>
      <c r="F57" s="104"/>
      <c r="G57" s="104"/>
      <c r="H57" s="104"/>
      <c r="I57" s="104"/>
      <c r="J57" s="104"/>
      <c r="K57" s="104"/>
      <c r="L57" s="143"/>
      <c r="M57" s="104"/>
      <c r="N57" s="144"/>
      <c r="O57" s="104"/>
      <c r="P57" s="142"/>
      <c r="Q57" s="104"/>
      <c r="R57" s="104"/>
      <c r="S57" s="104"/>
      <c r="T57" s="104"/>
      <c r="U57" s="104"/>
      <c r="V57" s="104"/>
      <c r="W57" s="104"/>
      <c r="X57" s="104"/>
      <c r="Y57" s="104"/>
      <c r="Z57" s="144"/>
      <c r="AA57" s="104"/>
      <c r="AB57" s="145"/>
      <c r="AC57" s="145"/>
      <c r="AD57" s="145"/>
      <c r="AE57" s="145"/>
      <c r="AF57" s="145"/>
      <c r="AG57" s="145"/>
      <c r="AH57" s="145"/>
      <c r="AI57" s="145"/>
      <c r="AJ57" s="104"/>
    </row>
    <row r="58" spans="1:36" s="141" customFormat="1" ht="13.5" hidden="1" customHeight="1">
      <c r="A58" s="142"/>
      <c r="B58" s="104"/>
      <c r="C58" s="104"/>
      <c r="D58" s="104"/>
      <c r="E58" s="104"/>
      <c r="F58" s="104"/>
      <c r="G58" s="104"/>
      <c r="H58" s="104"/>
      <c r="I58" s="104"/>
      <c r="J58" s="104"/>
      <c r="K58" s="104"/>
      <c r="L58" s="143"/>
      <c r="M58" s="104"/>
      <c r="N58" s="144"/>
      <c r="O58" s="104"/>
      <c r="P58" s="142"/>
      <c r="Q58" s="116"/>
      <c r="R58" s="117"/>
      <c r="S58" s="117"/>
      <c r="T58" s="117"/>
      <c r="U58" s="117"/>
      <c r="V58" s="117"/>
      <c r="W58" s="116"/>
      <c r="X58" s="117"/>
      <c r="Y58" s="117"/>
      <c r="Z58" s="118"/>
      <c r="AA58" s="117"/>
      <c r="AB58" s="119"/>
      <c r="AC58" s="119"/>
      <c r="AD58" s="116"/>
      <c r="AE58" s="145"/>
      <c r="AF58" s="145"/>
      <c r="AG58" s="145"/>
      <c r="AH58" s="145"/>
      <c r="AI58" s="145"/>
      <c r="AJ58" s="104"/>
    </row>
    <row r="59" spans="1:36" s="141" customFormat="1" ht="13.5" hidden="1" customHeight="1">
      <c r="A59" s="142"/>
      <c r="B59" s="104"/>
      <c r="C59" s="104"/>
      <c r="D59" s="104"/>
      <c r="E59" s="104"/>
      <c r="F59" s="104"/>
      <c r="G59" s="104"/>
      <c r="H59" s="104"/>
      <c r="I59" s="104"/>
      <c r="J59" s="104"/>
      <c r="K59" s="104"/>
      <c r="L59" s="143"/>
      <c r="M59" s="104"/>
      <c r="N59" s="144"/>
      <c r="O59" s="104"/>
      <c r="P59" s="142"/>
      <c r="Q59" s="120"/>
      <c r="R59" s="117"/>
      <c r="S59" s="117"/>
      <c r="T59" s="117"/>
      <c r="U59" s="117"/>
      <c r="V59" s="117"/>
      <c r="W59" s="120"/>
      <c r="X59" s="117"/>
      <c r="Y59" s="117"/>
      <c r="Z59" s="118"/>
      <c r="AA59" s="117"/>
      <c r="AB59" s="119"/>
      <c r="AC59" s="119"/>
      <c r="AD59" s="120"/>
      <c r="AE59" s="145"/>
      <c r="AF59" s="145"/>
      <c r="AG59" s="145"/>
      <c r="AH59" s="145"/>
      <c r="AI59" s="145"/>
      <c r="AJ59" s="104"/>
    </row>
    <row r="60" spans="1:36" s="141" customFormat="1" ht="13.5" hidden="1" customHeight="1">
      <c r="A60" s="142"/>
      <c r="B60" s="104"/>
      <c r="C60" s="104"/>
      <c r="D60" s="104"/>
      <c r="E60" s="104"/>
      <c r="F60" s="104"/>
      <c r="G60" s="104"/>
      <c r="H60" s="104"/>
      <c r="I60" s="104"/>
      <c r="J60" s="104"/>
      <c r="K60" s="104"/>
      <c r="L60" s="143"/>
      <c r="M60" s="104"/>
      <c r="N60" s="144"/>
      <c r="O60" s="104"/>
      <c r="P60" s="142"/>
      <c r="Q60" s="120"/>
      <c r="R60" s="117"/>
      <c r="S60" s="117"/>
      <c r="T60" s="117"/>
      <c r="U60" s="117"/>
      <c r="V60" s="117"/>
      <c r="W60" s="120"/>
      <c r="X60" s="117"/>
      <c r="Y60" s="117"/>
      <c r="Z60" s="118"/>
      <c r="AA60" s="117"/>
      <c r="AB60" s="119"/>
      <c r="AC60" s="119"/>
      <c r="AD60" s="120"/>
      <c r="AE60" s="145"/>
      <c r="AF60" s="145"/>
      <c r="AG60" s="145"/>
      <c r="AH60" s="145"/>
      <c r="AI60" s="145"/>
      <c r="AJ60" s="104"/>
    </row>
    <row r="61" spans="1:36" s="80" customFormat="1" ht="13.5" hidden="1" customHeight="1">
      <c r="A61" s="142"/>
      <c r="B61" s="104"/>
      <c r="C61" s="104"/>
      <c r="D61" s="104"/>
      <c r="E61" s="104"/>
      <c r="F61" s="104"/>
      <c r="G61" s="104"/>
      <c r="H61" s="104"/>
      <c r="I61" s="104"/>
      <c r="J61" s="104"/>
      <c r="K61" s="104"/>
      <c r="L61" s="143"/>
      <c r="M61" s="104"/>
      <c r="N61" s="144"/>
      <c r="O61" s="104"/>
      <c r="P61" s="142"/>
      <c r="Q61" s="120"/>
      <c r="R61" s="117"/>
      <c r="S61" s="117"/>
      <c r="T61" s="117"/>
      <c r="U61" s="117"/>
      <c r="V61" s="117"/>
      <c r="W61" s="120"/>
      <c r="X61" s="117"/>
      <c r="Y61" s="117"/>
      <c r="Z61" s="118"/>
      <c r="AA61" s="117"/>
      <c r="AB61" s="119"/>
      <c r="AC61" s="119"/>
      <c r="AD61" s="120"/>
      <c r="AE61" s="145"/>
      <c r="AF61" s="145"/>
      <c r="AG61" s="145"/>
      <c r="AH61" s="145"/>
      <c r="AI61" s="145"/>
      <c r="AJ61" s="104"/>
    </row>
    <row r="62" spans="1:36" s="104" customFormat="1" ht="13.5" hidden="1" customHeight="1">
      <c r="A62" s="142"/>
      <c r="L62" s="143"/>
      <c r="N62" s="144"/>
      <c r="P62" s="142"/>
      <c r="Q62" s="142"/>
      <c r="Z62" s="144"/>
      <c r="AB62" s="145"/>
      <c r="AC62" s="145"/>
      <c r="AD62" s="145"/>
      <c r="AE62" s="145"/>
      <c r="AF62" s="145"/>
      <c r="AG62" s="145"/>
      <c r="AH62" s="145"/>
      <c r="AI62" s="145"/>
    </row>
    <row r="63" spans="1:36" s="104" customFormat="1" ht="13.5" hidden="1" customHeight="1">
      <c r="A63" s="142"/>
      <c r="L63" s="143"/>
      <c r="N63" s="144"/>
      <c r="P63" s="142"/>
      <c r="Q63" s="101"/>
      <c r="R63" s="102"/>
      <c r="S63" s="102"/>
      <c r="T63" s="102"/>
      <c r="U63" s="102"/>
      <c r="V63" s="102"/>
      <c r="W63" s="101"/>
      <c r="X63" s="102"/>
      <c r="Y63" s="102"/>
      <c r="Z63" s="102"/>
      <c r="AA63" s="102"/>
      <c r="AB63" s="59"/>
      <c r="AC63" s="59"/>
      <c r="AD63" s="101"/>
      <c r="AE63" s="145"/>
      <c r="AF63" s="145"/>
      <c r="AG63" s="145"/>
      <c r="AH63" s="145"/>
      <c r="AI63" s="145"/>
    </row>
    <row r="64" spans="1:36" s="104" customFormat="1" ht="13.5" hidden="1" customHeight="1">
      <c r="A64" s="125"/>
      <c r="B64" s="101"/>
      <c r="C64" s="101"/>
      <c r="D64" s="101"/>
      <c r="E64" s="125"/>
      <c r="F64" s="122"/>
      <c r="G64" s="101"/>
      <c r="H64" s="122"/>
      <c r="I64" s="101"/>
      <c r="J64" s="101"/>
      <c r="K64" s="125"/>
      <c r="L64" s="146"/>
      <c r="M64" s="147"/>
      <c r="N64" s="148"/>
      <c r="O64" s="147"/>
      <c r="P64" s="63"/>
      <c r="Q64" s="101"/>
      <c r="R64" s="102"/>
      <c r="S64" s="102"/>
      <c r="T64" s="102"/>
      <c r="U64" s="102"/>
      <c r="V64" s="102"/>
      <c r="W64" s="101"/>
      <c r="X64" s="102"/>
      <c r="Y64" s="102"/>
      <c r="Z64" s="102"/>
      <c r="AA64" s="102"/>
      <c r="AB64" s="59"/>
      <c r="AC64" s="59"/>
      <c r="AD64" s="101"/>
      <c r="AE64" s="149"/>
      <c r="AF64" s="149"/>
      <c r="AG64" s="149"/>
      <c r="AH64" s="149"/>
      <c r="AI64" s="149"/>
      <c r="AJ64" s="147"/>
    </row>
    <row r="65" spans="1:36" s="104" customFormat="1" ht="13.5" hidden="1" customHeight="1">
      <c r="A65" s="101"/>
      <c r="B65" s="101"/>
      <c r="C65" s="101"/>
      <c r="D65" s="101"/>
      <c r="E65" s="101"/>
      <c r="F65" s="122"/>
      <c r="G65" s="101"/>
      <c r="H65" s="122"/>
      <c r="I65" s="101"/>
      <c r="J65" s="101"/>
      <c r="K65" s="101"/>
      <c r="L65" s="146"/>
      <c r="M65" s="147"/>
      <c r="N65" s="148"/>
      <c r="O65" s="147"/>
      <c r="P65" s="63"/>
      <c r="Q65" s="101"/>
      <c r="R65" s="102"/>
      <c r="S65" s="102"/>
      <c r="T65" s="102"/>
      <c r="U65" s="102"/>
      <c r="V65" s="102"/>
      <c r="W65" s="101"/>
      <c r="X65" s="102"/>
      <c r="Y65" s="102"/>
      <c r="Z65" s="102"/>
      <c r="AA65" s="102"/>
      <c r="AB65" s="59"/>
      <c r="AC65" s="59"/>
      <c r="AD65" s="101"/>
      <c r="AE65" s="149"/>
      <c r="AF65" s="149"/>
      <c r="AG65" s="149"/>
      <c r="AH65" s="149"/>
      <c r="AI65" s="149"/>
      <c r="AJ65" s="147"/>
    </row>
    <row r="66" spans="1:36" s="104" customFormat="1" ht="13.5" hidden="1" customHeight="1">
      <c r="A66" s="126"/>
      <c r="B66" s="101"/>
      <c r="C66" s="101"/>
      <c r="D66" s="101"/>
      <c r="E66" s="126"/>
      <c r="F66" s="122"/>
      <c r="G66" s="101"/>
      <c r="H66" s="122"/>
      <c r="I66" s="101"/>
      <c r="J66" s="101"/>
      <c r="K66" s="126"/>
      <c r="L66" s="146"/>
      <c r="M66" s="147"/>
      <c r="N66" s="148"/>
      <c r="O66" s="147"/>
      <c r="P66" s="63"/>
      <c r="Q66" s="101"/>
      <c r="R66" s="102"/>
      <c r="S66" s="102"/>
      <c r="T66" s="102"/>
      <c r="U66" s="102"/>
      <c r="V66" s="102"/>
      <c r="W66" s="101"/>
      <c r="X66" s="102"/>
      <c r="Y66" s="102"/>
      <c r="Z66" s="102"/>
      <c r="AA66" s="102"/>
      <c r="AB66" s="59"/>
      <c r="AC66" s="59"/>
      <c r="AD66" s="101"/>
      <c r="AE66" s="149"/>
      <c r="AF66" s="149"/>
      <c r="AG66" s="149"/>
      <c r="AH66" s="149"/>
      <c r="AI66" s="149"/>
      <c r="AJ66" s="147"/>
    </row>
    <row r="67" spans="1:36" s="104" customFormat="1" ht="13.5" hidden="1" customHeight="1">
      <c r="A67" s="101"/>
      <c r="B67" s="101"/>
      <c r="C67" s="101"/>
      <c r="D67" s="101"/>
      <c r="E67" s="101"/>
      <c r="F67" s="150"/>
      <c r="G67" s="101"/>
      <c r="H67" s="150"/>
      <c r="I67" s="101"/>
      <c r="J67" s="101"/>
      <c r="K67" s="101"/>
      <c r="L67" s="143"/>
      <c r="N67" s="144"/>
      <c r="P67" s="142"/>
      <c r="Z67" s="144"/>
      <c r="AB67" s="145"/>
      <c r="AC67" s="145"/>
      <c r="AD67" s="145"/>
      <c r="AE67" s="145"/>
      <c r="AF67" s="145"/>
      <c r="AG67" s="145"/>
      <c r="AH67" s="145"/>
      <c r="AI67" s="145"/>
    </row>
    <row r="68" spans="1:36" s="104" customFormat="1" ht="13.5" hidden="1" customHeight="1">
      <c r="A68" s="142"/>
      <c r="L68" s="143"/>
      <c r="N68" s="144"/>
      <c r="P68" s="142"/>
      <c r="Z68" s="144"/>
      <c r="AB68" s="145"/>
      <c r="AC68" s="145"/>
      <c r="AD68" s="145"/>
      <c r="AE68" s="145"/>
      <c r="AF68" s="145"/>
      <c r="AG68" s="145"/>
      <c r="AH68" s="145"/>
      <c r="AI68" s="145"/>
    </row>
    <row r="69" spans="1:36" s="147" customFormat="1" ht="13.5" hidden="1" customHeight="1">
      <c r="A69" s="142"/>
      <c r="B69" s="104"/>
      <c r="C69" s="104"/>
      <c r="D69" s="104"/>
      <c r="E69" s="104"/>
      <c r="F69" s="104"/>
      <c r="G69" s="104"/>
      <c r="H69" s="104"/>
      <c r="I69" s="104"/>
      <c r="J69" s="104"/>
      <c r="K69" s="104"/>
      <c r="L69" s="143"/>
      <c r="M69" s="104"/>
      <c r="N69" s="144"/>
      <c r="O69" s="104"/>
      <c r="P69" s="142"/>
      <c r="Q69" s="104"/>
      <c r="R69" s="104"/>
      <c r="S69" s="104"/>
      <c r="T69" s="104"/>
      <c r="U69" s="104"/>
      <c r="V69" s="104"/>
      <c r="W69" s="104"/>
      <c r="X69" s="104"/>
      <c r="Y69" s="104"/>
      <c r="Z69" s="144"/>
      <c r="AA69" s="104"/>
      <c r="AB69" s="145"/>
      <c r="AC69" s="145"/>
      <c r="AD69" s="145"/>
      <c r="AE69" s="145"/>
      <c r="AF69" s="145"/>
      <c r="AG69" s="145"/>
      <c r="AH69" s="145"/>
      <c r="AI69" s="145"/>
      <c r="AJ69" s="104"/>
    </row>
    <row r="70" spans="1:36" s="147" customFormat="1" ht="13.5" hidden="1" customHeight="1">
      <c r="A70" s="142"/>
      <c r="B70" s="104"/>
      <c r="C70" s="104"/>
      <c r="D70" s="104"/>
      <c r="E70" s="104"/>
      <c r="F70" s="104"/>
      <c r="G70" s="104"/>
      <c r="H70" s="104"/>
      <c r="I70" s="104"/>
      <c r="J70" s="104"/>
      <c r="K70" s="104"/>
      <c r="L70" s="143"/>
      <c r="M70" s="104"/>
      <c r="N70" s="144"/>
      <c r="O70" s="104"/>
      <c r="P70" s="142"/>
      <c r="Q70" s="104"/>
      <c r="R70" s="104"/>
      <c r="S70" s="104"/>
      <c r="T70" s="104"/>
      <c r="U70" s="104"/>
      <c r="V70" s="104"/>
      <c r="W70" s="104"/>
      <c r="X70" s="104"/>
      <c r="Y70" s="104"/>
      <c r="Z70" s="144"/>
      <c r="AA70" s="104"/>
      <c r="AB70" s="145"/>
      <c r="AC70" s="145"/>
      <c r="AD70" s="145"/>
      <c r="AE70" s="145"/>
      <c r="AF70" s="145"/>
      <c r="AG70" s="145"/>
      <c r="AH70" s="145"/>
      <c r="AI70" s="145"/>
      <c r="AJ70" s="104"/>
    </row>
    <row r="71" spans="1:36" s="147" customFormat="1" ht="13.5" hidden="1" customHeight="1">
      <c r="A71" s="142"/>
      <c r="B71" s="104"/>
      <c r="C71" s="104"/>
      <c r="D71" s="104"/>
      <c r="E71" s="104"/>
      <c r="F71" s="104"/>
      <c r="G71" s="104"/>
      <c r="H71" s="104"/>
      <c r="I71" s="104"/>
      <c r="J71" s="104"/>
      <c r="K71" s="104"/>
      <c r="L71" s="143"/>
      <c r="M71" s="104"/>
      <c r="N71" s="144"/>
      <c r="O71" s="104"/>
      <c r="P71" s="142"/>
      <c r="Q71" s="104"/>
      <c r="R71" s="104"/>
      <c r="S71" s="104"/>
      <c r="T71" s="104"/>
      <c r="U71" s="104"/>
      <c r="V71" s="104"/>
      <c r="W71" s="104"/>
      <c r="X71" s="104"/>
      <c r="Y71" s="104"/>
      <c r="Z71" s="144"/>
      <c r="AA71" s="104"/>
      <c r="AB71" s="145"/>
      <c r="AC71" s="145"/>
      <c r="AD71" s="145"/>
      <c r="AE71" s="145"/>
      <c r="AF71" s="145"/>
      <c r="AG71" s="145"/>
      <c r="AH71" s="145"/>
      <c r="AI71" s="145"/>
      <c r="AJ71" s="104"/>
    </row>
    <row r="72" spans="1:36" s="104" customFormat="1" ht="13.5" hidden="1" customHeight="1">
      <c r="A72" s="142"/>
      <c r="L72" s="143"/>
      <c r="N72" s="144"/>
      <c r="P72" s="142"/>
      <c r="Z72" s="144"/>
      <c r="AB72" s="145"/>
      <c r="AC72" s="145"/>
      <c r="AD72" s="145"/>
      <c r="AE72" s="145"/>
      <c r="AF72" s="145"/>
      <c r="AG72" s="145"/>
      <c r="AH72" s="145"/>
      <c r="AI72" s="145"/>
    </row>
    <row r="73" spans="1:36" s="104" customFormat="1" ht="13.5" hidden="1" customHeight="1">
      <c r="A73" s="142"/>
      <c r="L73" s="143"/>
      <c r="N73" s="144"/>
      <c r="P73" s="142"/>
      <c r="Z73" s="144"/>
      <c r="AB73" s="145"/>
      <c r="AC73" s="145"/>
      <c r="AD73" s="145"/>
      <c r="AE73" s="145"/>
      <c r="AF73" s="145"/>
      <c r="AG73" s="145"/>
      <c r="AH73" s="145"/>
      <c r="AI73" s="145"/>
    </row>
    <row r="74" spans="1:36" s="104" customFormat="1" ht="13.5" hidden="1" customHeight="1">
      <c r="A74" s="142"/>
      <c r="L74" s="143"/>
      <c r="N74" s="144"/>
      <c r="P74" s="142"/>
      <c r="Z74" s="144"/>
      <c r="AB74" s="145"/>
      <c r="AC74" s="145"/>
      <c r="AD74" s="145"/>
      <c r="AE74" s="145"/>
      <c r="AF74" s="145"/>
      <c r="AG74" s="145"/>
      <c r="AH74" s="145"/>
      <c r="AI74" s="145"/>
    </row>
    <row r="75" spans="1:36" s="104" customFormat="1" ht="13.5" hidden="1" customHeight="1">
      <c r="A75" s="142"/>
      <c r="L75" s="143"/>
      <c r="N75" s="144"/>
      <c r="P75" s="142"/>
      <c r="Z75" s="144"/>
      <c r="AB75" s="145"/>
      <c r="AC75" s="145"/>
      <c r="AD75" s="145"/>
      <c r="AE75" s="145"/>
      <c r="AF75" s="145"/>
      <c r="AG75" s="145"/>
      <c r="AH75" s="145"/>
      <c r="AI75" s="145"/>
    </row>
    <row r="76" spans="1:36" s="104" customFormat="1" ht="13.5" hidden="1" customHeight="1">
      <c r="A76" s="142"/>
      <c r="L76" s="143"/>
      <c r="N76" s="144"/>
      <c r="P76" s="142"/>
      <c r="Z76" s="144"/>
      <c r="AB76" s="145"/>
      <c r="AC76" s="145"/>
      <c r="AD76" s="145"/>
      <c r="AE76" s="145"/>
      <c r="AF76" s="145"/>
      <c r="AG76" s="145"/>
      <c r="AH76" s="145"/>
      <c r="AI76" s="145"/>
    </row>
    <row r="77" spans="1:36" s="104" customFormat="1" ht="13.5" hidden="1" customHeight="1">
      <c r="A77" s="142"/>
      <c r="L77" s="143"/>
      <c r="N77" s="144"/>
      <c r="P77" s="142"/>
      <c r="Z77" s="144"/>
      <c r="AB77" s="145"/>
      <c r="AC77" s="145"/>
      <c r="AD77" s="145"/>
      <c r="AE77" s="145"/>
      <c r="AF77" s="145"/>
      <c r="AG77" s="145"/>
      <c r="AH77" s="145"/>
      <c r="AI77" s="145"/>
    </row>
    <row r="78" spans="1:36" s="104" customFormat="1" ht="13.5" hidden="1" customHeight="1">
      <c r="A78" s="142"/>
      <c r="L78" s="143"/>
      <c r="N78" s="144"/>
      <c r="P78" s="142"/>
      <c r="Z78" s="144"/>
      <c r="AB78" s="145"/>
      <c r="AC78" s="145"/>
      <c r="AD78" s="145"/>
      <c r="AE78" s="145"/>
      <c r="AF78" s="145"/>
      <c r="AG78" s="145"/>
      <c r="AH78" s="145"/>
      <c r="AI78" s="145"/>
    </row>
    <row r="79" spans="1:36" s="104" customFormat="1" ht="13.5" hidden="1" customHeight="1">
      <c r="A79" s="142"/>
      <c r="L79" s="143"/>
      <c r="N79" s="144"/>
      <c r="P79" s="142"/>
      <c r="Z79" s="144"/>
      <c r="AB79" s="145"/>
      <c r="AC79" s="145"/>
      <c r="AD79" s="145"/>
      <c r="AE79" s="145"/>
      <c r="AF79" s="145"/>
      <c r="AG79" s="145"/>
      <c r="AH79" s="145"/>
      <c r="AI79" s="145"/>
    </row>
    <row r="80" spans="1:36" s="104" customFormat="1" ht="13.5" hidden="1" customHeight="1">
      <c r="A80" s="142"/>
      <c r="L80" s="143"/>
      <c r="N80" s="144"/>
      <c r="P80" s="142"/>
      <c r="Z80" s="144"/>
      <c r="AB80" s="145"/>
      <c r="AC80" s="145"/>
      <c r="AD80" s="145"/>
      <c r="AE80" s="145"/>
      <c r="AF80" s="145"/>
      <c r="AG80" s="145"/>
      <c r="AH80" s="145"/>
      <c r="AI80" s="145"/>
    </row>
    <row r="81" spans="1:35" s="104" customFormat="1" ht="13.5" hidden="1" customHeight="1">
      <c r="A81" s="142"/>
      <c r="L81" s="143"/>
      <c r="N81" s="144"/>
      <c r="P81" s="142"/>
      <c r="Z81" s="144"/>
      <c r="AB81" s="145"/>
      <c r="AC81" s="145"/>
      <c r="AD81" s="145"/>
      <c r="AE81" s="145"/>
      <c r="AF81" s="145"/>
      <c r="AG81" s="145"/>
      <c r="AH81" s="145"/>
      <c r="AI81" s="145"/>
    </row>
    <row r="82" spans="1:35" s="104" customFormat="1" ht="13.5" hidden="1" customHeight="1">
      <c r="A82" s="142"/>
      <c r="L82" s="143"/>
      <c r="N82" s="144"/>
      <c r="P82" s="142"/>
      <c r="Z82" s="144"/>
      <c r="AB82" s="145"/>
      <c r="AC82" s="145"/>
      <c r="AD82" s="145"/>
      <c r="AE82" s="145"/>
      <c r="AF82" s="145"/>
      <c r="AG82" s="145"/>
      <c r="AH82" s="145"/>
      <c r="AI82" s="145"/>
    </row>
    <row r="83" spans="1:35" s="104" customFormat="1" ht="13.5" hidden="1" customHeight="1">
      <c r="A83" s="142"/>
      <c r="L83" s="143"/>
      <c r="N83" s="144"/>
      <c r="P83" s="142"/>
      <c r="Z83" s="144"/>
      <c r="AB83" s="145"/>
      <c r="AC83" s="145"/>
      <c r="AD83" s="145"/>
      <c r="AE83" s="145"/>
      <c r="AF83" s="145"/>
      <c r="AG83" s="145"/>
      <c r="AH83" s="145"/>
      <c r="AI83" s="145"/>
    </row>
    <row r="84" spans="1:35" s="104" customFormat="1" ht="13.5" hidden="1" customHeight="1">
      <c r="A84" s="142"/>
      <c r="L84" s="143"/>
      <c r="N84" s="144"/>
      <c r="P84" s="142"/>
      <c r="Z84" s="144"/>
      <c r="AB84" s="145"/>
      <c r="AC84" s="145"/>
      <c r="AD84" s="145"/>
      <c r="AE84" s="145"/>
      <c r="AF84" s="145"/>
      <c r="AG84" s="145"/>
      <c r="AH84" s="145"/>
      <c r="AI84" s="145"/>
    </row>
    <row r="85" spans="1:35" s="104" customFormat="1" ht="13.5" hidden="1" customHeight="1">
      <c r="A85" s="142"/>
      <c r="L85" s="143"/>
      <c r="N85" s="144"/>
      <c r="P85" s="142"/>
      <c r="Z85" s="144"/>
      <c r="AB85" s="145"/>
      <c r="AC85" s="145"/>
      <c r="AD85" s="145"/>
      <c r="AE85" s="145"/>
      <c r="AF85" s="145"/>
      <c r="AG85" s="145"/>
      <c r="AH85" s="145"/>
      <c r="AI85" s="145"/>
    </row>
    <row r="86" spans="1:35" s="104" customFormat="1" ht="13.5" hidden="1" customHeight="1">
      <c r="A86" s="142"/>
      <c r="L86" s="143"/>
      <c r="N86" s="144"/>
      <c r="P86" s="142"/>
      <c r="Z86" s="144"/>
      <c r="AB86" s="145"/>
      <c r="AC86" s="145"/>
      <c r="AD86" s="145"/>
      <c r="AE86" s="145"/>
      <c r="AF86" s="145"/>
      <c r="AG86" s="145"/>
      <c r="AH86" s="145"/>
      <c r="AI86" s="145"/>
    </row>
    <row r="87" spans="1:35" s="104" customFormat="1" ht="13.5" hidden="1" customHeight="1">
      <c r="A87" s="142"/>
      <c r="L87" s="143"/>
      <c r="N87" s="144"/>
      <c r="P87" s="142"/>
      <c r="Z87" s="144"/>
      <c r="AB87" s="145"/>
      <c r="AC87" s="145"/>
      <c r="AD87" s="145"/>
      <c r="AE87" s="145"/>
      <c r="AF87" s="145"/>
      <c r="AG87" s="145"/>
      <c r="AH87" s="145"/>
      <c r="AI87" s="145"/>
    </row>
    <row r="88" spans="1:35" s="104" customFormat="1" ht="13.5" hidden="1" customHeight="1">
      <c r="A88" s="142"/>
      <c r="L88" s="143"/>
      <c r="N88" s="144"/>
      <c r="P88" s="142"/>
      <c r="Z88" s="144"/>
      <c r="AB88" s="145"/>
      <c r="AC88" s="145"/>
      <c r="AD88" s="145"/>
      <c r="AE88" s="145"/>
      <c r="AF88" s="145"/>
      <c r="AG88" s="145"/>
      <c r="AH88" s="145"/>
      <c r="AI88" s="145"/>
    </row>
    <row r="89" spans="1:35" s="104" customFormat="1" ht="13.5" hidden="1" customHeight="1">
      <c r="A89" s="142"/>
      <c r="L89" s="143"/>
      <c r="N89" s="144"/>
      <c r="P89" s="142"/>
      <c r="Z89" s="144"/>
      <c r="AB89" s="145"/>
      <c r="AC89" s="145"/>
      <c r="AD89" s="145"/>
      <c r="AE89" s="145"/>
      <c r="AF89" s="145"/>
      <c r="AG89" s="145"/>
      <c r="AH89" s="145"/>
      <c r="AI89" s="145"/>
    </row>
    <row r="90" spans="1:35" s="104" customFormat="1" ht="13.5" hidden="1" customHeight="1">
      <c r="A90" s="142"/>
      <c r="L90" s="143"/>
      <c r="N90" s="144"/>
      <c r="P90" s="142"/>
      <c r="Z90" s="144"/>
      <c r="AB90" s="145"/>
      <c r="AC90" s="145"/>
      <c r="AD90" s="145"/>
      <c r="AE90" s="145"/>
      <c r="AF90" s="145"/>
      <c r="AG90" s="145"/>
      <c r="AH90" s="145"/>
      <c r="AI90" s="145"/>
    </row>
    <row r="91" spans="1:35" s="104" customFormat="1" ht="13.5" hidden="1" customHeight="1">
      <c r="A91" s="142"/>
      <c r="L91" s="143"/>
      <c r="N91" s="144"/>
      <c r="P91" s="142"/>
      <c r="Z91" s="144"/>
      <c r="AB91" s="145"/>
      <c r="AC91" s="145"/>
      <c r="AD91" s="145"/>
      <c r="AE91" s="145"/>
      <c r="AF91" s="145"/>
      <c r="AG91" s="145"/>
      <c r="AH91" s="145"/>
      <c r="AI91" s="145"/>
    </row>
    <row r="92" spans="1:35" s="104" customFormat="1" ht="13.5" hidden="1" customHeight="1">
      <c r="A92" s="142"/>
      <c r="L92" s="143"/>
      <c r="N92" s="144"/>
      <c r="P92" s="142"/>
      <c r="Z92" s="144"/>
      <c r="AB92" s="145"/>
      <c r="AC92" s="145"/>
      <c r="AD92" s="145"/>
      <c r="AE92" s="145"/>
      <c r="AF92" s="145"/>
      <c r="AG92" s="145"/>
      <c r="AH92" s="145"/>
      <c r="AI92" s="145"/>
    </row>
    <row r="93" spans="1:35" s="104" customFormat="1" ht="13.5" hidden="1" customHeight="1">
      <c r="A93" s="142"/>
      <c r="L93" s="143"/>
      <c r="N93" s="144"/>
      <c r="P93" s="142"/>
      <c r="Z93" s="144"/>
      <c r="AB93" s="145"/>
      <c r="AC93" s="145"/>
      <c r="AD93" s="145"/>
      <c r="AE93" s="145"/>
      <c r="AF93" s="145"/>
      <c r="AG93" s="145"/>
      <c r="AH93" s="145"/>
      <c r="AI93" s="145"/>
    </row>
    <row r="94" spans="1:35" s="104" customFormat="1" ht="13.5" hidden="1" customHeight="1">
      <c r="A94" s="142"/>
      <c r="L94" s="143"/>
      <c r="N94" s="144"/>
      <c r="P94" s="142"/>
      <c r="Z94" s="144"/>
      <c r="AB94" s="145"/>
      <c r="AC94" s="145"/>
      <c r="AD94" s="145"/>
      <c r="AE94" s="145"/>
      <c r="AF94" s="145"/>
      <c r="AG94" s="145"/>
      <c r="AH94" s="145"/>
      <c r="AI94" s="145"/>
    </row>
    <row r="95" spans="1:35" s="104" customFormat="1" ht="13.5" hidden="1" customHeight="1">
      <c r="A95" s="142"/>
      <c r="L95" s="143"/>
      <c r="N95" s="144"/>
      <c r="P95" s="142"/>
      <c r="Z95" s="144"/>
      <c r="AB95" s="145"/>
      <c r="AC95" s="145"/>
      <c r="AD95" s="145"/>
      <c r="AE95" s="145"/>
      <c r="AF95" s="145"/>
      <c r="AG95" s="145"/>
      <c r="AH95" s="145"/>
      <c r="AI95" s="145"/>
    </row>
    <row r="96" spans="1:35" s="104" customFormat="1" ht="13.5" hidden="1" customHeight="1">
      <c r="A96" s="142"/>
      <c r="L96" s="143"/>
      <c r="N96" s="144"/>
      <c r="P96" s="142"/>
      <c r="Z96" s="144"/>
      <c r="AB96" s="145"/>
      <c r="AC96" s="145"/>
      <c r="AD96" s="145"/>
      <c r="AE96" s="145"/>
      <c r="AF96" s="145"/>
      <c r="AG96" s="145"/>
      <c r="AH96" s="145"/>
      <c r="AI96" s="145"/>
    </row>
    <row r="97" spans="1:36" s="104" customFormat="1" ht="13.5" hidden="1" customHeight="1">
      <c r="A97" s="142"/>
      <c r="L97" s="143"/>
      <c r="N97" s="144"/>
      <c r="P97" s="142"/>
      <c r="Z97" s="144"/>
      <c r="AB97" s="145"/>
      <c r="AC97" s="145"/>
      <c r="AD97" s="145"/>
      <c r="AE97" s="145"/>
      <c r="AF97" s="145"/>
      <c r="AG97" s="145"/>
      <c r="AH97" s="145"/>
      <c r="AI97" s="145"/>
    </row>
    <row r="98" spans="1:36" s="104" customFormat="1" ht="13.5" hidden="1" customHeight="1">
      <c r="A98" s="142"/>
      <c r="L98" s="143"/>
      <c r="N98" s="144"/>
      <c r="P98" s="142"/>
      <c r="Z98" s="144"/>
      <c r="AB98" s="145"/>
      <c r="AC98" s="145"/>
      <c r="AD98" s="145"/>
      <c r="AE98" s="145"/>
      <c r="AF98" s="145"/>
      <c r="AG98" s="145"/>
      <c r="AH98" s="145"/>
      <c r="AI98" s="145"/>
    </row>
    <row r="99" spans="1:36" s="104" customFormat="1" ht="13.5" hidden="1" customHeight="1">
      <c r="A99" s="142"/>
      <c r="L99" s="143"/>
      <c r="N99" s="144"/>
      <c r="P99" s="142"/>
      <c r="Z99" s="144"/>
      <c r="AB99" s="145"/>
      <c r="AC99" s="145"/>
      <c r="AD99" s="145"/>
      <c r="AE99" s="145"/>
      <c r="AF99" s="145"/>
      <c r="AG99" s="145"/>
      <c r="AH99" s="145"/>
      <c r="AI99" s="145"/>
    </row>
    <row r="100" spans="1:36" s="104" customFormat="1" ht="13.5" hidden="1" customHeight="1">
      <c r="A100" s="142"/>
      <c r="L100" s="143"/>
      <c r="N100" s="144"/>
      <c r="P100" s="142"/>
      <c r="Z100" s="144"/>
      <c r="AB100" s="145"/>
      <c r="AC100" s="145"/>
      <c r="AD100" s="145"/>
      <c r="AE100" s="145"/>
      <c r="AF100" s="145"/>
      <c r="AG100" s="145"/>
      <c r="AH100" s="145"/>
      <c r="AI100" s="145"/>
    </row>
    <row r="101" spans="1:36" s="104" customFormat="1" ht="13.5" hidden="1" customHeight="1">
      <c r="A101" s="142"/>
      <c r="L101" s="143"/>
      <c r="N101" s="144"/>
      <c r="P101" s="142"/>
      <c r="Z101" s="144"/>
      <c r="AB101" s="145"/>
      <c r="AC101" s="145"/>
      <c r="AD101" s="145"/>
      <c r="AE101" s="145"/>
      <c r="AF101" s="145"/>
      <c r="AG101" s="145"/>
      <c r="AH101" s="145"/>
      <c r="AI101" s="145"/>
    </row>
    <row r="102" spans="1:36" s="104" customFormat="1" ht="13.5" hidden="1" customHeight="1">
      <c r="A102" s="142"/>
      <c r="L102" s="143"/>
      <c r="N102" s="144"/>
      <c r="P102" s="142"/>
      <c r="Z102" s="144"/>
      <c r="AB102" s="145"/>
      <c r="AC102" s="145"/>
      <c r="AD102" s="145"/>
      <c r="AE102" s="145"/>
      <c r="AF102" s="145"/>
      <c r="AG102" s="145"/>
      <c r="AH102" s="145"/>
      <c r="AI102" s="145"/>
    </row>
    <row r="103" spans="1:36" s="104" customFormat="1" ht="13.5" hidden="1" customHeight="1">
      <c r="A103" s="142"/>
      <c r="L103" s="143"/>
      <c r="N103" s="144"/>
      <c r="P103" s="142"/>
      <c r="Z103" s="144"/>
      <c r="AB103" s="145"/>
      <c r="AC103" s="145"/>
      <c r="AD103" s="145"/>
      <c r="AE103" s="145"/>
      <c r="AF103" s="145"/>
      <c r="AG103" s="145"/>
      <c r="AH103" s="145"/>
      <c r="AI103" s="145"/>
    </row>
    <row r="104" spans="1:36" s="104" customFormat="1" ht="13.5" hidden="1" customHeight="1">
      <c r="A104" s="142"/>
      <c r="L104" s="143"/>
      <c r="N104" s="144"/>
      <c r="P104" s="142"/>
      <c r="Z104" s="144"/>
      <c r="AB104" s="145"/>
      <c r="AC104" s="145"/>
      <c r="AD104" s="145"/>
      <c r="AE104" s="145"/>
      <c r="AF104" s="145"/>
      <c r="AG104" s="145"/>
      <c r="AH104" s="145"/>
      <c r="AI104" s="145"/>
    </row>
    <row r="105" spans="1:36" s="104" customFormat="1" ht="13.5" hidden="1" customHeight="1">
      <c r="A105" s="142"/>
      <c r="L105" s="143"/>
      <c r="N105" s="144"/>
      <c r="P105" s="142"/>
      <c r="Z105" s="144"/>
      <c r="AB105" s="145"/>
      <c r="AC105" s="145"/>
      <c r="AD105" s="145"/>
      <c r="AE105" s="145"/>
      <c r="AF105" s="145"/>
      <c r="AG105" s="145"/>
      <c r="AH105" s="145"/>
      <c r="AI105" s="145"/>
    </row>
    <row r="106" spans="1:36" s="104" customFormat="1" ht="13.5" hidden="1" customHeight="1">
      <c r="A106" s="142"/>
      <c r="L106" s="143"/>
      <c r="N106" s="144"/>
      <c r="P106" s="142"/>
      <c r="Z106" s="144"/>
      <c r="AB106" s="145"/>
      <c r="AC106" s="145"/>
      <c r="AD106" s="145"/>
      <c r="AE106" s="145"/>
      <c r="AF106" s="145"/>
      <c r="AG106" s="145"/>
      <c r="AH106" s="145"/>
      <c r="AI106" s="145"/>
    </row>
    <row r="107" spans="1:36" s="104" customFormat="1" ht="13.5" hidden="1" customHeight="1">
      <c r="A107" s="142"/>
      <c r="L107" s="143"/>
      <c r="N107" s="144"/>
      <c r="P107" s="142"/>
      <c r="Z107" s="144"/>
      <c r="AB107" s="145"/>
      <c r="AC107" s="145"/>
      <c r="AD107" s="145"/>
      <c r="AE107" s="145"/>
      <c r="AF107" s="145"/>
      <c r="AG107" s="145"/>
      <c r="AH107" s="145"/>
      <c r="AI107" s="145"/>
    </row>
    <row r="108" spans="1:36" s="104" customFormat="1" ht="13.5" hidden="1" customHeight="1">
      <c r="A108" s="142"/>
      <c r="L108" s="143"/>
      <c r="N108" s="144"/>
      <c r="P108" s="142"/>
      <c r="Z108" s="144"/>
      <c r="AB108" s="145"/>
      <c r="AC108" s="145"/>
      <c r="AD108" s="145"/>
      <c r="AE108" s="145"/>
      <c r="AF108" s="145"/>
      <c r="AG108" s="145"/>
      <c r="AH108" s="145"/>
      <c r="AI108" s="145"/>
    </row>
    <row r="109" spans="1:36" s="104" customFormat="1" ht="13.5" hidden="1" customHeight="1">
      <c r="A109" s="142"/>
      <c r="L109" s="143"/>
      <c r="N109" s="144"/>
      <c r="P109" s="142"/>
      <c r="Z109" s="144"/>
      <c r="AB109" s="145"/>
      <c r="AC109" s="145"/>
      <c r="AD109" s="145"/>
      <c r="AE109" s="145"/>
      <c r="AF109" s="145"/>
      <c r="AG109" s="145"/>
      <c r="AH109" s="145"/>
      <c r="AI109" s="145"/>
    </row>
    <row r="110" spans="1:36" s="104" customFormat="1" ht="13.5" hidden="1" customHeight="1">
      <c r="A110" s="142"/>
      <c r="L110" s="143"/>
      <c r="N110" s="144"/>
      <c r="P110" s="142"/>
      <c r="Z110" s="144"/>
      <c r="AB110" s="145"/>
      <c r="AC110" s="145"/>
      <c r="AD110" s="145"/>
      <c r="AE110" s="145"/>
      <c r="AF110" s="145"/>
      <c r="AG110" s="145"/>
      <c r="AH110" s="145"/>
      <c r="AI110" s="145"/>
    </row>
    <row r="111" spans="1:36" s="104" customFormat="1" ht="13.5" hidden="1" customHeight="1">
      <c r="A111" s="142"/>
      <c r="L111" s="143"/>
      <c r="N111" s="144"/>
      <c r="P111" s="142"/>
      <c r="Z111" s="144"/>
      <c r="AB111" s="145"/>
      <c r="AC111" s="145"/>
      <c r="AD111" s="145"/>
      <c r="AE111" s="145"/>
      <c r="AF111" s="145"/>
      <c r="AG111" s="145"/>
      <c r="AH111" s="145"/>
      <c r="AI111" s="145"/>
    </row>
    <row r="112" spans="1:36" s="104" customFormat="1" ht="13.5" hidden="1" customHeight="1">
      <c r="A112" s="103"/>
      <c r="B112" s="94"/>
      <c r="C112" s="94"/>
      <c r="D112" s="94"/>
      <c r="E112" s="94"/>
      <c r="F112" s="94"/>
      <c r="H112" s="94"/>
      <c r="I112" s="94"/>
      <c r="J112" s="94"/>
      <c r="K112" s="94"/>
      <c r="L112" s="151"/>
      <c r="M112" s="94"/>
      <c r="N112" s="152"/>
      <c r="O112" s="94"/>
      <c r="P112" s="103"/>
      <c r="Q112" s="94"/>
      <c r="R112" s="94"/>
      <c r="S112" s="94"/>
      <c r="T112" s="94"/>
      <c r="U112" s="94"/>
      <c r="V112" s="94"/>
      <c r="W112" s="94"/>
      <c r="X112" s="94"/>
      <c r="Y112" s="94"/>
      <c r="Z112" s="152"/>
      <c r="AA112" s="94"/>
      <c r="AB112" s="7"/>
      <c r="AC112" s="7"/>
      <c r="AD112" s="7"/>
      <c r="AE112" s="7"/>
      <c r="AF112" s="7"/>
      <c r="AG112" s="7"/>
      <c r="AH112" s="7"/>
      <c r="AI112" s="7"/>
      <c r="AJ112" s="94"/>
    </row>
    <row r="113" spans="1:36" s="104" customFormat="1" ht="13.5" hidden="1" customHeight="1">
      <c r="A113" s="103"/>
      <c r="B113" s="94"/>
      <c r="C113" s="94"/>
      <c r="D113" s="94"/>
      <c r="E113" s="94"/>
      <c r="F113" s="94"/>
      <c r="H113" s="94"/>
      <c r="I113" s="94"/>
      <c r="J113" s="94"/>
      <c r="K113" s="94"/>
      <c r="L113" s="151"/>
      <c r="M113" s="94"/>
      <c r="N113" s="152"/>
      <c r="O113" s="94"/>
      <c r="P113" s="103"/>
      <c r="Q113" s="94"/>
      <c r="R113" s="94"/>
      <c r="S113" s="94"/>
      <c r="T113" s="94"/>
      <c r="U113" s="94"/>
      <c r="V113" s="94"/>
      <c r="W113" s="94"/>
      <c r="X113" s="94"/>
      <c r="Y113" s="94"/>
      <c r="Z113" s="152"/>
      <c r="AA113" s="94"/>
      <c r="AB113" s="7"/>
      <c r="AC113" s="7"/>
      <c r="AD113" s="7"/>
      <c r="AE113" s="7"/>
      <c r="AF113" s="7"/>
      <c r="AG113" s="7"/>
      <c r="AH113" s="7"/>
      <c r="AI113" s="7"/>
      <c r="AJ113" s="94"/>
    </row>
    <row r="114" spans="1:36" s="104" customFormat="1" ht="13.5" hidden="1" customHeight="1">
      <c r="A114" s="103"/>
      <c r="B114" s="94"/>
      <c r="C114" s="94"/>
      <c r="D114" s="94"/>
      <c r="E114" s="94"/>
      <c r="F114" s="94"/>
      <c r="H114" s="94"/>
      <c r="I114" s="94"/>
      <c r="J114" s="94"/>
      <c r="K114" s="94"/>
      <c r="L114" s="151"/>
      <c r="M114" s="94"/>
      <c r="N114" s="152"/>
      <c r="O114" s="94"/>
      <c r="P114" s="103"/>
      <c r="Q114" s="94"/>
      <c r="R114" s="94"/>
      <c r="S114" s="94"/>
      <c r="T114" s="94"/>
      <c r="U114" s="94"/>
      <c r="V114" s="94"/>
      <c r="W114" s="94"/>
      <c r="X114" s="94"/>
      <c r="Y114" s="94"/>
      <c r="Z114" s="152"/>
      <c r="AA114" s="94"/>
      <c r="AB114" s="7"/>
      <c r="AC114" s="7"/>
      <c r="AD114" s="7"/>
      <c r="AE114" s="7"/>
      <c r="AF114" s="7"/>
      <c r="AG114" s="7"/>
      <c r="AH114" s="7"/>
      <c r="AI114" s="7"/>
      <c r="AJ114" s="94"/>
    </row>
    <row r="115" spans="1:36" s="104" customFormat="1" ht="13.5" hidden="1" customHeight="1">
      <c r="A115" s="103"/>
      <c r="B115" s="94"/>
      <c r="C115" s="94"/>
      <c r="D115" s="94"/>
      <c r="E115" s="94"/>
      <c r="F115" s="94"/>
      <c r="H115" s="94"/>
      <c r="I115" s="94"/>
      <c r="J115" s="94"/>
      <c r="K115" s="94"/>
      <c r="L115" s="151"/>
      <c r="M115" s="94"/>
      <c r="N115" s="152"/>
      <c r="O115" s="94"/>
      <c r="P115" s="103"/>
      <c r="Q115" s="94"/>
      <c r="R115" s="94"/>
      <c r="S115" s="94"/>
      <c r="T115" s="94"/>
      <c r="U115" s="94"/>
      <c r="V115" s="94"/>
      <c r="W115" s="94"/>
      <c r="X115" s="94"/>
      <c r="Y115" s="94"/>
      <c r="Z115" s="152"/>
      <c r="AA115" s="94"/>
      <c r="AB115" s="7"/>
      <c r="AC115" s="7"/>
      <c r="AD115" s="7"/>
      <c r="AE115" s="7"/>
      <c r="AF115" s="7"/>
      <c r="AG115" s="7"/>
      <c r="AH115" s="7"/>
      <c r="AI115" s="7"/>
      <c r="AJ115" s="94"/>
    </row>
    <row r="116" spans="1:36" s="104" customFormat="1" ht="13.5" hidden="1" customHeight="1">
      <c r="A116" s="103"/>
      <c r="B116" s="94"/>
      <c r="C116" s="94"/>
      <c r="D116" s="94"/>
      <c r="E116" s="94"/>
      <c r="F116" s="94"/>
      <c r="H116" s="94"/>
      <c r="I116" s="94"/>
      <c r="J116" s="94"/>
      <c r="K116" s="94"/>
      <c r="L116" s="151"/>
      <c r="M116" s="94"/>
      <c r="N116" s="152"/>
      <c r="O116" s="94"/>
      <c r="P116" s="103"/>
      <c r="Q116" s="94"/>
      <c r="R116" s="94"/>
      <c r="S116" s="94"/>
      <c r="T116" s="94"/>
      <c r="U116" s="94"/>
      <c r="V116" s="94"/>
      <c r="W116" s="94"/>
      <c r="X116" s="94"/>
      <c r="Y116" s="94"/>
      <c r="Z116" s="152"/>
      <c r="AA116" s="94"/>
      <c r="AB116" s="7"/>
      <c r="AC116" s="7"/>
      <c r="AD116" s="7"/>
      <c r="AE116" s="7"/>
      <c r="AF116" s="7"/>
      <c r="AG116" s="7"/>
      <c r="AH116" s="7"/>
      <c r="AI116" s="7"/>
      <c r="AJ116" s="94"/>
    </row>
    <row r="117" spans="1:36" ht="13.5" hidden="1" customHeight="1"/>
    <row r="118" spans="1:36" ht="13.5" hidden="1" customHeight="1"/>
    <row r="119" spans="1:36" ht="13.5" hidden="1" customHeight="1"/>
    <row r="120" spans="1:36" ht="13.5" hidden="1" customHeight="1"/>
    <row r="121" spans="1:36" ht="13.5" hidden="1" customHeight="1"/>
    <row r="122" spans="1:36" ht="13.5" hidden="1" customHeight="1"/>
    <row r="123" spans="1:36" ht="13.5" hidden="1" customHeight="1"/>
    <row r="124" spans="1:36" ht="13.5" hidden="1" customHeight="1"/>
    <row r="125" spans="1:36" ht="13.5" hidden="1" customHeight="1"/>
    <row r="126" spans="1:36" ht="13.5" hidden="1" customHeight="1"/>
    <row r="127" spans="1:36" ht="13.5" hidden="1" customHeight="1"/>
    <row r="128" spans="1:36" ht="13.5" hidden="1" customHeight="1"/>
    <row r="129" ht="13.5" hidden="1" customHeight="1"/>
    <row r="130" ht="13.5" hidden="1" customHeight="1"/>
    <row r="131" ht="13.5" hidden="1" customHeight="1"/>
    <row r="132" ht="13.5" hidden="1" customHeight="1"/>
    <row r="133" ht="13.5" hidden="1" customHeight="1"/>
    <row r="134" ht="13.5" hidden="1" customHeight="1"/>
    <row r="135" ht="13.5" hidden="1" customHeight="1"/>
    <row r="136" ht="13.5" hidden="1" customHeight="1"/>
    <row r="137" ht="13.5" hidden="1" customHeight="1"/>
    <row r="138" ht="13.5" hidden="1" customHeight="1"/>
    <row r="139" ht="13.5" hidden="1" customHeight="1"/>
    <row r="140" ht="13.5" hidden="1" customHeight="1"/>
    <row r="141" ht="13.5" hidden="1" customHeight="1"/>
    <row r="142" ht="13.5" hidden="1" customHeight="1"/>
    <row r="143" ht="13.5" hidden="1" customHeight="1"/>
    <row r="144" ht="13.5" hidden="1" customHeight="1"/>
    <row r="145" ht="13.5" hidden="1" customHeight="1"/>
    <row r="146" ht="13.5" hidden="1" customHeight="1"/>
    <row r="147" ht="13.5" hidden="1" customHeight="1"/>
    <row r="148" ht="13.5" hidden="1" customHeight="1"/>
    <row r="149" ht="13.5" hidden="1" customHeight="1"/>
    <row r="150" ht="13.5" hidden="1" customHeight="1"/>
    <row r="151" ht="13.5" hidden="1" customHeight="1"/>
    <row r="152" ht="13.5" hidden="1" customHeight="1"/>
    <row r="153" ht="13.5" hidden="1" customHeight="1"/>
    <row r="154" ht="13.5" hidden="1" customHeight="1"/>
    <row r="155" ht="13.5" hidden="1" customHeight="1"/>
    <row r="156" ht="13.5" hidden="1" customHeight="1"/>
    <row r="157" ht="13.5" hidden="1" customHeight="1"/>
    <row r="158" ht="13.5" hidden="1" customHeight="1"/>
    <row r="159" ht="13.5" hidden="1" customHeight="1"/>
    <row r="160" ht="13.5" hidden="1" customHeight="1"/>
    <row r="161" ht="13.5" hidden="1" customHeight="1"/>
    <row r="162" ht="13.5" hidden="1" customHeight="1"/>
    <row r="163" ht="13.5" hidden="1" customHeight="1"/>
    <row r="164" ht="13.5" hidden="1" customHeight="1"/>
    <row r="165" ht="13.5" hidden="1" customHeight="1"/>
    <row r="166" ht="13.5" hidden="1" customHeight="1"/>
    <row r="167" ht="13.5" hidden="1" customHeight="1"/>
    <row r="168" ht="13.5" hidden="1" customHeight="1"/>
    <row r="169" ht="13.5" hidden="1" customHeight="1"/>
    <row r="170" ht="13.5" hidden="1" customHeight="1"/>
    <row r="171" ht="13.5" hidden="1" customHeight="1"/>
    <row r="172" ht="13.5" hidden="1" customHeight="1"/>
    <row r="173" ht="13.5" hidden="1" customHeight="1"/>
    <row r="174" ht="13.5" hidden="1" customHeight="1"/>
    <row r="175" ht="13.5" hidden="1" customHeight="1"/>
    <row r="176" ht="13.5" hidden="1" customHeight="1"/>
    <row r="177" ht="13.5" hidden="1" customHeight="1"/>
    <row r="178" ht="13.5" hidden="1" customHeight="1"/>
    <row r="179" ht="13.5" hidden="1" customHeight="1"/>
    <row r="180" ht="13.5" hidden="1" customHeight="1"/>
    <row r="181" ht="13.5" hidden="1" customHeight="1"/>
    <row r="182" ht="13.5" hidden="1" customHeight="1"/>
    <row r="183" ht="13.5" hidden="1" customHeight="1"/>
    <row r="184" ht="13.5" hidden="1" customHeight="1"/>
    <row r="185" ht="13.5" hidden="1" customHeight="1"/>
    <row r="186" ht="13.5" hidden="1" customHeight="1"/>
    <row r="187" ht="13.5" hidden="1" customHeight="1"/>
    <row r="188" ht="13.5" hidden="1" customHeight="1"/>
    <row r="189" ht="13.5" hidden="1" customHeight="1"/>
    <row r="190" ht="13.5" hidden="1" customHeight="1"/>
    <row r="191" ht="13.5" hidden="1" customHeight="1"/>
    <row r="192" ht="13.5" hidden="1" customHeight="1"/>
    <row r="193" ht="13.5" hidden="1" customHeight="1"/>
    <row r="194" ht="13.5" hidden="1" customHeight="1"/>
    <row r="195" ht="13.5" hidden="1" customHeight="1"/>
    <row r="196" ht="13.5" hidden="1" customHeight="1"/>
    <row r="197" ht="13.5" hidden="1" customHeight="1"/>
    <row r="198" ht="13.5" hidden="1" customHeight="1"/>
    <row r="199" ht="13.5" hidden="1" customHeight="1"/>
    <row r="200" ht="13.5" hidden="1" customHeight="1"/>
    <row r="201" ht="13.5" hidden="1" customHeight="1"/>
    <row r="202" ht="13.5" hidden="1" customHeight="1"/>
    <row r="203" ht="13.5" hidden="1" customHeight="1"/>
    <row r="204" ht="13.5" hidden="1" customHeight="1"/>
    <row r="205" ht="13.5" hidden="1" customHeight="1"/>
    <row r="206" ht="13.5" hidden="1" customHeight="1"/>
    <row r="207" ht="13.5" hidden="1" customHeight="1"/>
    <row r="208" ht="13.5" hidden="1" customHeight="1"/>
    <row r="209" ht="13.5" hidden="1" customHeight="1"/>
    <row r="210" ht="13.5" hidden="1" customHeight="1"/>
    <row r="211" ht="13.5" hidden="1" customHeight="1"/>
    <row r="212" ht="13.5" hidden="1" customHeight="1"/>
    <row r="213" ht="13.5" hidden="1" customHeight="1"/>
    <row r="214" ht="13.5" hidden="1" customHeight="1"/>
    <row r="215" ht="13.5" hidden="1" customHeight="1"/>
    <row r="216" ht="13.5" hidden="1" customHeight="1"/>
    <row r="217" ht="13.5" hidden="1" customHeight="1"/>
    <row r="218" ht="13.5" hidden="1" customHeight="1"/>
    <row r="219" ht="13.5" hidden="1" customHeight="1"/>
    <row r="220" ht="13.5" hidden="1" customHeight="1"/>
    <row r="221" ht="13.5" hidden="1" customHeight="1"/>
    <row r="222" ht="13.5" hidden="1" customHeight="1"/>
    <row r="223" ht="13.5" hidden="1" customHeight="1"/>
    <row r="224" ht="13.5" hidden="1" customHeight="1"/>
    <row r="225" ht="13.5" hidden="1" customHeight="1"/>
    <row r="226" ht="13.5" hidden="1" customHeight="1"/>
    <row r="227" ht="13.5" hidden="1" customHeight="1"/>
    <row r="228" ht="13.5" hidden="1" customHeight="1"/>
    <row r="229" ht="13.5" hidden="1" customHeight="1"/>
    <row r="230" ht="13.5" hidden="1" customHeight="1"/>
    <row r="231" ht="13.5" hidden="1" customHeight="1"/>
    <row r="232" ht="13.5" hidden="1" customHeight="1"/>
    <row r="233" ht="13.5" hidden="1" customHeight="1"/>
    <row r="234" ht="13.5" hidden="1" customHeight="1"/>
    <row r="235" ht="13.5" hidden="1" customHeight="1"/>
    <row r="236" ht="13.5" hidden="1" customHeight="1"/>
    <row r="237" ht="13.5" hidden="1" customHeight="1"/>
    <row r="238" ht="13.5" hidden="1" customHeight="1"/>
    <row r="239" ht="13.5" hidden="1" customHeight="1"/>
    <row r="240" ht="13.5" hidden="1" customHeight="1"/>
    <row r="241" ht="13.5" hidden="1" customHeight="1"/>
    <row r="242" ht="13.5" hidden="1" customHeight="1"/>
    <row r="243" ht="13.5" hidden="1" customHeight="1"/>
    <row r="244" ht="13.5" hidden="1" customHeight="1"/>
    <row r="245" ht="13.5" hidden="1" customHeight="1"/>
    <row r="246" ht="13.5" hidden="1" customHeight="1"/>
    <row r="247" ht="13.5" hidden="1" customHeight="1"/>
    <row r="248" ht="13.5" hidden="1" customHeight="1"/>
    <row r="249" ht="13.5" hidden="1" customHeight="1"/>
    <row r="250" ht="13.5" hidden="1" customHeight="1"/>
    <row r="251" ht="13.5" hidden="1" customHeight="1"/>
    <row r="252" ht="13.5" hidden="1" customHeight="1"/>
    <row r="253" ht="13.5" hidden="1" customHeight="1"/>
    <row r="254" ht="13.5" hidden="1" customHeight="1"/>
    <row r="255" ht="13.5" hidden="1" customHeight="1"/>
    <row r="256" ht="13.5" hidden="1" customHeight="1"/>
    <row r="257" ht="13.5" hidden="1" customHeight="1"/>
    <row r="258" ht="13.5" hidden="1" customHeight="1"/>
    <row r="259" ht="13.5" hidden="1" customHeight="1"/>
    <row r="260" ht="13.5" hidden="1" customHeight="1"/>
    <row r="261" ht="13.5" hidden="1" customHeight="1"/>
    <row r="262" ht="13.5" hidden="1" customHeight="1"/>
    <row r="263" ht="13.5" hidden="1" customHeight="1"/>
    <row r="264" ht="13.5" hidden="1" customHeight="1"/>
    <row r="265" ht="13.5" hidden="1" customHeight="1"/>
    <row r="266" ht="13.5" hidden="1" customHeight="1"/>
    <row r="267" ht="13.5" hidden="1" customHeight="1"/>
    <row r="268" ht="13.5" hidden="1" customHeight="1"/>
    <row r="269" ht="13.5" hidden="1" customHeight="1"/>
    <row r="270" ht="13.5" hidden="1" customHeight="1"/>
    <row r="271" ht="13.5" hidden="1" customHeight="1"/>
    <row r="272" ht="13.5" hidden="1" customHeight="1"/>
    <row r="273" ht="13.5" hidden="1" customHeight="1"/>
    <row r="274" ht="13.5" hidden="1" customHeight="1"/>
    <row r="275" ht="13.5" hidden="1" customHeight="1"/>
    <row r="276" ht="13.5" hidden="1" customHeight="1"/>
    <row r="277" ht="13.5" hidden="1" customHeight="1"/>
    <row r="278" ht="13.5" hidden="1" customHeight="1"/>
    <row r="279" ht="13.5" hidden="1" customHeight="1"/>
    <row r="280" ht="13.5" hidden="1" customHeight="1"/>
    <row r="281" ht="13.5" hidden="1" customHeight="1"/>
    <row r="282" ht="13.5" hidden="1" customHeight="1"/>
    <row r="283" ht="13.5" hidden="1" customHeight="1"/>
    <row r="284" ht="13.5" hidden="1" customHeight="1"/>
    <row r="285" ht="13.5" hidden="1" customHeight="1"/>
    <row r="286" ht="13.5" hidden="1" customHeight="1"/>
    <row r="287" ht="13.5" hidden="1" customHeight="1"/>
    <row r="288" ht="13.5" hidden="1" customHeight="1"/>
    <row r="289" ht="13.5" hidden="1" customHeight="1"/>
    <row r="290" ht="13.5" hidden="1" customHeight="1"/>
    <row r="291" ht="13.5" hidden="1" customHeight="1"/>
    <row r="292" ht="13.5" hidden="1" customHeight="1"/>
    <row r="293" ht="13.5" hidden="1" customHeight="1"/>
    <row r="294" ht="13.5" hidden="1" customHeight="1"/>
    <row r="295" ht="13.5" hidden="1" customHeight="1"/>
    <row r="296" ht="13.5" hidden="1" customHeight="1"/>
    <row r="297" ht="13.5" hidden="1" customHeight="1"/>
    <row r="298" ht="13.5" hidden="1" customHeight="1"/>
    <row r="299" ht="13.5" hidden="1" customHeight="1"/>
    <row r="300" ht="13.5" hidden="1" customHeight="1"/>
    <row r="301" ht="13.5" hidden="1" customHeight="1"/>
    <row r="302" ht="13.5" hidden="1" customHeight="1"/>
    <row r="303" ht="13.5" hidden="1" customHeight="1"/>
    <row r="304" ht="13.5" hidden="1" customHeight="1"/>
    <row r="305" ht="13.5" hidden="1" customHeight="1"/>
    <row r="306" ht="13.5" hidden="1" customHeight="1"/>
    <row r="307" ht="13.5" hidden="1" customHeight="1"/>
    <row r="308" ht="13.5" hidden="1" customHeight="1"/>
    <row r="309" ht="13.5" hidden="1" customHeight="1"/>
    <row r="310" ht="13.5" hidden="1" customHeight="1"/>
    <row r="311" ht="13.5" hidden="1" customHeight="1"/>
    <row r="312" ht="13.5" hidden="1" customHeight="1"/>
    <row r="313" ht="13.5" hidden="1" customHeight="1"/>
    <row r="314" ht="13.5" hidden="1" customHeight="1"/>
    <row r="315" ht="13.5" hidden="1" customHeight="1"/>
    <row r="316" ht="13.5" hidden="1" customHeight="1"/>
    <row r="317" ht="13.5" hidden="1" customHeight="1"/>
    <row r="318" ht="13.5" hidden="1" customHeight="1"/>
    <row r="319" ht="13.5" hidden="1" customHeight="1"/>
    <row r="320" ht="13.5" hidden="1" customHeight="1"/>
  </sheetData>
  <phoneticPr fontId="0" type="noConversion"/>
  <pageMargins left="0.75" right="0.75" top="1" bottom="1" header="0.4921259845" footer="0.4921259845"/>
  <pageSetup paperSize="9" scale="60" orientation="landscape" horizontalDpi="4294967292" verticalDpi="4294967292" r:id="rId1"/>
  <headerFooter alignWithMargins="0">
    <oddFooter>&amp;LLe &amp;D&amp;CProfilés &amp;A du &amp;F&amp;RPage &amp;P sur &amp;N</oddFooter>
  </headerFooter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M318"/>
  <sheetViews>
    <sheetView topLeftCell="A4" workbookViewId="0">
      <selection activeCell="C8" sqref="C8"/>
    </sheetView>
  </sheetViews>
  <sheetFormatPr defaultColWidth="0" defaultRowHeight="12" zeroHeight="1"/>
  <cols>
    <col min="1" max="1" width="14.28515625" style="127" customWidth="1"/>
    <col min="2" max="2" width="5.85546875" style="115" customWidth="1"/>
    <col min="3" max="4" width="5.7109375" style="115" customWidth="1"/>
    <col min="5" max="5" width="5" style="115" customWidth="1"/>
    <col min="6" max="7" width="4.7109375" style="115" customWidth="1"/>
    <col min="8" max="8" width="6" style="115" customWidth="1"/>
    <col min="9" max="9" width="5.7109375" style="115" customWidth="1"/>
    <col min="10" max="10" width="5.28515625" style="115" customWidth="1"/>
    <col min="11" max="11" width="5.140625" style="115" customWidth="1"/>
    <col min="12" max="12" width="6.28515625" style="128" customWidth="1"/>
    <col min="13" max="13" width="5.28515625" style="115" customWidth="1"/>
    <col min="14" max="14" width="6" style="115" customWidth="1"/>
    <col min="15" max="15" width="5.7109375" style="115" customWidth="1"/>
    <col min="16" max="16" width="13.28515625" style="127" customWidth="1"/>
    <col min="17" max="17" width="5.7109375" style="113" customWidth="1"/>
    <col min="18" max="18" width="5.28515625" style="115" customWidth="1"/>
    <col min="19" max="20" width="5.7109375" style="115" customWidth="1"/>
    <col min="21" max="21" width="5" style="115" customWidth="1"/>
    <col min="22" max="22" width="5.140625" style="115" customWidth="1"/>
    <col min="23" max="24" width="5.42578125" style="115" customWidth="1"/>
    <col min="25" max="25" width="5.7109375" style="115" customWidth="1"/>
    <col min="26" max="26" width="4.140625" style="115" customWidth="1"/>
    <col min="27" max="28" width="5.7109375" style="115" customWidth="1"/>
    <col min="29" max="29" width="6.140625" style="115" customWidth="1"/>
    <col min="30" max="35" width="3.28515625" style="115" customWidth="1"/>
    <col min="36" max="36" width="2.42578125" style="115" customWidth="1"/>
    <col min="37" max="16384" width="10.85546875" style="115" hidden="1"/>
  </cols>
  <sheetData>
    <row r="1" spans="1:36" s="447" customFormat="1">
      <c r="A1" s="446"/>
      <c r="L1" s="448"/>
      <c r="P1" s="446"/>
      <c r="Q1" s="449"/>
    </row>
    <row r="2" spans="1:36">
      <c r="A2" s="446"/>
      <c r="B2" s="447"/>
      <c r="C2" s="447"/>
      <c r="D2" s="447"/>
      <c r="E2" s="447"/>
      <c r="F2" s="447"/>
      <c r="G2" s="447"/>
      <c r="H2" s="447"/>
      <c r="I2" s="447"/>
      <c r="J2" s="447"/>
      <c r="K2" s="447"/>
      <c r="L2" s="448"/>
      <c r="M2" s="447"/>
      <c r="N2" s="447"/>
      <c r="O2" s="447"/>
      <c r="P2" s="446"/>
      <c r="Q2" s="449"/>
      <c r="R2" s="447"/>
      <c r="S2" s="447"/>
      <c r="T2" s="447"/>
      <c r="U2" s="447"/>
      <c r="V2" s="447"/>
      <c r="W2" s="447"/>
      <c r="X2" s="447"/>
      <c r="Y2" s="447"/>
      <c r="Z2" s="447"/>
      <c r="AA2" s="447"/>
      <c r="AB2" s="447"/>
      <c r="AC2" s="447"/>
      <c r="AD2" s="447"/>
      <c r="AE2" s="447"/>
      <c r="AF2" s="447"/>
      <c r="AG2" s="447"/>
      <c r="AH2" s="447"/>
      <c r="AI2" s="447"/>
      <c r="AJ2" s="447"/>
    </row>
    <row r="3" spans="1:36">
      <c r="A3" s="446"/>
      <c r="B3" s="447"/>
      <c r="C3" s="447"/>
      <c r="D3" s="447"/>
      <c r="E3" s="447"/>
      <c r="F3" s="447"/>
      <c r="G3" s="447"/>
      <c r="H3" s="447"/>
      <c r="I3" s="447"/>
      <c r="J3" s="447"/>
      <c r="K3" s="447"/>
      <c r="L3" s="448"/>
      <c r="M3" s="447"/>
      <c r="N3" s="447"/>
      <c r="O3" s="447"/>
      <c r="P3" s="446"/>
      <c r="Q3" s="449"/>
      <c r="R3" s="447"/>
      <c r="S3" s="447"/>
      <c r="T3" s="447"/>
      <c r="U3" s="447"/>
      <c r="V3" s="447"/>
      <c r="W3" s="447"/>
      <c r="X3" s="447"/>
      <c r="Y3" s="447"/>
      <c r="Z3" s="447"/>
      <c r="AA3" s="447"/>
      <c r="AB3" s="447"/>
      <c r="AC3" s="447"/>
      <c r="AD3" s="447"/>
      <c r="AE3" s="447"/>
      <c r="AF3" s="447"/>
      <c r="AG3" s="447"/>
      <c r="AH3" s="447"/>
      <c r="AI3" s="447"/>
      <c r="AJ3" s="447"/>
    </row>
    <row r="4" spans="1:36" ht="20.25">
      <c r="A4" s="423" t="s">
        <v>1811</v>
      </c>
      <c r="B4" s="447"/>
      <c r="C4" s="447"/>
      <c r="D4" s="447"/>
      <c r="E4" s="447"/>
      <c r="F4" s="447"/>
      <c r="G4" s="447"/>
      <c r="H4" s="447"/>
      <c r="I4" s="447"/>
      <c r="J4" s="447"/>
      <c r="K4" s="447"/>
      <c r="L4" s="448"/>
      <c r="M4" s="447"/>
      <c r="N4" s="447"/>
      <c r="O4" s="447"/>
      <c r="P4" s="446"/>
      <c r="Q4" s="449"/>
      <c r="R4" s="447"/>
      <c r="S4" s="447"/>
      <c r="T4" s="447"/>
      <c r="U4" s="447"/>
      <c r="V4" s="447"/>
      <c r="W4" s="447"/>
      <c r="X4" s="447"/>
      <c r="Y4" s="447"/>
      <c r="Z4" s="447"/>
      <c r="AA4" s="447"/>
      <c r="AB4" s="447"/>
      <c r="AC4" s="447"/>
      <c r="AD4" s="447"/>
      <c r="AE4" s="447"/>
      <c r="AF4" s="447"/>
      <c r="AG4" s="447"/>
      <c r="AH4" s="447"/>
      <c r="AI4" s="447"/>
      <c r="AJ4" s="447"/>
    </row>
    <row r="5" spans="1:36" ht="20.25">
      <c r="A5" s="423" t="s">
        <v>1861</v>
      </c>
      <c r="B5" s="447"/>
      <c r="C5" s="447"/>
      <c r="D5" s="447"/>
      <c r="E5" s="447"/>
      <c r="F5" s="447"/>
      <c r="G5" s="447"/>
      <c r="H5" s="447"/>
      <c r="I5" s="447"/>
      <c r="J5" s="447"/>
      <c r="K5" s="447"/>
      <c r="L5" s="448"/>
      <c r="M5" s="447"/>
      <c r="N5" s="447"/>
      <c r="O5" s="447"/>
      <c r="P5" s="446"/>
      <c r="Q5" s="449"/>
      <c r="R5" s="447"/>
      <c r="S5" s="447"/>
      <c r="T5" s="447"/>
      <c r="U5" s="447"/>
      <c r="V5" s="447"/>
      <c r="W5" s="447"/>
      <c r="X5" s="447"/>
      <c r="Y5" s="447"/>
      <c r="Z5" s="447"/>
      <c r="AA5" s="447"/>
      <c r="AB5" s="447"/>
      <c r="AC5" s="447"/>
      <c r="AD5" s="447"/>
      <c r="AE5" s="447"/>
      <c r="AF5" s="447"/>
      <c r="AG5" s="447"/>
      <c r="AH5" s="447"/>
      <c r="AI5" s="447"/>
      <c r="AJ5" s="447"/>
    </row>
    <row r="6" spans="1:36">
      <c r="A6" s="446"/>
      <c r="B6" s="447"/>
      <c r="C6" s="447"/>
      <c r="D6" s="447"/>
      <c r="E6" s="447"/>
      <c r="F6" s="447"/>
      <c r="G6" s="447"/>
      <c r="H6" s="447"/>
      <c r="I6" s="447"/>
      <c r="J6" s="447"/>
      <c r="K6" s="447"/>
      <c r="L6" s="448"/>
      <c r="M6" s="447"/>
      <c r="N6" s="447"/>
      <c r="O6" s="447"/>
      <c r="P6" s="446"/>
      <c r="Q6" s="449"/>
      <c r="R6" s="447"/>
      <c r="S6" s="447"/>
      <c r="T6" s="447"/>
      <c r="U6" s="447"/>
      <c r="V6" s="447"/>
      <c r="W6" s="447"/>
      <c r="X6" s="447"/>
      <c r="Y6" s="447"/>
      <c r="Z6" s="447"/>
      <c r="AA6" s="447"/>
      <c r="AB6" s="447"/>
      <c r="AC6" s="447"/>
      <c r="AD6" s="447"/>
      <c r="AE6" s="447"/>
      <c r="AF6" s="447"/>
      <c r="AG6" s="447"/>
      <c r="AH6" s="447"/>
      <c r="AI6" s="447"/>
      <c r="AJ6" s="447"/>
    </row>
    <row r="7" spans="1:36">
      <c r="A7" s="446"/>
      <c r="B7" s="447"/>
      <c r="C7" s="447"/>
      <c r="D7" s="447"/>
      <c r="E7" s="447"/>
      <c r="F7" s="447"/>
      <c r="G7" s="447"/>
      <c r="H7" s="447"/>
      <c r="I7" s="447"/>
      <c r="J7" s="447"/>
      <c r="K7" s="447"/>
      <c r="L7" s="448"/>
      <c r="M7" s="447"/>
      <c r="N7" s="447"/>
      <c r="O7" s="447"/>
      <c r="P7" s="446"/>
      <c r="Q7" s="449"/>
      <c r="R7" s="447"/>
      <c r="S7" s="447"/>
      <c r="T7" s="447"/>
      <c r="U7" s="447"/>
      <c r="V7" s="447"/>
      <c r="W7" s="447"/>
      <c r="X7" s="447"/>
      <c r="Y7" s="447"/>
      <c r="Z7" s="447"/>
      <c r="AA7" s="447"/>
      <c r="AB7" s="447"/>
      <c r="AC7" s="447"/>
      <c r="AD7" s="447"/>
      <c r="AE7" s="447"/>
      <c r="AF7" s="447"/>
      <c r="AG7" s="447"/>
      <c r="AH7" s="447"/>
      <c r="AI7" s="447"/>
      <c r="AJ7" s="447"/>
    </row>
    <row r="8" spans="1:36">
      <c r="A8" s="446"/>
      <c r="B8" s="447"/>
      <c r="C8" s="447"/>
      <c r="D8" s="447"/>
      <c r="E8" s="447"/>
      <c r="F8" s="447"/>
      <c r="G8" s="447"/>
      <c r="H8" s="447"/>
      <c r="I8" s="447"/>
      <c r="J8" s="447"/>
      <c r="K8" s="447"/>
      <c r="L8" s="448"/>
      <c r="M8" s="447"/>
      <c r="N8" s="447"/>
      <c r="O8" s="447"/>
      <c r="P8" s="446"/>
      <c r="Q8" s="449"/>
      <c r="R8" s="447"/>
      <c r="S8" s="447"/>
      <c r="T8" s="447"/>
      <c r="U8" s="447"/>
      <c r="V8" s="447"/>
      <c r="W8" s="447"/>
      <c r="X8" s="447"/>
      <c r="Y8" s="447"/>
      <c r="Z8" s="447"/>
      <c r="AA8" s="447"/>
      <c r="AB8" s="447"/>
      <c r="AC8" s="447"/>
      <c r="AD8" s="447"/>
      <c r="AE8" s="447"/>
      <c r="AF8" s="447"/>
      <c r="AG8" s="447"/>
      <c r="AH8" s="447"/>
      <c r="AI8" s="447"/>
      <c r="AJ8" s="447"/>
    </row>
    <row r="9" spans="1:36" s="105" customFormat="1" ht="18.75" customHeight="1">
      <c r="A9" s="106"/>
      <c r="B9" s="322"/>
      <c r="C9" s="322"/>
      <c r="D9" s="322"/>
      <c r="E9" s="321"/>
      <c r="F9" s="324"/>
      <c r="G9" s="322"/>
      <c r="H9" s="324"/>
      <c r="I9" s="322"/>
      <c r="J9" s="322"/>
      <c r="K9" s="321"/>
      <c r="L9" s="436"/>
      <c r="M9" s="437"/>
      <c r="N9" s="437"/>
      <c r="O9" s="437"/>
      <c r="P9" s="437"/>
      <c r="Q9" s="438"/>
      <c r="R9" s="437"/>
      <c r="S9" s="437"/>
      <c r="T9" s="437"/>
      <c r="U9" s="437"/>
      <c r="V9" s="437"/>
      <c r="W9" s="437"/>
      <c r="X9" s="437"/>
      <c r="Y9" s="437"/>
      <c r="Z9" s="437"/>
      <c r="AA9" s="437"/>
      <c r="AB9" s="437"/>
      <c r="AC9" s="437"/>
      <c r="AD9" s="437"/>
      <c r="AE9" s="437"/>
      <c r="AF9" s="437"/>
      <c r="AG9" s="437"/>
      <c r="AH9" s="437"/>
      <c r="AI9" s="437"/>
      <c r="AJ9" s="437"/>
    </row>
    <row r="10" spans="1:36" s="105" customFormat="1" ht="12.75" thickBot="1">
      <c r="A10" s="437"/>
      <c r="B10" s="437"/>
      <c r="C10" s="437"/>
      <c r="D10" s="437"/>
      <c r="E10" s="437"/>
      <c r="F10" s="437"/>
      <c r="G10" s="437"/>
      <c r="H10" s="437"/>
      <c r="I10" s="437"/>
      <c r="J10" s="437"/>
      <c r="K10" s="437"/>
      <c r="L10" s="436"/>
      <c r="M10" s="437"/>
      <c r="N10" s="437"/>
      <c r="O10" s="437"/>
      <c r="P10" s="437"/>
      <c r="Q10" s="438"/>
      <c r="R10" s="437"/>
      <c r="S10" s="437"/>
      <c r="T10" s="437"/>
      <c r="U10" s="437"/>
      <c r="V10" s="437"/>
      <c r="W10" s="437"/>
      <c r="X10" s="437"/>
      <c r="Y10" s="437"/>
      <c r="Z10" s="437"/>
      <c r="AA10" s="437"/>
      <c r="AB10" s="437"/>
      <c r="AC10" s="437"/>
      <c r="AD10" s="437"/>
      <c r="AE10" s="437"/>
      <c r="AF10" s="437"/>
      <c r="AG10" s="437"/>
      <c r="AH10" s="437"/>
      <c r="AI10" s="437"/>
      <c r="AJ10" s="437"/>
    </row>
    <row r="11" spans="1:36" s="105" customFormat="1" ht="13.5" thickTop="1" thickBot="1">
      <c r="A11" s="327"/>
      <c r="B11" s="328"/>
      <c r="C11" s="327"/>
      <c r="D11" s="363"/>
      <c r="E11" s="363"/>
      <c r="F11" s="363"/>
      <c r="G11" s="364"/>
      <c r="H11" s="366" t="s">
        <v>1799</v>
      </c>
      <c r="I11" s="327"/>
      <c r="J11" s="363"/>
      <c r="K11" s="363"/>
      <c r="L11" s="368"/>
      <c r="M11" s="364"/>
      <c r="N11" s="327"/>
      <c r="O11" s="364"/>
      <c r="P11" s="327"/>
      <c r="Q11" s="364"/>
      <c r="R11" s="370"/>
      <c r="S11" s="362"/>
      <c r="T11" s="362"/>
      <c r="U11" s="362"/>
      <c r="V11" s="362"/>
      <c r="W11" s="362" t="s">
        <v>1804</v>
      </c>
      <c r="X11" s="362"/>
      <c r="Y11" s="362"/>
      <c r="Z11" s="362"/>
      <c r="AA11" s="362"/>
      <c r="AB11" s="371"/>
      <c r="AC11" s="372"/>
      <c r="AD11" s="374"/>
      <c r="AE11" s="375"/>
      <c r="AF11" s="375" t="s">
        <v>1806</v>
      </c>
      <c r="AG11" s="375"/>
      <c r="AH11" s="375"/>
      <c r="AI11" s="376"/>
      <c r="AJ11" s="10" t="s">
        <v>570</v>
      </c>
    </row>
    <row r="12" spans="1:36" s="105" customFormat="1" ht="13.5" thickTop="1" thickBot="1">
      <c r="A12" s="329" t="s">
        <v>1799</v>
      </c>
      <c r="B12" s="330"/>
      <c r="C12" s="329"/>
      <c r="D12" s="360"/>
      <c r="E12" s="360" t="s">
        <v>1800</v>
      </c>
      <c r="F12" s="360"/>
      <c r="G12" s="365"/>
      <c r="H12" s="367" t="s">
        <v>1801</v>
      </c>
      <c r="I12" s="329"/>
      <c r="J12" s="360" t="s">
        <v>1802</v>
      </c>
      <c r="K12" s="360"/>
      <c r="L12" s="369"/>
      <c r="M12" s="365"/>
      <c r="N12" s="329" t="s">
        <v>1803</v>
      </c>
      <c r="O12" s="365"/>
      <c r="P12" s="329" t="s">
        <v>1799</v>
      </c>
      <c r="Q12" s="365"/>
      <c r="R12" s="370"/>
      <c r="S12" s="362" t="s">
        <v>1859</v>
      </c>
      <c r="T12" s="362"/>
      <c r="U12" s="362"/>
      <c r="V12" s="373"/>
      <c r="W12" s="370"/>
      <c r="X12" s="362" t="s">
        <v>1860</v>
      </c>
      <c r="Y12" s="362"/>
      <c r="Z12" s="373"/>
      <c r="AA12" s="331"/>
      <c r="AB12" s="332"/>
      <c r="AC12" s="333"/>
      <c r="AD12" s="377"/>
      <c r="AE12" s="378"/>
      <c r="AF12" s="378" t="s">
        <v>1807</v>
      </c>
      <c r="AG12" s="378"/>
      <c r="AH12" s="378"/>
      <c r="AI12" s="379"/>
      <c r="AJ12" s="10" t="s">
        <v>571</v>
      </c>
    </row>
    <row r="13" spans="1:36" s="105" customFormat="1" ht="20.25" thickTop="1">
      <c r="A13" s="11"/>
      <c r="B13" s="12" t="s">
        <v>572</v>
      </c>
      <c r="C13" s="13" t="s">
        <v>573</v>
      </c>
      <c r="D13" s="13" t="s">
        <v>574</v>
      </c>
      <c r="E13" s="13" t="s">
        <v>865</v>
      </c>
      <c r="F13" s="13" t="s">
        <v>866</v>
      </c>
      <c r="G13" s="12" t="s">
        <v>577</v>
      </c>
      <c r="H13" s="12" t="s">
        <v>578</v>
      </c>
      <c r="I13" s="13" t="s">
        <v>867</v>
      </c>
      <c r="J13" s="13" t="s">
        <v>580</v>
      </c>
      <c r="K13" s="13" t="s">
        <v>581</v>
      </c>
      <c r="L13" s="17" t="s">
        <v>868</v>
      </c>
      <c r="M13" s="12" t="s">
        <v>869</v>
      </c>
      <c r="N13" s="13" t="s">
        <v>870</v>
      </c>
      <c r="O13" s="13" t="s">
        <v>871</v>
      </c>
      <c r="P13" s="11"/>
      <c r="Q13" s="12" t="s">
        <v>572</v>
      </c>
      <c r="R13" s="13" t="s">
        <v>872</v>
      </c>
      <c r="S13" s="18" t="s">
        <v>587</v>
      </c>
      <c r="T13" s="18" t="s">
        <v>588</v>
      </c>
      <c r="U13" s="13" t="s">
        <v>873</v>
      </c>
      <c r="V13" s="12" t="s">
        <v>874</v>
      </c>
      <c r="W13" s="13" t="s">
        <v>875</v>
      </c>
      <c r="X13" s="18" t="s">
        <v>592</v>
      </c>
      <c r="Y13" s="18" t="s">
        <v>593</v>
      </c>
      <c r="Z13" s="12" t="s">
        <v>876</v>
      </c>
      <c r="AA13" s="13" t="s">
        <v>877</v>
      </c>
      <c r="AB13" s="13" t="s">
        <v>596</v>
      </c>
      <c r="AC13" s="16" t="s">
        <v>878</v>
      </c>
      <c r="AD13" s="374"/>
      <c r="AE13" s="375"/>
      <c r="AF13" s="376"/>
      <c r="AG13" s="374"/>
      <c r="AH13" s="375"/>
      <c r="AI13" s="376"/>
      <c r="AJ13" s="10" t="s">
        <v>598</v>
      </c>
    </row>
    <row r="14" spans="1:36" s="105" customFormat="1" ht="18.75" thickBot="1">
      <c r="A14" s="11"/>
      <c r="B14" s="12" t="s">
        <v>599</v>
      </c>
      <c r="C14" s="13" t="s">
        <v>600</v>
      </c>
      <c r="D14" s="13" t="s">
        <v>601</v>
      </c>
      <c r="E14" s="13" t="s">
        <v>601</v>
      </c>
      <c r="F14" s="13" t="s">
        <v>601</v>
      </c>
      <c r="G14" s="12" t="s">
        <v>601</v>
      </c>
      <c r="H14" s="12" t="s">
        <v>879</v>
      </c>
      <c r="I14" s="13" t="s">
        <v>601</v>
      </c>
      <c r="J14" s="13" t="s">
        <v>601</v>
      </c>
      <c r="K14" s="13"/>
      <c r="L14" s="14" t="s">
        <v>601</v>
      </c>
      <c r="M14" s="12" t="s">
        <v>601</v>
      </c>
      <c r="N14" s="13" t="s">
        <v>880</v>
      </c>
      <c r="O14" s="13" t="s">
        <v>881</v>
      </c>
      <c r="P14" s="11"/>
      <c r="Q14" s="12" t="s">
        <v>599</v>
      </c>
      <c r="R14" s="13" t="s">
        <v>882</v>
      </c>
      <c r="S14" s="13" t="s">
        <v>883</v>
      </c>
      <c r="T14" s="13" t="s">
        <v>883</v>
      </c>
      <c r="U14" s="13" t="s">
        <v>607</v>
      </c>
      <c r="V14" s="12" t="s">
        <v>884</v>
      </c>
      <c r="W14" s="13" t="s">
        <v>611</v>
      </c>
      <c r="X14" s="13" t="s">
        <v>885</v>
      </c>
      <c r="Y14" s="13" t="s">
        <v>885</v>
      </c>
      <c r="Z14" s="12" t="s">
        <v>607</v>
      </c>
      <c r="AA14" s="13" t="s">
        <v>601</v>
      </c>
      <c r="AB14" s="13" t="s">
        <v>611</v>
      </c>
      <c r="AC14" s="16" t="s">
        <v>612</v>
      </c>
      <c r="AD14" s="377"/>
      <c r="AE14" s="378" t="s">
        <v>1808</v>
      </c>
      <c r="AF14" s="379"/>
      <c r="AG14" s="377"/>
      <c r="AH14" s="378" t="s">
        <v>1809</v>
      </c>
      <c r="AI14" s="379"/>
      <c r="AJ14" s="10" t="s">
        <v>613</v>
      </c>
    </row>
    <row r="15" spans="1:36" s="105" customFormat="1" ht="13.5" thickTop="1" thickBot="1">
      <c r="A15" s="22"/>
      <c r="B15" s="23"/>
      <c r="C15" s="24"/>
      <c r="D15" s="24"/>
      <c r="E15" s="24"/>
      <c r="F15" s="24"/>
      <c r="G15" s="23"/>
      <c r="H15" s="23"/>
      <c r="I15" s="24"/>
      <c r="J15" s="24"/>
      <c r="K15" s="24"/>
      <c r="L15" s="25"/>
      <c r="M15" s="23"/>
      <c r="N15" s="24"/>
      <c r="O15" s="24"/>
      <c r="P15" s="22"/>
      <c r="Q15" s="23"/>
      <c r="R15" s="24"/>
      <c r="S15" s="24"/>
      <c r="T15" s="24"/>
      <c r="U15" s="24"/>
      <c r="V15" s="23"/>
      <c r="W15" s="24"/>
      <c r="X15" s="24"/>
      <c r="Y15" s="24"/>
      <c r="Z15" s="23"/>
      <c r="AA15" s="24"/>
      <c r="AB15" s="24"/>
      <c r="AC15" s="27"/>
      <c r="AD15" s="107">
        <v>235</v>
      </c>
      <c r="AE15" s="107">
        <v>355</v>
      </c>
      <c r="AF15" s="107">
        <v>460</v>
      </c>
      <c r="AG15" s="107">
        <v>235</v>
      </c>
      <c r="AH15" s="107">
        <v>355</v>
      </c>
      <c r="AI15" s="108">
        <v>460</v>
      </c>
      <c r="AJ15" s="10" t="s">
        <v>578</v>
      </c>
    </row>
    <row r="16" spans="1:36" s="105" customFormat="1" ht="12.75" thickTop="1">
      <c r="A16" s="30"/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1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30"/>
      <c r="AH16" s="30"/>
      <c r="AI16" s="30"/>
      <c r="AJ16" s="32" t="s">
        <v>614</v>
      </c>
    </row>
    <row r="17" spans="1:36" s="440" customFormat="1">
      <c r="A17" s="404" t="s">
        <v>886</v>
      </c>
      <c r="B17" s="405">
        <v>42.5</v>
      </c>
      <c r="C17" s="398">
        <v>200</v>
      </c>
      <c r="D17" s="398">
        <v>205</v>
      </c>
      <c r="E17" s="398">
        <v>9</v>
      </c>
      <c r="F17" s="398">
        <v>9</v>
      </c>
      <c r="G17" s="399">
        <v>10</v>
      </c>
      <c r="H17" s="407">
        <v>54.14</v>
      </c>
      <c r="I17" s="406">
        <v>182</v>
      </c>
      <c r="J17" s="406">
        <v>162</v>
      </c>
      <c r="K17" s="398" t="s">
        <v>667</v>
      </c>
      <c r="L17" s="408">
        <v>100</v>
      </c>
      <c r="M17" s="409">
        <v>106</v>
      </c>
      <c r="N17" s="411">
        <v>1.18</v>
      </c>
      <c r="O17" s="411">
        <v>27.88</v>
      </c>
      <c r="P17" s="404" t="s">
        <v>886</v>
      </c>
      <c r="Q17" s="405">
        <v>42.5</v>
      </c>
      <c r="R17" s="408">
        <v>3888</v>
      </c>
      <c r="S17" s="406">
        <v>388.8</v>
      </c>
      <c r="T17" s="406">
        <v>434.5</v>
      </c>
      <c r="U17" s="411">
        <v>8.4700000000000006</v>
      </c>
      <c r="V17" s="407">
        <v>19.850000000000001</v>
      </c>
      <c r="W17" s="408">
        <v>1294</v>
      </c>
      <c r="X17" s="406">
        <v>126.2</v>
      </c>
      <c r="Y17" s="406">
        <v>193.4</v>
      </c>
      <c r="Z17" s="407">
        <v>4.8899999999999997</v>
      </c>
      <c r="AA17" s="411">
        <v>38.72</v>
      </c>
      <c r="AB17" s="411">
        <v>17.68</v>
      </c>
      <c r="AC17" s="439">
        <v>117.9</v>
      </c>
      <c r="AD17" s="398">
        <v>3</v>
      </c>
      <c r="AE17" s="398">
        <v>3</v>
      </c>
      <c r="AF17" s="399" t="s">
        <v>616</v>
      </c>
      <c r="AG17" s="398">
        <v>3</v>
      </c>
      <c r="AH17" s="398">
        <v>3</v>
      </c>
      <c r="AI17" s="400" t="s">
        <v>616</v>
      </c>
      <c r="AJ17" s="398"/>
    </row>
    <row r="18" spans="1:36" s="105" customFormat="1">
      <c r="A18" s="33" t="s">
        <v>887</v>
      </c>
      <c r="B18" s="51">
        <v>53.5</v>
      </c>
      <c r="C18" s="21">
        <v>204</v>
      </c>
      <c r="D18" s="21">
        <v>207</v>
      </c>
      <c r="E18" s="21">
        <v>11.3</v>
      </c>
      <c r="F18" s="21">
        <v>11.3</v>
      </c>
      <c r="G18" s="43">
        <v>10</v>
      </c>
      <c r="H18" s="41">
        <v>68.14</v>
      </c>
      <c r="I18" s="36">
        <v>181.4</v>
      </c>
      <c r="J18" s="36">
        <v>161.4</v>
      </c>
      <c r="K18" s="21" t="s">
        <v>667</v>
      </c>
      <c r="L18" s="35">
        <v>104</v>
      </c>
      <c r="M18" s="38">
        <v>108</v>
      </c>
      <c r="N18" s="40">
        <v>1.2</v>
      </c>
      <c r="O18" s="40">
        <v>22.36</v>
      </c>
      <c r="P18" s="33" t="s">
        <v>887</v>
      </c>
      <c r="Q18" s="51">
        <v>53.5</v>
      </c>
      <c r="R18" s="35">
        <v>4977</v>
      </c>
      <c r="S18" s="36">
        <v>488</v>
      </c>
      <c r="T18" s="36">
        <v>551.29999999999995</v>
      </c>
      <c r="U18" s="40">
        <v>8.5500000000000007</v>
      </c>
      <c r="V18" s="41">
        <v>24.89</v>
      </c>
      <c r="W18" s="35">
        <v>1673</v>
      </c>
      <c r="X18" s="36">
        <v>161.69999999999999</v>
      </c>
      <c r="Y18" s="36">
        <v>248.6</v>
      </c>
      <c r="Z18" s="41">
        <v>4.96</v>
      </c>
      <c r="AA18" s="40">
        <v>45.62</v>
      </c>
      <c r="AB18" s="40">
        <v>34.200000000000003</v>
      </c>
      <c r="AC18" s="50">
        <v>155.1</v>
      </c>
      <c r="AD18" s="21">
        <v>1</v>
      </c>
      <c r="AE18" s="21">
        <v>3</v>
      </c>
      <c r="AF18" s="43" t="s">
        <v>616</v>
      </c>
      <c r="AG18" s="21">
        <v>1</v>
      </c>
      <c r="AH18" s="21">
        <v>3</v>
      </c>
      <c r="AI18" s="42" t="s">
        <v>616</v>
      </c>
      <c r="AJ18" s="21"/>
    </row>
    <row r="19" spans="1:36" s="45" customFormat="1" ht="13.5" customHeight="1">
      <c r="A19" s="33"/>
      <c r="B19" s="51"/>
      <c r="C19" s="21"/>
      <c r="D19" s="21"/>
      <c r="E19" s="21"/>
      <c r="F19" s="21"/>
      <c r="G19" s="43"/>
      <c r="H19" s="41"/>
      <c r="I19" s="36"/>
      <c r="J19" s="36"/>
      <c r="K19" s="21"/>
      <c r="L19" s="35"/>
      <c r="M19" s="38"/>
      <c r="N19" s="40"/>
      <c r="O19" s="40"/>
      <c r="P19" s="33"/>
      <c r="Q19" s="51"/>
      <c r="R19" s="35"/>
      <c r="S19" s="36"/>
      <c r="T19" s="36"/>
      <c r="U19" s="40"/>
      <c r="V19" s="41"/>
      <c r="W19" s="35"/>
      <c r="X19" s="36"/>
      <c r="Y19" s="36"/>
      <c r="Z19" s="41"/>
      <c r="AA19" s="40"/>
      <c r="AB19" s="109"/>
      <c r="AC19" s="50"/>
      <c r="AD19" s="21"/>
      <c r="AE19" s="21"/>
      <c r="AF19" s="43"/>
      <c r="AG19" s="21"/>
      <c r="AH19" s="21"/>
      <c r="AI19" s="42"/>
      <c r="AJ19" s="21"/>
    </row>
    <row r="20" spans="1:36" s="442" customFormat="1" ht="13.5" customHeight="1">
      <c r="A20" s="404" t="s">
        <v>888</v>
      </c>
      <c r="B20" s="405">
        <v>57.2</v>
      </c>
      <c r="C20" s="398">
        <v>210</v>
      </c>
      <c r="D20" s="398">
        <v>224.5</v>
      </c>
      <c r="E20" s="398">
        <v>11</v>
      </c>
      <c r="F20" s="398">
        <v>11</v>
      </c>
      <c r="G20" s="399">
        <v>18</v>
      </c>
      <c r="H20" s="407">
        <v>72.849999999999994</v>
      </c>
      <c r="I20" s="406">
        <v>188</v>
      </c>
      <c r="J20" s="406">
        <v>152</v>
      </c>
      <c r="K20" s="398" t="s">
        <v>667</v>
      </c>
      <c r="L20" s="408">
        <v>102</v>
      </c>
      <c r="M20" s="409">
        <v>122</v>
      </c>
      <c r="N20" s="411">
        <v>1.27</v>
      </c>
      <c r="O20" s="411">
        <v>22.12</v>
      </c>
      <c r="P20" s="404" t="s">
        <v>888</v>
      </c>
      <c r="Q20" s="405">
        <v>57.2</v>
      </c>
      <c r="R20" s="408">
        <v>5729</v>
      </c>
      <c r="S20" s="406">
        <v>545.6</v>
      </c>
      <c r="T20" s="406">
        <v>613.70000000000005</v>
      </c>
      <c r="U20" s="411">
        <v>8.8699999999999992</v>
      </c>
      <c r="V20" s="407">
        <v>28.63</v>
      </c>
      <c r="W20" s="408">
        <v>2079</v>
      </c>
      <c r="X20" s="406">
        <v>185.2</v>
      </c>
      <c r="Y20" s="406">
        <v>285.5</v>
      </c>
      <c r="Z20" s="407">
        <v>5.34</v>
      </c>
      <c r="AA20" s="411">
        <v>54.09</v>
      </c>
      <c r="AB20" s="431">
        <v>44.18</v>
      </c>
      <c r="AC20" s="441">
        <v>205.4</v>
      </c>
      <c r="AD20" s="398">
        <v>2</v>
      </c>
      <c r="AE20" s="398">
        <v>3</v>
      </c>
      <c r="AF20" s="399" t="s">
        <v>616</v>
      </c>
      <c r="AG20" s="398">
        <v>2</v>
      </c>
      <c r="AH20" s="398">
        <v>3</v>
      </c>
      <c r="AI20" s="400" t="s">
        <v>616</v>
      </c>
      <c r="AJ20" s="398"/>
    </row>
    <row r="21" spans="1:36" s="45" customFormat="1" ht="13.5" customHeight="1">
      <c r="A21" s="33"/>
      <c r="B21" s="51"/>
      <c r="C21" s="21"/>
      <c r="D21" s="21"/>
      <c r="E21" s="21"/>
      <c r="F21" s="21"/>
      <c r="G21" s="43"/>
      <c r="H21" s="51"/>
      <c r="I21" s="36"/>
      <c r="J21" s="36"/>
      <c r="K21" s="21"/>
      <c r="L21" s="35"/>
      <c r="M21" s="38"/>
      <c r="N21" s="40"/>
      <c r="O21" s="40"/>
      <c r="P21" s="33"/>
      <c r="Q21" s="51"/>
      <c r="R21" s="35"/>
      <c r="S21" s="36"/>
      <c r="T21" s="36"/>
      <c r="U21" s="40"/>
      <c r="V21" s="41"/>
      <c r="W21" s="35"/>
      <c r="X21" s="36"/>
      <c r="Y21" s="36"/>
      <c r="Z21" s="41"/>
      <c r="AA21" s="40"/>
      <c r="AB21" s="109"/>
      <c r="AC21" s="110"/>
      <c r="AD21" s="21"/>
      <c r="AE21" s="21"/>
      <c r="AF21" s="43"/>
      <c r="AG21" s="21"/>
      <c r="AH21" s="21"/>
      <c r="AI21" s="42"/>
      <c r="AJ21" s="21"/>
    </row>
    <row r="22" spans="1:36" s="45" customFormat="1" ht="13.5" customHeight="1">
      <c r="A22" s="33" t="s">
        <v>889</v>
      </c>
      <c r="B22" s="51">
        <v>75</v>
      </c>
      <c r="C22" s="21">
        <v>249</v>
      </c>
      <c r="D22" s="21">
        <v>265</v>
      </c>
      <c r="E22" s="21">
        <v>12</v>
      </c>
      <c r="F22" s="21">
        <v>12</v>
      </c>
      <c r="G22" s="43">
        <v>24</v>
      </c>
      <c r="H22" s="41">
        <v>95.54</v>
      </c>
      <c r="I22" s="36">
        <v>225</v>
      </c>
      <c r="J22" s="36">
        <v>177</v>
      </c>
      <c r="K22" s="21" t="s">
        <v>667</v>
      </c>
      <c r="L22" s="35">
        <v>116</v>
      </c>
      <c r="M22" s="38">
        <v>164</v>
      </c>
      <c r="N22" s="40">
        <v>1.49</v>
      </c>
      <c r="O22" s="40">
        <v>19.899999999999999</v>
      </c>
      <c r="P22" s="33" t="s">
        <v>889</v>
      </c>
      <c r="Q22" s="51">
        <v>75</v>
      </c>
      <c r="R22" s="35">
        <v>10650</v>
      </c>
      <c r="S22" s="36">
        <v>855.1</v>
      </c>
      <c r="T22" s="36">
        <v>958.5</v>
      </c>
      <c r="U22" s="40">
        <v>10.56</v>
      </c>
      <c r="V22" s="41">
        <v>39.14</v>
      </c>
      <c r="W22" s="35">
        <v>3733</v>
      </c>
      <c r="X22" s="36">
        <v>281.7</v>
      </c>
      <c r="Y22" s="36">
        <v>435.1</v>
      </c>
      <c r="Z22" s="41">
        <v>6.25</v>
      </c>
      <c r="AA22" s="40">
        <v>64.12</v>
      </c>
      <c r="AB22" s="109">
        <v>79.290000000000006</v>
      </c>
      <c r="AC22" s="110">
        <v>522.6</v>
      </c>
      <c r="AD22" s="21">
        <v>3</v>
      </c>
      <c r="AE22" s="21">
        <v>3</v>
      </c>
      <c r="AF22" s="43" t="s">
        <v>616</v>
      </c>
      <c r="AG22" s="21">
        <v>3</v>
      </c>
      <c r="AH22" s="21">
        <v>3</v>
      </c>
      <c r="AI22" s="42" t="s">
        <v>616</v>
      </c>
      <c r="AJ22" s="21"/>
    </row>
    <row r="23" spans="1:36" s="442" customFormat="1" ht="13.5" customHeight="1">
      <c r="A23" s="404" t="s">
        <v>890</v>
      </c>
      <c r="B23" s="405">
        <v>87.3</v>
      </c>
      <c r="C23" s="398">
        <v>253</v>
      </c>
      <c r="D23" s="398">
        <v>267</v>
      </c>
      <c r="E23" s="398">
        <v>14</v>
      </c>
      <c r="F23" s="398">
        <v>14</v>
      </c>
      <c r="G23" s="399">
        <v>24</v>
      </c>
      <c r="H23" s="405">
        <v>111.2</v>
      </c>
      <c r="I23" s="406">
        <v>225</v>
      </c>
      <c r="J23" s="406">
        <v>177</v>
      </c>
      <c r="K23" s="398" t="s">
        <v>667</v>
      </c>
      <c r="L23" s="408">
        <v>118</v>
      </c>
      <c r="M23" s="409">
        <v>166</v>
      </c>
      <c r="N23" s="411">
        <v>1.5</v>
      </c>
      <c r="O23" s="411">
        <v>17.239999999999998</v>
      </c>
      <c r="P23" s="404" t="s">
        <v>890</v>
      </c>
      <c r="Q23" s="405">
        <v>87.3</v>
      </c>
      <c r="R23" s="408">
        <v>12590</v>
      </c>
      <c r="S23" s="406">
        <v>994.9</v>
      </c>
      <c r="T23" s="408">
        <v>1124</v>
      </c>
      <c r="U23" s="411">
        <v>10.64</v>
      </c>
      <c r="V23" s="407">
        <v>45.12</v>
      </c>
      <c r="W23" s="408">
        <v>4455</v>
      </c>
      <c r="X23" s="406">
        <v>333.7</v>
      </c>
      <c r="Y23" s="406">
        <v>516.20000000000005</v>
      </c>
      <c r="Z23" s="407">
        <v>6.33</v>
      </c>
      <c r="AA23" s="411">
        <v>70.12</v>
      </c>
      <c r="AB23" s="431">
        <v>115.7</v>
      </c>
      <c r="AC23" s="441">
        <v>634.20000000000005</v>
      </c>
      <c r="AD23" s="398">
        <v>1</v>
      </c>
      <c r="AE23" s="398">
        <v>3</v>
      </c>
      <c r="AF23" s="399" t="s">
        <v>616</v>
      </c>
      <c r="AG23" s="398">
        <v>1</v>
      </c>
      <c r="AH23" s="398">
        <v>3</v>
      </c>
      <c r="AI23" s="400" t="s">
        <v>616</v>
      </c>
      <c r="AJ23" s="398"/>
    </row>
    <row r="24" spans="1:36" s="32" customFormat="1" ht="13.5" customHeight="1">
      <c r="A24" s="33"/>
      <c r="B24" s="51"/>
      <c r="C24" s="21"/>
      <c r="D24" s="21"/>
      <c r="E24" s="21"/>
      <c r="F24" s="21"/>
      <c r="G24" s="43"/>
      <c r="H24" s="51"/>
      <c r="I24" s="36"/>
      <c r="J24" s="36"/>
      <c r="K24" s="21"/>
      <c r="L24" s="35"/>
      <c r="M24" s="38"/>
      <c r="N24" s="40"/>
      <c r="O24" s="40"/>
      <c r="P24" s="33"/>
      <c r="Q24" s="51"/>
      <c r="R24" s="35"/>
      <c r="S24" s="35"/>
      <c r="T24" s="35"/>
      <c r="U24" s="40"/>
      <c r="V24" s="41"/>
      <c r="W24" s="35"/>
      <c r="X24" s="36"/>
      <c r="Y24" s="36"/>
      <c r="Z24" s="41"/>
      <c r="AA24" s="40"/>
      <c r="AB24" s="109"/>
      <c r="AC24" s="111"/>
      <c r="AD24" s="21"/>
      <c r="AE24" s="21"/>
      <c r="AF24" s="43"/>
      <c r="AG24" s="21"/>
      <c r="AH24" s="21"/>
      <c r="AI24" s="42"/>
      <c r="AJ24" s="21"/>
    </row>
    <row r="25" spans="1:36" s="443" customFormat="1" ht="13.5" customHeight="1">
      <c r="A25" s="404" t="s">
        <v>891</v>
      </c>
      <c r="B25" s="405">
        <v>78.400000000000006</v>
      </c>
      <c r="C25" s="398">
        <v>299.3</v>
      </c>
      <c r="D25" s="398">
        <v>306.39999999999998</v>
      </c>
      <c r="E25" s="398">
        <v>11</v>
      </c>
      <c r="F25" s="398">
        <v>11</v>
      </c>
      <c r="G25" s="399">
        <v>15.2</v>
      </c>
      <c r="H25" s="405">
        <v>99.9</v>
      </c>
      <c r="I25" s="406">
        <v>277.3</v>
      </c>
      <c r="J25" s="406">
        <v>246.9</v>
      </c>
      <c r="K25" s="398" t="s">
        <v>667</v>
      </c>
      <c r="L25" s="408">
        <v>102</v>
      </c>
      <c r="M25" s="409">
        <v>204</v>
      </c>
      <c r="N25" s="411">
        <v>1.78</v>
      </c>
      <c r="O25" s="411">
        <v>22.65</v>
      </c>
      <c r="P25" s="404" t="s">
        <v>891</v>
      </c>
      <c r="Q25" s="405">
        <v>78.400000000000006</v>
      </c>
      <c r="R25" s="408">
        <v>16331</v>
      </c>
      <c r="S25" s="408">
        <v>1091</v>
      </c>
      <c r="T25" s="408">
        <v>1210</v>
      </c>
      <c r="U25" s="411">
        <v>12.79</v>
      </c>
      <c r="V25" s="407">
        <v>37.04</v>
      </c>
      <c r="W25" s="408">
        <v>5278</v>
      </c>
      <c r="X25" s="406">
        <v>344.5</v>
      </c>
      <c r="Y25" s="406">
        <v>526.5</v>
      </c>
      <c r="Z25" s="407">
        <v>7.27</v>
      </c>
      <c r="AA25" s="411">
        <v>50.81</v>
      </c>
      <c r="AB25" s="431">
        <v>50.64</v>
      </c>
      <c r="AC25" s="432">
        <v>1096</v>
      </c>
      <c r="AD25" s="398">
        <v>3</v>
      </c>
      <c r="AE25" s="398">
        <v>4</v>
      </c>
      <c r="AF25" s="399" t="s">
        <v>616</v>
      </c>
      <c r="AG25" s="398">
        <v>3</v>
      </c>
      <c r="AH25" s="398">
        <v>4</v>
      </c>
      <c r="AI25" s="400" t="s">
        <v>616</v>
      </c>
      <c r="AJ25" s="398"/>
    </row>
    <row r="26" spans="1:36" s="46" customFormat="1" ht="13.5" customHeight="1">
      <c r="A26" s="33" t="s">
        <v>892</v>
      </c>
      <c r="B26" s="51">
        <v>88</v>
      </c>
      <c r="C26" s="21">
        <v>301.7</v>
      </c>
      <c r="D26" s="21">
        <v>307.8</v>
      </c>
      <c r="E26" s="21">
        <v>12.4</v>
      </c>
      <c r="F26" s="21">
        <v>12.3</v>
      </c>
      <c r="G26" s="43">
        <v>15.2</v>
      </c>
      <c r="H26" s="51">
        <v>112.1</v>
      </c>
      <c r="I26" s="36">
        <v>277.10000000000002</v>
      </c>
      <c r="J26" s="36">
        <v>246.7</v>
      </c>
      <c r="K26" s="21" t="s">
        <v>667</v>
      </c>
      <c r="L26" s="35">
        <v>104</v>
      </c>
      <c r="M26" s="38">
        <v>206</v>
      </c>
      <c r="N26" s="40">
        <v>1.78</v>
      </c>
      <c r="O26" s="40">
        <v>20.28</v>
      </c>
      <c r="P26" s="33" t="s">
        <v>892</v>
      </c>
      <c r="Q26" s="51">
        <v>88</v>
      </c>
      <c r="R26" s="35">
        <v>18420</v>
      </c>
      <c r="S26" s="35">
        <v>1221</v>
      </c>
      <c r="T26" s="35">
        <v>1360</v>
      </c>
      <c r="U26" s="40">
        <v>12.82</v>
      </c>
      <c r="V26" s="41">
        <v>41.61</v>
      </c>
      <c r="W26" s="35">
        <v>5984</v>
      </c>
      <c r="X26" s="36">
        <v>388.9</v>
      </c>
      <c r="Y26" s="36">
        <v>595.20000000000005</v>
      </c>
      <c r="Z26" s="41">
        <v>7.31</v>
      </c>
      <c r="AA26" s="40">
        <v>54.81</v>
      </c>
      <c r="AB26" s="109">
        <v>70.05</v>
      </c>
      <c r="AC26" s="111">
        <v>1252</v>
      </c>
      <c r="AD26" s="21">
        <v>3</v>
      </c>
      <c r="AE26" s="21">
        <v>4</v>
      </c>
      <c r="AF26" s="43" t="s">
        <v>616</v>
      </c>
      <c r="AG26" s="21">
        <v>3</v>
      </c>
      <c r="AH26" s="21">
        <v>4</v>
      </c>
      <c r="AI26" s="42" t="s">
        <v>616</v>
      </c>
      <c r="AJ26" s="21"/>
    </row>
    <row r="27" spans="1:36" s="443" customFormat="1" ht="13.5" customHeight="1">
      <c r="A27" s="404" t="s">
        <v>893</v>
      </c>
      <c r="B27" s="405">
        <v>94.9</v>
      </c>
      <c r="C27" s="398">
        <v>303.7</v>
      </c>
      <c r="D27" s="398">
        <v>308.7</v>
      </c>
      <c r="E27" s="398">
        <v>13.3</v>
      </c>
      <c r="F27" s="398">
        <v>13.3</v>
      </c>
      <c r="G27" s="399">
        <v>15.2</v>
      </c>
      <c r="H27" s="405">
        <v>121</v>
      </c>
      <c r="I27" s="406">
        <v>277.10000000000002</v>
      </c>
      <c r="J27" s="406">
        <v>246.7</v>
      </c>
      <c r="K27" s="398" t="s">
        <v>667</v>
      </c>
      <c r="L27" s="408">
        <v>106</v>
      </c>
      <c r="M27" s="409">
        <v>206</v>
      </c>
      <c r="N27" s="411">
        <v>1.79</v>
      </c>
      <c r="O27" s="411">
        <v>18.850000000000001</v>
      </c>
      <c r="P27" s="404" t="s">
        <v>893</v>
      </c>
      <c r="Q27" s="405">
        <v>94.9</v>
      </c>
      <c r="R27" s="408">
        <v>20040</v>
      </c>
      <c r="S27" s="408">
        <v>1320</v>
      </c>
      <c r="T27" s="408">
        <v>1474</v>
      </c>
      <c r="U27" s="411">
        <v>12.87</v>
      </c>
      <c r="V27" s="407">
        <v>44.65</v>
      </c>
      <c r="W27" s="398">
        <v>6529</v>
      </c>
      <c r="X27" s="406">
        <v>423</v>
      </c>
      <c r="Y27" s="406">
        <v>648</v>
      </c>
      <c r="Z27" s="407">
        <v>7.35</v>
      </c>
      <c r="AA27" s="411">
        <v>57.71</v>
      </c>
      <c r="AB27" s="431">
        <v>86.69</v>
      </c>
      <c r="AC27" s="432">
        <v>1375</v>
      </c>
      <c r="AD27" s="398">
        <v>3</v>
      </c>
      <c r="AE27" s="398">
        <v>3</v>
      </c>
      <c r="AF27" s="399" t="s">
        <v>616</v>
      </c>
      <c r="AG27" s="398">
        <v>3</v>
      </c>
      <c r="AH27" s="398">
        <v>3</v>
      </c>
      <c r="AI27" s="400" t="s">
        <v>616</v>
      </c>
      <c r="AJ27" s="398"/>
    </row>
    <row r="28" spans="1:36" s="46" customFormat="1" ht="13.5" customHeight="1">
      <c r="A28" s="33" t="s">
        <v>894</v>
      </c>
      <c r="B28" s="38">
        <v>110</v>
      </c>
      <c r="C28" s="21">
        <v>307.89999999999998</v>
      </c>
      <c r="D28" s="21">
        <v>310.7</v>
      </c>
      <c r="E28" s="21">
        <v>15.3</v>
      </c>
      <c r="F28" s="21">
        <v>15.4</v>
      </c>
      <c r="G28" s="43">
        <v>15.2</v>
      </c>
      <c r="H28" s="51">
        <v>140.1</v>
      </c>
      <c r="I28" s="36">
        <v>277.10000000000002</v>
      </c>
      <c r="J28" s="36">
        <v>246.7</v>
      </c>
      <c r="K28" s="21" t="s">
        <v>667</v>
      </c>
      <c r="L28" s="35">
        <v>108</v>
      </c>
      <c r="M28" s="38">
        <v>208</v>
      </c>
      <c r="N28" s="40">
        <v>1.8</v>
      </c>
      <c r="O28" s="40">
        <v>16.39</v>
      </c>
      <c r="P28" s="33" t="s">
        <v>894</v>
      </c>
      <c r="Q28" s="38">
        <v>110</v>
      </c>
      <c r="R28" s="35">
        <v>23560</v>
      </c>
      <c r="S28" s="35">
        <v>1531</v>
      </c>
      <c r="T28" s="35">
        <v>1720</v>
      </c>
      <c r="U28" s="40">
        <v>12.97</v>
      </c>
      <c r="V28" s="41">
        <v>51.42</v>
      </c>
      <c r="W28" s="21">
        <v>7709</v>
      </c>
      <c r="X28" s="36">
        <v>496.2</v>
      </c>
      <c r="Y28" s="36">
        <v>761.7</v>
      </c>
      <c r="Z28" s="41">
        <v>7.4</v>
      </c>
      <c r="AA28" s="40">
        <v>63.91</v>
      </c>
      <c r="AB28" s="109">
        <v>131.4</v>
      </c>
      <c r="AC28" s="111">
        <v>1647</v>
      </c>
      <c r="AD28" s="21">
        <v>2</v>
      </c>
      <c r="AE28" s="21">
        <v>3</v>
      </c>
      <c r="AF28" s="43">
        <v>3</v>
      </c>
      <c r="AG28" s="21">
        <v>2</v>
      </c>
      <c r="AH28" s="21">
        <v>3</v>
      </c>
      <c r="AI28" s="42">
        <v>3</v>
      </c>
      <c r="AJ28" s="21" t="s">
        <v>661</v>
      </c>
    </row>
    <row r="29" spans="1:36" s="443" customFormat="1" ht="13.5" customHeight="1">
      <c r="A29" s="404" t="s">
        <v>895</v>
      </c>
      <c r="B29" s="409">
        <v>126</v>
      </c>
      <c r="C29" s="398">
        <v>312.3</v>
      </c>
      <c r="D29" s="398">
        <v>312.89999999999998</v>
      </c>
      <c r="E29" s="398">
        <v>17.5</v>
      </c>
      <c r="F29" s="398">
        <v>17.600000000000001</v>
      </c>
      <c r="G29" s="399">
        <v>15.2</v>
      </c>
      <c r="H29" s="405">
        <v>160.6</v>
      </c>
      <c r="I29" s="406">
        <v>277.10000000000002</v>
      </c>
      <c r="J29" s="406">
        <v>246.7</v>
      </c>
      <c r="K29" s="398" t="s">
        <v>667</v>
      </c>
      <c r="L29" s="408">
        <v>110</v>
      </c>
      <c r="M29" s="409">
        <v>210</v>
      </c>
      <c r="N29" s="411">
        <v>1.82</v>
      </c>
      <c r="O29" s="411">
        <v>14.4</v>
      </c>
      <c r="P29" s="404" t="s">
        <v>895</v>
      </c>
      <c r="Q29" s="409">
        <v>126</v>
      </c>
      <c r="R29" s="408">
        <v>27410</v>
      </c>
      <c r="S29" s="408">
        <v>1755</v>
      </c>
      <c r="T29" s="408">
        <v>1986</v>
      </c>
      <c r="U29" s="411">
        <v>13.06</v>
      </c>
      <c r="V29" s="407">
        <v>58.91</v>
      </c>
      <c r="W29" s="398">
        <v>9002</v>
      </c>
      <c r="X29" s="406">
        <v>575.4</v>
      </c>
      <c r="Y29" s="406">
        <v>885.2</v>
      </c>
      <c r="Z29" s="407">
        <v>7.49</v>
      </c>
      <c r="AA29" s="411">
        <v>70.510000000000005</v>
      </c>
      <c r="AB29" s="431">
        <v>194.3</v>
      </c>
      <c r="AC29" s="432">
        <v>1951</v>
      </c>
      <c r="AD29" s="398">
        <v>1</v>
      </c>
      <c r="AE29" s="398">
        <v>2</v>
      </c>
      <c r="AF29" s="399">
        <v>3</v>
      </c>
      <c r="AG29" s="398">
        <v>1</v>
      </c>
      <c r="AH29" s="398">
        <v>2</v>
      </c>
      <c r="AI29" s="400">
        <v>3</v>
      </c>
      <c r="AJ29" s="398" t="s">
        <v>661</v>
      </c>
    </row>
    <row r="30" spans="1:36" s="46" customFormat="1" ht="13.5" customHeight="1">
      <c r="A30" s="33" t="s">
        <v>896</v>
      </c>
      <c r="B30" s="38">
        <v>149</v>
      </c>
      <c r="C30" s="21">
        <v>318.5</v>
      </c>
      <c r="D30" s="21">
        <v>316</v>
      </c>
      <c r="E30" s="21">
        <v>20.6</v>
      </c>
      <c r="F30" s="21">
        <v>20.7</v>
      </c>
      <c r="G30" s="43">
        <v>15.2</v>
      </c>
      <c r="H30" s="51">
        <v>189.9</v>
      </c>
      <c r="I30" s="36">
        <v>277.10000000000002</v>
      </c>
      <c r="J30" s="36">
        <v>246.7</v>
      </c>
      <c r="K30" s="21" t="s">
        <v>667</v>
      </c>
      <c r="L30" s="35">
        <v>114</v>
      </c>
      <c r="M30" s="38">
        <v>214</v>
      </c>
      <c r="N30" s="40">
        <v>1.83</v>
      </c>
      <c r="O30" s="40">
        <v>12.3</v>
      </c>
      <c r="P30" s="33" t="s">
        <v>896</v>
      </c>
      <c r="Q30" s="38">
        <v>149</v>
      </c>
      <c r="R30" s="35">
        <v>33070</v>
      </c>
      <c r="S30" s="35">
        <v>2076</v>
      </c>
      <c r="T30" s="35">
        <v>2370</v>
      </c>
      <c r="U30" s="40">
        <v>13.2</v>
      </c>
      <c r="V30" s="41">
        <v>69.62</v>
      </c>
      <c r="W30" s="21">
        <v>10910</v>
      </c>
      <c r="X30" s="36">
        <v>690.5</v>
      </c>
      <c r="Y30" s="35">
        <v>1066</v>
      </c>
      <c r="Z30" s="41">
        <v>7.58</v>
      </c>
      <c r="AA30" s="40">
        <v>79.81</v>
      </c>
      <c r="AB30" s="109">
        <v>314.2</v>
      </c>
      <c r="AC30" s="111">
        <v>2414</v>
      </c>
      <c r="AD30" s="21">
        <v>1</v>
      </c>
      <c r="AE30" s="21">
        <v>1</v>
      </c>
      <c r="AF30" s="43">
        <v>2</v>
      </c>
      <c r="AG30" s="21">
        <v>1</v>
      </c>
      <c r="AH30" s="21">
        <v>1</v>
      </c>
      <c r="AI30" s="42">
        <v>2</v>
      </c>
      <c r="AJ30" s="21" t="s">
        <v>661</v>
      </c>
    </row>
    <row r="31" spans="1:36" s="443" customFormat="1" ht="13.5" customHeight="1">
      <c r="A31" s="404" t="s">
        <v>897</v>
      </c>
      <c r="B31" s="409">
        <v>180</v>
      </c>
      <c r="C31" s="398">
        <v>326.7</v>
      </c>
      <c r="D31" s="398">
        <v>319.7</v>
      </c>
      <c r="E31" s="398">
        <v>24.8</v>
      </c>
      <c r="F31" s="398">
        <v>24.8</v>
      </c>
      <c r="G31" s="399">
        <v>15.2</v>
      </c>
      <c r="H31" s="405">
        <v>229.3</v>
      </c>
      <c r="I31" s="406">
        <v>277.10000000000002</v>
      </c>
      <c r="J31" s="406">
        <v>246.7</v>
      </c>
      <c r="K31" s="398" t="s">
        <v>667</v>
      </c>
      <c r="L31" s="408">
        <v>118</v>
      </c>
      <c r="M31" s="409">
        <v>218</v>
      </c>
      <c r="N31" s="411">
        <v>1.86</v>
      </c>
      <c r="O31" s="411">
        <v>10.31</v>
      </c>
      <c r="P31" s="404" t="s">
        <v>897</v>
      </c>
      <c r="Q31" s="409">
        <v>180</v>
      </c>
      <c r="R31" s="408">
        <v>40970</v>
      </c>
      <c r="S31" s="408">
        <v>2508</v>
      </c>
      <c r="T31" s="408">
        <v>2897</v>
      </c>
      <c r="U31" s="411">
        <v>13.37</v>
      </c>
      <c r="V31" s="407">
        <v>84.39</v>
      </c>
      <c r="W31" s="408">
        <v>13550</v>
      </c>
      <c r="X31" s="406">
        <v>847.4</v>
      </c>
      <c r="Y31" s="408">
        <v>1313</v>
      </c>
      <c r="Z31" s="407">
        <v>7.69</v>
      </c>
      <c r="AA31" s="411">
        <v>92.21</v>
      </c>
      <c r="AB31" s="431">
        <v>541.70000000000005</v>
      </c>
      <c r="AC31" s="444">
        <v>3077</v>
      </c>
      <c r="AD31" s="398">
        <v>1</v>
      </c>
      <c r="AE31" s="398">
        <v>1</v>
      </c>
      <c r="AF31" s="399">
        <v>1</v>
      </c>
      <c r="AG31" s="398">
        <v>1</v>
      </c>
      <c r="AH31" s="398">
        <v>1</v>
      </c>
      <c r="AI31" s="400">
        <v>1</v>
      </c>
      <c r="AJ31" s="398" t="s">
        <v>661</v>
      </c>
    </row>
    <row r="32" spans="1:36" s="46" customFormat="1" ht="13.5" customHeight="1">
      <c r="A32" s="33" t="s">
        <v>898</v>
      </c>
      <c r="B32" s="38">
        <v>186</v>
      </c>
      <c r="C32" s="21">
        <v>328.3</v>
      </c>
      <c r="D32" s="21">
        <v>320.89999999999998</v>
      </c>
      <c r="E32" s="21">
        <v>25.5</v>
      </c>
      <c r="F32" s="21">
        <v>25.6</v>
      </c>
      <c r="G32" s="43">
        <v>15.2</v>
      </c>
      <c r="H32" s="51">
        <v>236.9</v>
      </c>
      <c r="I32" s="36">
        <v>277.10000000000002</v>
      </c>
      <c r="J32" s="36">
        <v>246.7</v>
      </c>
      <c r="K32" s="21" t="s">
        <v>667</v>
      </c>
      <c r="L32" s="35">
        <v>118</v>
      </c>
      <c r="M32" s="38">
        <v>218</v>
      </c>
      <c r="N32" s="40">
        <v>1.86</v>
      </c>
      <c r="O32" s="40">
        <v>10.02</v>
      </c>
      <c r="P32" s="33" t="s">
        <v>898</v>
      </c>
      <c r="Q32" s="38">
        <v>186</v>
      </c>
      <c r="R32" s="35">
        <v>42610</v>
      </c>
      <c r="S32" s="35">
        <v>2596</v>
      </c>
      <c r="T32" s="35">
        <v>3003</v>
      </c>
      <c r="U32" s="40">
        <v>13.41</v>
      </c>
      <c r="V32" s="41">
        <v>86.95</v>
      </c>
      <c r="W32" s="35">
        <v>14140</v>
      </c>
      <c r="X32" s="36">
        <v>881.5</v>
      </c>
      <c r="Y32" s="35">
        <v>1366</v>
      </c>
      <c r="Z32" s="41">
        <v>7.73</v>
      </c>
      <c r="AA32" s="40">
        <v>94.51</v>
      </c>
      <c r="AB32" s="109">
        <v>593.70000000000005</v>
      </c>
      <c r="AC32" s="111">
        <v>3230</v>
      </c>
      <c r="AD32" s="21">
        <v>1</v>
      </c>
      <c r="AE32" s="21">
        <v>1</v>
      </c>
      <c r="AF32" s="43">
        <v>1</v>
      </c>
      <c r="AG32" s="21">
        <v>1</v>
      </c>
      <c r="AH32" s="21">
        <v>1</v>
      </c>
      <c r="AI32" s="42">
        <v>1</v>
      </c>
      <c r="AJ32" s="21" t="s">
        <v>661</v>
      </c>
    </row>
    <row r="33" spans="1:36" s="443" customFormat="1" ht="13.5" customHeight="1">
      <c r="A33" s="404" t="s">
        <v>899</v>
      </c>
      <c r="B33" s="409">
        <v>223</v>
      </c>
      <c r="C33" s="398">
        <v>337.9</v>
      </c>
      <c r="D33" s="398">
        <v>325.7</v>
      </c>
      <c r="E33" s="398">
        <v>30.3</v>
      </c>
      <c r="F33" s="398">
        <v>30.4</v>
      </c>
      <c r="G33" s="399">
        <v>15.2</v>
      </c>
      <c r="H33" s="405">
        <v>284</v>
      </c>
      <c r="I33" s="406">
        <v>277.10000000000002</v>
      </c>
      <c r="J33" s="406">
        <v>246.7</v>
      </c>
      <c r="K33" s="398" t="s">
        <v>667</v>
      </c>
      <c r="L33" s="408">
        <v>124</v>
      </c>
      <c r="M33" s="409">
        <v>220</v>
      </c>
      <c r="N33" s="411">
        <v>1.89</v>
      </c>
      <c r="O33" s="411">
        <v>8.49</v>
      </c>
      <c r="P33" s="404" t="s">
        <v>899</v>
      </c>
      <c r="Q33" s="409">
        <v>223</v>
      </c>
      <c r="R33" s="408">
        <v>52700</v>
      </c>
      <c r="S33" s="408">
        <v>3119</v>
      </c>
      <c r="T33" s="408">
        <v>3653</v>
      </c>
      <c r="U33" s="411">
        <v>13.62</v>
      </c>
      <c r="V33" s="407">
        <v>104.4</v>
      </c>
      <c r="W33" s="408">
        <v>17580</v>
      </c>
      <c r="X33" s="408">
        <v>1079</v>
      </c>
      <c r="Y33" s="408">
        <v>1680</v>
      </c>
      <c r="Z33" s="407">
        <v>7.87</v>
      </c>
      <c r="AA33" s="406">
        <v>108.9</v>
      </c>
      <c r="AB33" s="431">
        <v>998.4</v>
      </c>
      <c r="AC33" s="432">
        <v>4138</v>
      </c>
      <c r="AD33" s="398">
        <v>1</v>
      </c>
      <c r="AE33" s="398">
        <v>1</v>
      </c>
      <c r="AF33" s="399">
        <v>1</v>
      </c>
      <c r="AG33" s="398">
        <v>1</v>
      </c>
      <c r="AH33" s="398">
        <v>1</v>
      </c>
      <c r="AI33" s="400">
        <v>1</v>
      </c>
      <c r="AJ33" s="398" t="s">
        <v>661</v>
      </c>
    </row>
    <row r="34" spans="1:36" s="46" customFormat="1" ht="13.5" customHeight="1">
      <c r="A34" s="33"/>
      <c r="B34" s="38"/>
      <c r="C34" s="21"/>
      <c r="D34" s="21"/>
      <c r="E34" s="21"/>
      <c r="F34" s="21"/>
      <c r="G34" s="43"/>
      <c r="H34" s="51"/>
      <c r="I34" s="36"/>
      <c r="J34" s="36"/>
      <c r="K34" s="21"/>
      <c r="L34" s="35"/>
      <c r="M34" s="38"/>
      <c r="N34" s="40"/>
      <c r="O34" s="40"/>
      <c r="P34" s="33"/>
      <c r="Q34" s="38"/>
      <c r="R34" s="35"/>
      <c r="S34" s="35"/>
      <c r="T34" s="35"/>
      <c r="U34" s="40"/>
      <c r="V34" s="41"/>
      <c r="W34" s="35"/>
      <c r="X34" s="36"/>
      <c r="Y34" s="36"/>
      <c r="Z34" s="41"/>
      <c r="AA34" s="36"/>
      <c r="AB34" s="109"/>
      <c r="AC34" s="111"/>
      <c r="AD34" s="21"/>
      <c r="AE34" s="21"/>
      <c r="AF34" s="43"/>
      <c r="AG34" s="21"/>
      <c r="AH34" s="21"/>
      <c r="AI34" s="42"/>
      <c r="AJ34" s="21"/>
    </row>
    <row r="35" spans="1:36" s="443" customFormat="1" ht="13.5" customHeight="1">
      <c r="A35" s="404" t="s">
        <v>900</v>
      </c>
      <c r="B35" s="405">
        <v>88.5</v>
      </c>
      <c r="C35" s="398">
        <v>303</v>
      </c>
      <c r="D35" s="398">
        <v>304</v>
      </c>
      <c r="E35" s="398">
        <v>12</v>
      </c>
      <c r="F35" s="398">
        <v>12</v>
      </c>
      <c r="G35" s="399">
        <v>27</v>
      </c>
      <c r="H35" s="405">
        <v>112.7</v>
      </c>
      <c r="I35" s="406">
        <v>279</v>
      </c>
      <c r="J35" s="406">
        <v>225</v>
      </c>
      <c r="K35" s="398" t="s">
        <v>667</v>
      </c>
      <c r="L35" s="408">
        <v>122</v>
      </c>
      <c r="M35" s="409">
        <v>202</v>
      </c>
      <c r="N35" s="411">
        <v>1.75</v>
      </c>
      <c r="O35" s="411">
        <v>19.8</v>
      </c>
      <c r="P35" s="404" t="s">
        <v>900</v>
      </c>
      <c r="Q35" s="405">
        <v>88.5</v>
      </c>
      <c r="R35" s="408">
        <v>18740</v>
      </c>
      <c r="S35" s="408">
        <v>1237</v>
      </c>
      <c r="T35" s="408">
        <v>1379</v>
      </c>
      <c r="U35" s="411">
        <v>12.9</v>
      </c>
      <c r="V35" s="407">
        <v>47.66</v>
      </c>
      <c r="W35" s="408">
        <v>5634</v>
      </c>
      <c r="X35" s="406">
        <v>370.6</v>
      </c>
      <c r="Y35" s="406">
        <v>572.1</v>
      </c>
      <c r="Z35" s="407">
        <v>7.07</v>
      </c>
      <c r="AA35" s="406">
        <v>67.599999999999994</v>
      </c>
      <c r="AB35" s="431">
        <v>99.04</v>
      </c>
      <c r="AC35" s="432">
        <v>1190</v>
      </c>
      <c r="AD35" s="398">
        <v>3</v>
      </c>
      <c r="AE35" s="398">
        <v>4</v>
      </c>
      <c r="AF35" s="399" t="s">
        <v>616</v>
      </c>
      <c r="AG35" s="398">
        <v>3</v>
      </c>
      <c r="AH35" s="398">
        <v>4</v>
      </c>
      <c r="AI35" s="400" t="s">
        <v>616</v>
      </c>
      <c r="AJ35" s="398"/>
    </row>
    <row r="36" spans="1:36" s="46" customFormat="1" ht="13.5" customHeight="1">
      <c r="A36" s="33" t="s">
        <v>901</v>
      </c>
      <c r="B36" s="38">
        <v>103</v>
      </c>
      <c r="C36" s="21">
        <v>307</v>
      </c>
      <c r="D36" s="21">
        <v>306</v>
      </c>
      <c r="E36" s="21">
        <v>14</v>
      </c>
      <c r="F36" s="21">
        <v>14</v>
      </c>
      <c r="G36" s="43">
        <v>27</v>
      </c>
      <c r="H36" s="51">
        <v>131</v>
      </c>
      <c r="I36" s="36">
        <v>279</v>
      </c>
      <c r="J36" s="36">
        <v>225</v>
      </c>
      <c r="K36" s="21" t="s">
        <v>667</v>
      </c>
      <c r="L36" s="35">
        <v>124</v>
      </c>
      <c r="M36" s="38">
        <v>204</v>
      </c>
      <c r="N36" s="40">
        <v>1.76</v>
      </c>
      <c r="O36" s="40">
        <v>17.149999999999999</v>
      </c>
      <c r="P36" s="33" t="s">
        <v>901</v>
      </c>
      <c r="Q36" s="38">
        <v>103</v>
      </c>
      <c r="R36" s="35">
        <v>22050</v>
      </c>
      <c r="S36" s="35">
        <v>1437</v>
      </c>
      <c r="T36" s="35">
        <v>1611</v>
      </c>
      <c r="U36" s="40">
        <v>12.97</v>
      </c>
      <c r="V36" s="41">
        <v>54.84</v>
      </c>
      <c r="W36" s="21">
        <v>6704</v>
      </c>
      <c r="X36" s="36">
        <v>438.2</v>
      </c>
      <c r="Y36" s="36">
        <v>677.3</v>
      </c>
      <c r="Z36" s="41">
        <v>7.15</v>
      </c>
      <c r="AA36" s="36">
        <v>73.599999999999994</v>
      </c>
      <c r="AB36" s="109">
        <v>142.30000000000001</v>
      </c>
      <c r="AC36" s="111">
        <v>1435</v>
      </c>
      <c r="AD36" s="21">
        <v>2</v>
      </c>
      <c r="AE36" s="21">
        <v>3</v>
      </c>
      <c r="AF36" s="43">
        <v>4</v>
      </c>
      <c r="AG36" s="21">
        <v>2</v>
      </c>
      <c r="AH36" s="21">
        <v>3</v>
      </c>
      <c r="AI36" s="42">
        <v>4</v>
      </c>
      <c r="AJ36" s="21" t="s">
        <v>661</v>
      </c>
    </row>
    <row r="37" spans="1:36" s="443" customFormat="1" ht="13.5" customHeight="1">
      <c r="A37" s="404" t="s">
        <v>902</v>
      </c>
      <c r="B37" s="409">
        <v>117</v>
      </c>
      <c r="C37" s="398">
        <v>311</v>
      </c>
      <c r="D37" s="398">
        <v>308</v>
      </c>
      <c r="E37" s="398">
        <v>16</v>
      </c>
      <c r="F37" s="398">
        <v>16</v>
      </c>
      <c r="G37" s="399">
        <v>27</v>
      </c>
      <c r="H37" s="405">
        <v>149.5</v>
      </c>
      <c r="I37" s="406">
        <v>279</v>
      </c>
      <c r="J37" s="406">
        <v>225</v>
      </c>
      <c r="K37" s="398" t="s">
        <v>667</v>
      </c>
      <c r="L37" s="408">
        <v>126</v>
      </c>
      <c r="M37" s="409">
        <v>206</v>
      </c>
      <c r="N37" s="411">
        <v>1.78</v>
      </c>
      <c r="O37" s="411">
        <v>15.13</v>
      </c>
      <c r="P37" s="404" t="s">
        <v>902</v>
      </c>
      <c r="Q37" s="409">
        <v>117</v>
      </c>
      <c r="R37" s="408">
        <v>25480</v>
      </c>
      <c r="S37" s="408">
        <v>1638</v>
      </c>
      <c r="T37" s="408">
        <v>1849</v>
      </c>
      <c r="U37" s="411">
        <v>13.06</v>
      </c>
      <c r="V37" s="407">
        <v>62.1</v>
      </c>
      <c r="W37" s="398">
        <v>7815</v>
      </c>
      <c r="X37" s="406">
        <v>507.5</v>
      </c>
      <c r="Y37" s="406">
        <v>785.5</v>
      </c>
      <c r="Z37" s="407">
        <v>7.23</v>
      </c>
      <c r="AA37" s="406">
        <v>79.599999999999994</v>
      </c>
      <c r="AB37" s="431">
        <v>198.5</v>
      </c>
      <c r="AC37" s="432">
        <v>1695</v>
      </c>
      <c r="AD37" s="398">
        <v>1</v>
      </c>
      <c r="AE37" s="398">
        <v>3</v>
      </c>
      <c r="AF37" s="399">
        <v>3</v>
      </c>
      <c r="AG37" s="398">
        <v>1</v>
      </c>
      <c r="AH37" s="398">
        <v>3</v>
      </c>
      <c r="AI37" s="400">
        <v>3</v>
      </c>
      <c r="AJ37" s="398" t="s">
        <v>661</v>
      </c>
    </row>
    <row r="38" spans="1:36" s="46" customFormat="1" ht="13.5" customHeight="1">
      <c r="A38" s="33" t="s">
        <v>903</v>
      </c>
      <c r="B38" s="38">
        <v>147</v>
      </c>
      <c r="C38" s="21">
        <v>319</v>
      </c>
      <c r="D38" s="21">
        <v>312</v>
      </c>
      <c r="E38" s="21">
        <v>20</v>
      </c>
      <c r="F38" s="21">
        <v>20</v>
      </c>
      <c r="G38" s="43">
        <v>27</v>
      </c>
      <c r="H38" s="51">
        <v>186.9</v>
      </c>
      <c r="I38" s="36">
        <v>279</v>
      </c>
      <c r="J38" s="36">
        <v>225</v>
      </c>
      <c r="K38" s="21" t="s">
        <v>667</v>
      </c>
      <c r="L38" s="35">
        <v>130</v>
      </c>
      <c r="M38" s="38">
        <v>210</v>
      </c>
      <c r="N38" s="40">
        <v>1.8</v>
      </c>
      <c r="O38" s="40">
        <v>12.27</v>
      </c>
      <c r="P38" s="33" t="s">
        <v>903</v>
      </c>
      <c r="Q38" s="38">
        <v>147</v>
      </c>
      <c r="R38" s="35">
        <v>32670</v>
      </c>
      <c r="S38" s="35">
        <v>2048</v>
      </c>
      <c r="T38" s="35">
        <v>2338</v>
      </c>
      <c r="U38" s="40">
        <v>13.22</v>
      </c>
      <c r="V38" s="41">
        <v>76.86</v>
      </c>
      <c r="W38" s="21">
        <v>10160</v>
      </c>
      <c r="X38" s="36">
        <v>651.29999999999995</v>
      </c>
      <c r="Y38" s="35">
        <v>1011</v>
      </c>
      <c r="Z38" s="41">
        <v>7.37</v>
      </c>
      <c r="AA38" s="36">
        <v>91.6</v>
      </c>
      <c r="AB38" s="109">
        <v>357.1</v>
      </c>
      <c r="AC38" s="111">
        <v>2263</v>
      </c>
      <c r="AD38" s="21">
        <v>1</v>
      </c>
      <c r="AE38" s="21">
        <v>1</v>
      </c>
      <c r="AF38" s="43">
        <v>2</v>
      </c>
      <c r="AG38" s="21">
        <v>1</v>
      </c>
      <c r="AH38" s="21">
        <v>1</v>
      </c>
      <c r="AI38" s="42">
        <v>2</v>
      </c>
      <c r="AJ38" s="21" t="s">
        <v>661</v>
      </c>
    </row>
    <row r="39" spans="1:36" s="443" customFormat="1" ht="13.5" customHeight="1">
      <c r="A39" s="404" t="s">
        <v>904</v>
      </c>
      <c r="B39" s="409">
        <v>184</v>
      </c>
      <c r="C39" s="398">
        <v>329</v>
      </c>
      <c r="D39" s="398">
        <v>317</v>
      </c>
      <c r="E39" s="398">
        <v>25</v>
      </c>
      <c r="F39" s="398">
        <v>25</v>
      </c>
      <c r="G39" s="399">
        <v>27</v>
      </c>
      <c r="H39" s="405">
        <v>234.5</v>
      </c>
      <c r="I39" s="406">
        <v>279</v>
      </c>
      <c r="J39" s="406">
        <v>225</v>
      </c>
      <c r="K39" s="398" t="s">
        <v>667</v>
      </c>
      <c r="L39" s="408">
        <v>136</v>
      </c>
      <c r="M39" s="409">
        <v>216</v>
      </c>
      <c r="N39" s="411">
        <v>1.83</v>
      </c>
      <c r="O39" s="411">
        <v>9.94</v>
      </c>
      <c r="P39" s="404" t="s">
        <v>904</v>
      </c>
      <c r="Q39" s="409">
        <v>184</v>
      </c>
      <c r="R39" s="408">
        <v>42340</v>
      </c>
      <c r="S39" s="408">
        <v>2574</v>
      </c>
      <c r="T39" s="408">
        <v>2979</v>
      </c>
      <c r="U39" s="411">
        <v>13.44</v>
      </c>
      <c r="V39" s="407">
        <v>95.76</v>
      </c>
      <c r="W39" s="398">
        <v>13330</v>
      </c>
      <c r="X39" s="406">
        <v>841.2</v>
      </c>
      <c r="Y39" s="408">
        <v>1311</v>
      </c>
      <c r="Z39" s="407">
        <v>7.54</v>
      </c>
      <c r="AA39" s="406">
        <v>106.6</v>
      </c>
      <c r="AB39" s="431">
        <v>662</v>
      </c>
      <c r="AC39" s="432">
        <v>3067</v>
      </c>
      <c r="AD39" s="398">
        <v>1</v>
      </c>
      <c r="AE39" s="398">
        <v>1</v>
      </c>
      <c r="AF39" s="399">
        <v>1</v>
      </c>
      <c r="AG39" s="398">
        <v>1</v>
      </c>
      <c r="AH39" s="398">
        <v>1</v>
      </c>
      <c r="AI39" s="400">
        <v>1</v>
      </c>
      <c r="AJ39" s="398" t="s">
        <v>661</v>
      </c>
    </row>
    <row r="40" spans="1:36" s="46" customFormat="1" ht="13.5" customHeight="1">
      <c r="A40" s="33"/>
      <c r="B40" s="51"/>
      <c r="C40" s="21"/>
      <c r="D40" s="21"/>
      <c r="E40" s="21"/>
      <c r="F40" s="21"/>
      <c r="G40" s="43"/>
      <c r="H40" s="51"/>
      <c r="I40" s="36"/>
      <c r="J40" s="36"/>
      <c r="K40" s="21"/>
      <c r="L40" s="35"/>
      <c r="M40" s="38"/>
      <c r="N40" s="40"/>
      <c r="O40" s="40"/>
      <c r="P40" s="33"/>
      <c r="Q40" s="38"/>
      <c r="R40" s="35"/>
      <c r="S40" s="35"/>
      <c r="T40" s="35"/>
      <c r="U40" s="40"/>
      <c r="V40" s="41"/>
      <c r="W40" s="21"/>
      <c r="X40" s="36"/>
      <c r="Y40" s="36"/>
      <c r="Z40" s="41"/>
      <c r="AA40" s="36"/>
      <c r="AB40" s="109"/>
      <c r="AC40" s="111"/>
      <c r="AD40" s="21"/>
      <c r="AE40" s="21"/>
      <c r="AF40" s="43"/>
      <c r="AG40" s="21"/>
      <c r="AH40" s="21"/>
      <c r="AI40" s="42"/>
      <c r="AJ40" s="21"/>
    </row>
    <row r="41" spans="1:36" s="443" customFormat="1" ht="13.5" customHeight="1">
      <c r="A41" s="404" t="s">
        <v>905</v>
      </c>
      <c r="B41" s="405">
        <v>84.3</v>
      </c>
      <c r="C41" s="398">
        <v>340</v>
      </c>
      <c r="D41" s="398">
        <v>367</v>
      </c>
      <c r="E41" s="398">
        <v>10</v>
      </c>
      <c r="F41" s="398">
        <v>10</v>
      </c>
      <c r="G41" s="399">
        <v>15.2</v>
      </c>
      <c r="H41" s="405">
        <v>107.4</v>
      </c>
      <c r="I41" s="406">
        <v>320</v>
      </c>
      <c r="J41" s="406">
        <v>289.60000000000002</v>
      </c>
      <c r="K41" s="398" t="s">
        <v>667</v>
      </c>
      <c r="L41" s="408">
        <v>98</v>
      </c>
      <c r="M41" s="409">
        <v>262</v>
      </c>
      <c r="N41" s="411">
        <v>2.1</v>
      </c>
      <c r="O41" s="411">
        <v>24.93</v>
      </c>
      <c r="P41" s="404" t="s">
        <v>905</v>
      </c>
      <c r="Q41" s="405">
        <v>84.3</v>
      </c>
      <c r="R41" s="408">
        <v>23210</v>
      </c>
      <c r="S41" s="408">
        <v>1365</v>
      </c>
      <c r="T41" s="408">
        <v>1498</v>
      </c>
      <c r="U41" s="411">
        <v>14.7</v>
      </c>
      <c r="V41" s="407">
        <v>38.020000000000003</v>
      </c>
      <c r="W41" s="398">
        <v>8243</v>
      </c>
      <c r="X41" s="406">
        <v>449.2</v>
      </c>
      <c r="Y41" s="406">
        <v>683.1</v>
      </c>
      <c r="Z41" s="407">
        <v>8.76</v>
      </c>
      <c r="AA41" s="411">
        <v>47.81</v>
      </c>
      <c r="AB41" s="431">
        <v>44.41</v>
      </c>
      <c r="AC41" s="432">
        <v>2243</v>
      </c>
      <c r="AD41" s="398">
        <v>4</v>
      </c>
      <c r="AE41" s="398">
        <v>4</v>
      </c>
      <c r="AF41" s="399" t="s">
        <v>616</v>
      </c>
      <c r="AG41" s="398">
        <v>4</v>
      </c>
      <c r="AH41" s="398">
        <v>4</v>
      </c>
      <c r="AI41" s="400" t="s">
        <v>616</v>
      </c>
      <c r="AJ41" s="398"/>
    </row>
    <row r="42" spans="1:36" s="46" customFormat="1" ht="13.5" customHeight="1">
      <c r="A42" s="33" t="s">
        <v>906</v>
      </c>
      <c r="B42" s="38">
        <v>109</v>
      </c>
      <c r="C42" s="21">
        <v>346.4</v>
      </c>
      <c r="D42" s="21">
        <v>371</v>
      </c>
      <c r="E42" s="21">
        <v>12.8</v>
      </c>
      <c r="F42" s="21">
        <v>12.9</v>
      </c>
      <c r="G42" s="43">
        <v>15.2</v>
      </c>
      <c r="H42" s="51">
        <v>138.69999999999999</v>
      </c>
      <c r="I42" s="36">
        <v>320.60000000000002</v>
      </c>
      <c r="J42" s="36">
        <v>290.2</v>
      </c>
      <c r="K42" s="21" t="s">
        <v>667</v>
      </c>
      <c r="L42" s="35">
        <v>102</v>
      </c>
      <c r="M42" s="38">
        <v>266</v>
      </c>
      <c r="N42" s="40">
        <v>2.13</v>
      </c>
      <c r="O42" s="40">
        <v>19.510000000000002</v>
      </c>
      <c r="P42" s="33" t="s">
        <v>906</v>
      </c>
      <c r="Q42" s="38">
        <v>109</v>
      </c>
      <c r="R42" s="35">
        <v>30630</v>
      </c>
      <c r="S42" s="35">
        <v>1769</v>
      </c>
      <c r="T42" s="35">
        <v>1956</v>
      </c>
      <c r="U42" s="40">
        <v>14.86</v>
      </c>
      <c r="V42" s="41">
        <v>48.59</v>
      </c>
      <c r="W42" s="21">
        <v>10990</v>
      </c>
      <c r="X42" s="36">
        <v>592.29999999999995</v>
      </c>
      <c r="Y42" s="36">
        <v>902.9</v>
      </c>
      <c r="Z42" s="41">
        <v>8.9</v>
      </c>
      <c r="AA42" s="40">
        <v>56.41</v>
      </c>
      <c r="AB42" s="109">
        <v>90.73</v>
      </c>
      <c r="AC42" s="111">
        <v>3053</v>
      </c>
      <c r="AD42" s="21">
        <v>3</v>
      </c>
      <c r="AE42" s="21">
        <v>4</v>
      </c>
      <c r="AF42" s="43" t="s">
        <v>616</v>
      </c>
      <c r="AG42" s="21">
        <v>3</v>
      </c>
      <c r="AH42" s="21">
        <v>4</v>
      </c>
      <c r="AI42" s="42" t="s">
        <v>616</v>
      </c>
      <c r="AJ42" s="21"/>
    </row>
    <row r="43" spans="1:36" s="443" customFormat="1" ht="13.5" customHeight="1">
      <c r="A43" s="404" t="s">
        <v>907</v>
      </c>
      <c r="B43" s="409">
        <v>133</v>
      </c>
      <c r="C43" s="398">
        <v>352</v>
      </c>
      <c r="D43" s="398">
        <v>373.8</v>
      </c>
      <c r="E43" s="398">
        <v>15.6</v>
      </c>
      <c r="F43" s="398">
        <v>15.7</v>
      </c>
      <c r="G43" s="399">
        <v>15.2</v>
      </c>
      <c r="H43" s="405">
        <v>169.4</v>
      </c>
      <c r="I43" s="406">
        <v>320.60000000000002</v>
      </c>
      <c r="J43" s="406">
        <v>290.2</v>
      </c>
      <c r="K43" s="398" t="s">
        <v>667</v>
      </c>
      <c r="L43" s="408">
        <v>104</v>
      </c>
      <c r="M43" s="409">
        <v>268</v>
      </c>
      <c r="N43" s="411">
        <v>2.14</v>
      </c>
      <c r="O43" s="411">
        <v>16.11</v>
      </c>
      <c r="P43" s="404" t="s">
        <v>907</v>
      </c>
      <c r="Q43" s="409">
        <v>133</v>
      </c>
      <c r="R43" s="408">
        <v>37980</v>
      </c>
      <c r="S43" s="408">
        <v>2158</v>
      </c>
      <c r="T43" s="408">
        <v>2406</v>
      </c>
      <c r="U43" s="411">
        <v>14.98</v>
      </c>
      <c r="V43" s="407">
        <v>59.22</v>
      </c>
      <c r="W43" s="398">
        <v>13680</v>
      </c>
      <c r="X43" s="406">
        <v>731.9</v>
      </c>
      <c r="Y43" s="408">
        <v>1119</v>
      </c>
      <c r="Z43" s="407">
        <v>8.99</v>
      </c>
      <c r="AA43" s="411">
        <v>64.81</v>
      </c>
      <c r="AB43" s="431">
        <v>160.69999999999999</v>
      </c>
      <c r="AC43" s="432">
        <v>3864</v>
      </c>
      <c r="AD43" s="398">
        <v>3</v>
      </c>
      <c r="AE43" s="398">
        <v>3</v>
      </c>
      <c r="AF43" s="399">
        <v>4</v>
      </c>
      <c r="AG43" s="398">
        <v>3</v>
      </c>
      <c r="AH43" s="398">
        <v>3</v>
      </c>
      <c r="AI43" s="400">
        <v>4</v>
      </c>
      <c r="AJ43" s="398" t="s">
        <v>661</v>
      </c>
    </row>
    <row r="44" spans="1:36" s="46" customFormat="1" ht="13.5" customHeight="1">
      <c r="A44" s="33" t="s">
        <v>908</v>
      </c>
      <c r="B44" s="38">
        <v>152</v>
      </c>
      <c r="C44" s="21">
        <v>356.4</v>
      </c>
      <c r="D44" s="21">
        <v>376</v>
      </c>
      <c r="E44" s="21">
        <v>17.8</v>
      </c>
      <c r="F44" s="21">
        <v>17.899999999999999</v>
      </c>
      <c r="G44" s="43">
        <v>15.2</v>
      </c>
      <c r="H44" s="51">
        <v>193.7</v>
      </c>
      <c r="I44" s="36">
        <v>320.60000000000002</v>
      </c>
      <c r="J44" s="36">
        <v>290.2</v>
      </c>
      <c r="K44" s="21" t="s">
        <v>667</v>
      </c>
      <c r="L44" s="35">
        <v>106</v>
      </c>
      <c r="M44" s="38">
        <v>270</v>
      </c>
      <c r="N44" s="40">
        <v>2.16</v>
      </c>
      <c r="O44" s="40">
        <v>14.18</v>
      </c>
      <c r="P44" s="33" t="s">
        <v>908</v>
      </c>
      <c r="Q44" s="38">
        <v>152</v>
      </c>
      <c r="R44" s="35">
        <v>43970</v>
      </c>
      <c r="S44" s="35">
        <v>2468</v>
      </c>
      <c r="T44" s="35">
        <v>2767</v>
      </c>
      <c r="U44" s="40">
        <v>15.07</v>
      </c>
      <c r="V44" s="41">
        <v>67.680000000000007</v>
      </c>
      <c r="W44" s="21">
        <v>15880</v>
      </c>
      <c r="X44" s="36">
        <v>844.5</v>
      </c>
      <c r="Y44" s="35">
        <v>1293</v>
      </c>
      <c r="Z44" s="41">
        <v>9.0500000000000007</v>
      </c>
      <c r="AA44" s="40">
        <v>71.41</v>
      </c>
      <c r="AB44" s="109">
        <v>236.4</v>
      </c>
      <c r="AC44" s="111">
        <v>4543</v>
      </c>
      <c r="AD44" s="21">
        <v>2</v>
      </c>
      <c r="AE44" s="21">
        <v>3</v>
      </c>
      <c r="AF44" s="43">
        <v>3</v>
      </c>
      <c r="AG44" s="21">
        <v>2</v>
      </c>
      <c r="AH44" s="21">
        <v>3</v>
      </c>
      <c r="AI44" s="42">
        <v>3</v>
      </c>
      <c r="AJ44" s="21" t="s">
        <v>661</v>
      </c>
    </row>
    <row r="45" spans="1:36" s="443" customFormat="1" ht="13.5" customHeight="1">
      <c r="A45" s="404" t="s">
        <v>909</v>
      </c>
      <c r="B45" s="409">
        <v>174</v>
      </c>
      <c r="C45" s="398">
        <v>361.4</v>
      </c>
      <c r="D45" s="398">
        <v>378.5</v>
      </c>
      <c r="E45" s="398">
        <v>20.3</v>
      </c>
      <c r="F45" s="398">
        <v>20.399999999999999</v>
      </c>
      <c r="G45" s="399">
        <v>15.2</v>
      </c>
      <c r="H45" s="405">
        <v>221.5</v>
      </c>
      <c r="I45" s="406">
        <v>320.60000000000002</v>
      </c>
      <c r="J45" s="406">
        <v>290.2</v>
      </c>
      <c r="K45" s="398" t="s">
        <v>667</v>
      </c>
      <c r="L45" s="408">
        <v>110</v>
      </c>
      <c r="M45" s="409">
        <v>272</v>
      </c>
      <c r="N45" s="411">
        <v>2.17</v>
      </c>
      <c r="O45" s="411">
        <v>12.48</v>
      </c>
      <c r="P45" s="404" t="s">
        <v>909</v>
      </c>
      <c r="Q45" s="409">
        <v>174</v>
      </c>
      <c r="R45" s="408">
        <v>51010</v>
      </c>
      <c r="S45" s="408">
        <v>2823</v>
      </c>
      <c r="T45" s="408">
        <v>3186</v>
      </c>
      <c r="U45" s="411">
        <v>15.18</v>
      </c>
      <c r="V45" s="407">
        <v>77.41</v>
      </c>
      <c r="W45" s="398">
        <v>18460</v>
      </c>
      <c r="X45" s="406">
        <v>975.6</v>
      </c>
      <c r="Y45" s="408">
        <v>1497</v>
      </c>
      <c r="Z45" s="407">
        <v>9.1300000000000008</v>
      </c>
      <c r="AA45" s="411">
        <v>78.91</v>
      </c>
      <c r="AB45" s="445">
        <v>348.5</v>
      </c>
      <c r="AC45" s="432">
        <v>5360</v>
      </c>
      <c r="AD45" s="398">
        <v>1</v>
      </c>
      <c r="AE45" s="398">
        <v>3</v>
      </c>
      <c r="AF45" s="399">
        <v>3</v>
      </c>
      <c r="AG45" s="398">
        <v>1</v>
      </c>
      <c r="AH45" s="398">
        <v>3</v>
      </c>
      <c r="AI45" s="400">
        <v>3</v>
      </c>
      <c r="AJ45" s="398" t="s">
        <v>661</v>
      </c>
    </row>
    <row r="46" spans="1:36" s="46" customFormat="1" ht="13.5" customHeight="1">
      <c r="A46" s="33" t="s">
        <v>910</v>
      </c>
      <c r="B46" s="38">
        <v>180</v>
      </c>
      <c r="C46" s="21">
        <v>362.9</v>
      </c>
      <c r="D46" s="21">
        <v>378.8</v>
      </c>
      <c r="E46" s="21">
        <v>21.1</v>
      </c>
      <c r="F46" s="21">
        <v>21.1</v>
      </c>
      <c r="G46" s="43">
        <v>15.2</v>
      </c>
      <c r="H46" s="51">
        <v>229.5</v>
      </c>
      <c r="I46" s="36">
        <v>320.7</v>
      </c>
      <c r="J46" s="36">
        <v>290.3</v>
      </c>
      <c r="K46" s="21" t="s">
        <v>667</v>
      </c>
      <c r="L46" s="35">
        <v>110</v>
      </c>
      <c r="M46" s="38">
        <v>272</v>
      </c>
      <c r="N46" s="40">
        <v>2.17</v>
      </c>
      <c r="O46" s="40">
        <v>12.06</v>
      </c>
      <c r="P46" s="33" t="s">
        <v>910</v>
      </c>
      <c r="Q46" s="38">
        <v>180</v>
      </c>
      <c r="R46" s="35">
        <v>53040</v>
      </c>
      <c r="S46" s="35">
        <v>2923</v>
      </c>
      <c r="T46" s="35">
        <v>3306</v>
      </c>
      <c r="U46" s="40">
        <v>15.2</v>
      </c>
      <c r="V46" s="41">
        <v>80.52</v>
      </c>
      <c r="W46" s="21">
        <v>19140</v>
      </c>
      <c r="X46" s="35">
        <v>1011</v>
      </c>
      <c r="Y46" s="35">
        <v>1552</v>
      </c>
      <c r="Z46" s="41">
        <v>9.1300000000000008</v>
      </c>
      <c r="AA46" s="40">
        <v>81.11</v>
      </c>
      <c r="AB46" s="109">
        <v>387.2</v>
      </c>
      <c r="AC46" s="111">
        <v>5583</v>
      </c>
      <c r="AD46" s="21">
        <v>1</v>
      </c>
      <c r="AE46" s="21">
        <v>3</v>
      </c>
      <c r="AF46" s="43">
        <v>3</v>
      </c>
      <c r="AG46" s="21">
        <v>1</v>
      </c>
      <c r="AH46" s="21">
        <v>3</v>
      </c>
      <c r="AI46" s="42">
        <v>3</v>
      </c>
      <c r="AJ46" s="21" t="s">
        <v>661</v>
      </c>
    </row>
    <row r="47" spans="1:36" s="46" customFormat="1" ht="13.5" customHeight="1">
      <c r="A47" s="33"/>
      <c r="B47" s="38"/>
      <c r="C47" s="21"/>
      <c r="D47" s="21"/>
      <c r="E47" s="21"/>
      <c r="F47" s="21"/>
      <c r="G47" s="43"/>
      <c r="H47" s="51"/>
      <c r="I47" s="36"/>
      <c r="J47" s="36"/>
      <c r="K47" s="21"/>
      <c r="L47" s="35"/>
      <c r="M47" s="38"/>
      <c r="N47" s="40"/>
      <c r="O47" s="40"/>
      <c r="P47" s="33"/>
      <c r="Q47" s="38"/>
      <c r="R47" s="35"/>
      <c r="S47" s="35"/>
      <c r="T47" s="35"/>
      <c r="U47" s="40"/>
      <c r="V47" s="41"/>
      <c r="W47" s="21"/>
      <c r="X47" s="36"/>
      <c r="Y47" s="35"/>
      <c r="Z47" s="41"/>
      <c r="AA47" s="40"/>
      <c r="AB47" s="109"/>
      <c r="AC47" s="111"/>
      <c r="AD47" s="21"/>
      <c r="AE47" s="21"/>
      <c r="AF47" s="43"/>
      <c r="AG47" s="21"/>
      <c r="AH47" s="21"/>
      <c r="AI47" s="42"/>
      <c r="AJ47" s="21"/>
    </row>
    <row r="48" spans="1:36" s="443" customFormat="1" ht="13.5" customHeight="1">
      <c r="A48" s="404" t="s">
        <v>911</v>
      </c>
      <c r="B48" s="409">
        <v>122</v>
      </c>
      <c r="C48" s="398">
        <v>348</v>
      </c>
      <c r="D48" s="398">
        <v>390</v>
      </c>
      <c r="E48" s="398">
        <v>14</v>
      </c>
      <c r="F48" s="398">
        <v>14</v>
      </c>
      <c r="G48" s="399">
        <v>15</v>
      </c>
      <c r="H48" s="405">
        <v>155.9</v>
      </c>
      <c r="I48" s="406">
        <v>320</v>
      </c>
      <c r="J48" s="406">
        <v>290</v>
      </c>
      <c r="K48" s="398" t="s">
        <v>667</v>
      </c>
      <c r="L48" s="408">
        <v>102</v>
      </c>
      <c r="M48" s="409">
        <v>284</v>
      </c>
      <c r="N48" s="411">
        <v>2.2000000000000002</v>
      </c>
      <c r="O48" s="411">
        <v>17.989999999999998</v>
      </c>
      <c r="P48" s="404" t="s">
        <v>911</v>
      </c>
      <c r="Q48" s="409">
        <v>122</v>
      </c>
      <c r="R48" s="408">
        <v>34770</v>
      </c>
      <c r="S48" s="408">
        <v>1998</v>
      </c>
      <c r="T48" s="408">
        <v>2212</v>
      </c>
      <c r="U48" s="411">
        <v>14.93</v>
      </c>
      <c r="V48" s="407">
        <v>52.89</v>
      </c>
      <c r="W48" s="398">
        <v>13850</v>
      </c>
      <c r="X48" s="406">
        <v>710.3</v>
      </c>
      <c r="Y48" s="408">
        <v>1082</v>
      </c>
      <c r="Z48" s="407">
        <v>9.42</v>
      </c>
      <c r="AA48" s="411">
        <v>59.57</v>
      </c>
      <c r="AB48" s="431">
        <v>118.7</v>
      </c>
      <c r="AC48" s="432">
        <v>3860</v>
      </c>
      <c r="AD48" s="398">
        <v>3</v>
      </c>
      <c r="AE48" s="398">
        <v>4</v>
      </c>
      <c r="AF48" s="399" t="s">
        <v>616</v>
      </c>
      <c r="AG48" s="398">
        <v>3</v>
      </c>
      <c r="AH48" s="398">
        <v>4</v>
      </c>
      <c r="AI48" s="400" t="s">
        <v>616</v>
      </c>
      <c r="AJ48" s="398"/>
    </row>
    <row r="49" spans="1:39" s="46" customFormat="1" ht="13.5" customHeight="1">
      <c r="A49" s="33" t="s">
        <v>912</v>
      </c>
      <c r="B49" s="38">
        <v>140</v>
      </c>
      <c r="C49" s="21">
        <v>352</v>
      </c>
      <c r="D49" s="21">
        <v>392</v>
      </c>
      <c r="E49" s="21">
        <v>16</v>
      </c>
      <c r="F49" s="21">
        <v>16</v>
      </c>
      <c r="G49" s="43">
        <v>15</v>
      </c>
      <c r="H49" s="51">
        <v>178.6</v>
      </c>
      <c r="I49" s="36">
        <v>320</v>
      </c>
      <c r="J49" s="36">
        <v>290</v>
      </c>
      <c r="K49" s="21" t="s">
        <v>667</v>
      </c>
      <c r="L49" s="35">
        <v>104</v>
      </c>
      <c r="M49" s="38">
        <v>286</v>
      </c>
      <c r="N49" s="40">
        <v>2.21</v>
      </c>
      <c r="O49" s="40">
        <v>15.8</v>
      </c>
      <c r="P49" s="33" t="s">
        <v>912</v>
      </c>
      <c r="Q49" s="38">
        <v>140</v>
      </c>
      <c r="R49" s="35">
        <v>40270</v>
      </c>
      <c r="S49" s="35">
        <v>2288</v>
      </c>
      <c r="T49" s="35">
        <v>2547</v>
      </c>
      <c r="U49" s="40">
        <v>15.02</v>
      </c>
      <c r="V49" s="41">
        <v>60.49</v>
      </c>
      <c r="W49" s="21">
        <v>16080</v>
      </c>
      <c r="X49" s="36">
        <v>820.2</v>
      </c>
      <c r="Y49" s="35">
        <v>1252</v>
      </c>
      <c r="Z49" s="41">
        <v>9.49</v>
      </c>
      <c r="AA49" s="40">
        <v>65.569999999999993</v>
      </c>
      <c r="AB49" s="109">
        <v>175.3</v>
      </c>
      <c r="AC49" s="111">
        <v>4534</v>
      </c>
      <c r="AD49" s="21">
        <v>3</v>
      </c>
      <c r="AE49" s="21">
        <v>4</v>
      </c>
      <c r="AF49" s="43">
        <v>4</v>
      </c>
      <c r="AG49" s="21">
        <v>3</v>
      </c>
      <c r="AH49" s="21">
        <v>4</v>
      </c>
      <c r="AI49" s="42">
        <v>4</v>
      </c>
      <c r="AJ49" s="21" t="s">
        <v>661</v>
      </c>
    </row>
    <row r="50" spans="1:39" s="443" customFormat="1" ht="13.5" customHeight="1">
      <c r="A50" s="404" t="s">
        <v>913</v>
      </c>
      <c r="B50" s="409">
        <v>158</v>
      </c>
      <c r="C50" s="398">
        <v>356</v>
      </c>
      <c r="D50" s="398">
        <v>394</v>
      </c>
      <c r="E50" s="398">
        <v>18</v>
      </c>
      <c r="F50" s="398">
        <v>18</v>
      </c>
      <c r="G50" s="399">
        <v>15</v>
      </c>
      <c r="H50" s="405">
        <v>201.4</v>
      </c>
      <c r="I50" s="406">
        <v>320</v>
      </c>
      <c r="J50" s="406">
        <v>290</v>
      </c>
      <c r="K50" s="398" t="s">
        <v>667</v>
      </c>
      <c r="L50" s="408">
        <v>106</v>
      </c>
      <c r="M50" s="409">
        <v>288</v>
      </c>
      <c r="N50" s="411">
        <v>2.23</v>
      </c>
      <c r="O50" s="411">
        <v>14.08</v>
      </c>
      <c r="P50" s="404" t="s">
        <v>913</v>
      </c>
      <c r="Q50" s="409">
        <v>158</v>
      </c>
      <c r="R50" s="408">
        <v>45940</v>
      </c>
      <c r="S50" s="408">
        <v>2581</v>
      </c>
      <c r="T50" s="408">
        <v>2888</v>
      </c>
      <c r="U50" s="411">
        <v>15.1</v>
      </c>
      <c r="V50" s="407">
        <v>68.17</v>
      </c>
      <c r="W50" s="398">
        <v>18370</v>
      </c>
      <c r="X50" s="406">
        <v>932.4</v>
      </c>
      <c r="Y50" s="408">
        <v>1425</v>
      </c>
      <c r="Z50" s="407">
        <v>9.5500000000000007</v>
      </c>
      <c r="AA50" s="411">
        <v>71.569999999999993</v>
      </c>
      <c r="AB50" s="431">
        <v>248</v>
      </c>
      <c r="AC50" s="432">
        <v>5241</v>
      </c>
      <c r="AD50" s="398">
        <v>2</v>
      </c>
      <c r="AE50" s="398">
        <v>3</v>
      </c>
      <c r="AF50" s="399">
        <v>4</v>
      </c>
      <c r="AG50" s="398">
        <v>2</v>
      </c>
      <c r="AH50" s="398">
        <v>3</v>
      </c>
      <c r="AI50" s="400">
        <v>4</v>
      </c>
      <c r="AJ50" s="398" t="s">
        <v>661</v>
      </c>
    </row>
    <row r="51" spans="1:39" s="46" customFormat="1" ht="13.5" customHeight="1">
      <c r="A51" s="33" t="s">
        <v>914</v>
      </c>
      <c r="B51" s="38">
        <v>176</v>
      </c>
      <c r="C51" s="21">
        <v>360</v>
      </c>
      <c r="D51" s="21">
        <v>396</v>
      </c>
      <c r="E51" s="21">
        <v>20</v>
      </c>
      <c r="F51" s="21">
        <v>20</v>
      </c>
      <c r="G51" s="43">
        <v>15</v>
      </c>
      <c r="H51" s="51">
        <v>224.3</v>
      </c>
      <c r="I51" s="36">
        <v>320</v>
      </c>
      <c r="J51" s="36">
        <v>290</v>
      </c>
      <c r="K51" s="21" t="s">
        <v>667</v>
      </c>
      <c r="L51" s="35">
        <v>108</v>
      </c>
      <c r="M51" s="38">
        <v>290</v>
      </c>
      <c r="N51" s="40">
        <v>2.2400000000000002</v>
      </c>
      <c r="O51" s="40">
        <v>12.71</v>
      </c>
      <c r="P51" s="33" t="s">
        <v>914</v>
      </c>
      <c r="Q51" s="38">
        <v>176</v>
      </c>
      <c r="R51" s="35">
        <v>51770</v>
      </c>
      <c r="S51" s="35">
        <v>2876</v>
      </c>
      <c r="T51" s="35">
        <v>3235</v>
      </c>
      <c r="U51" s="40">
        <v>15.19</v>
      </c>
      <c r="V51" s="41">
        <v>75.930000000000007</v>
      </c>
      <c r="W51" s="21">
        <v>20720</v>
      </c>
      <c r="X51" s="35">
        <v>1047</v>
      </c>
      <c r="Y51" s="35">
        <v>1603</v>
      </c>
      <c r="Z51" s="41">
        <v>9.61</v>
      </c>
      <c r="AA51" s="40">
        <v>77.569999999999993</v>
      </c>
      <c r="AB51" s="109">
        <v>338.9</v>
      </c>
      <c r="AC51" s="111">
        <v>5982</v>
      </c>
      <c r="AD51" s="21">
        <v>1</v>
      </c>
      <c r="AE51" s="21">
        <v>3</v>
      </c>
      <c r="AF51" s="43">
        <v>3</v>
      </c>
      <c r="AG51" s="21">
        <v>1</v>
      </c>
      <c r="AH51" s="21">
        <v>3</v>
      </c>
      <c r="AI51" s="42">
        <v>3</v>
      </c>
      <c r="AJ51" s="21" t="s">
        <v>661</v>
      </c>
    </row>
    <row r="52" spans="1:39" s="443" customFormat="1" ht="13.5" customHeight="1">
      <c r="A52" s="404" t="s">
        <v>915</v>
      </c>
      <c r="B52" s="409">
        <v>194</v>
      </c>
      <c r="C52" s="398">
        <v>364</v>
      </c>
      <c r="D52" s="398">
        <v>398</v>
      </c>
      <c r="E52" s="398">
        <v>22</v>
      </c>
      <c r="F52" s="398">
        <v>22</v>
      </c>
      <c r="G52" s="399">
        <v>15</v>
      </c>
      <c r="H52" s="405">
        <v>247.5</v>
      </c>
      <c r="I52" s="406">
        <v>320</v>
      </c>
      <c r="J52" s="406">
        <v>290</v>
      </c>
      <c r="K52" s="398" t="s">
        <v>667</v>
      </c>
      <c r="L52" s="408">
        <v>110</v>
      </c>
      <c r="M52" s="409">
        <v>292</v>
      </c>
      <c r="N52" s="411">
        <v>2.25</v>
      </c>
      <c r="O52" s="411">
        <v>11.58</v>
      </c>
      <c r="P52" s="404" t="s">
        <v>915</v>
      </c>
      <c r="Q52" s="409">
        <v>194</v>
      </c>
      <c r="R52" s="408">
        <v>57760</v>
      </c>
      <c r="S52" s="408">
        <v>3174</v>
      </c>
      <c r="T52" s="408">
        <v>3588</v>
      </c>
      <c r="U52" s="411">
        <v>15.28</v>
      </c>
      <c r="V52" s="407">
        <v>83.77</v>
      </c>
      <c r="W52" s="398">
        <v>23150</v>
      </c>
      <c r="X52" s="408">
        <v>1163</v>
      </c>
      <c r="Y52" s="408">
        <v>1784</v>
      </c>
      <c r="Z52" s="407">
        <v>9.67</v>
      </c>
      <c r="AA52" s="411">
        <v>83.57</v>
      </c>
      <c r="AB52" s="398">
        <v>450.2</v>
      </c>
      <c r="AC52" s="400">
        <v>6759</v>
      </c>
      <c r="AD52" s="398">
        <v>1</v>
      </c>
      <c r="AE52" s="398">
        <v>3</v>
      </c>
      <c r="AF52" s="399">
        <v>3</v>
      </c>
      <c r="AG52" s="398">
        <v>1</v>
      </c>
      <c r="AH52" s="398">
        <v>3</v>
      </c>
      <c r="AI52" s="400">
        <v>3</v>
      </c>
      <c r="AJ52" s="398" t="s">
        <v>661</v>
      </c>
    </row>
    <row r="53" spans="1:39" s="46" customFormat="1" ht="13.5" customHeight="1">
      <c r="A53" s="33" t="s">
        <v>916</v>
      </c>
      <c r="B53" s="38">
        <v>213</v>
      </c>
      <c r="C53" s="21">
        <v>368</v>
      </c>
      <c r="D53" s="21">
        <v>400</v>
      </c>
      <c r="E53" s="21">
        <v>24</v>
      </c>
      <c r="F53" s="21">
        <v>24</v>
      </c>
      <c r="G53" s="43">
        <v>15</v>
      </c>
      <c r="H53" s="51">
        <v>270.7</v>
      </c>
      <c r="I53" s="36">
        <v>320</v>
      </c>
      <c r="J53" s="36">
        <v>290</v>
      </c>
      <c r="K53" s="21" t="s">
        <v>667</v>
      </c>
      <c r="L53" s="35">
        <v>112</v>
      </c>
      <c r="M53" s="38">
        <v>294</v>
      </c>
      <c r="N53" s="40">
        <v>2.2599999999999998</v>
      </c>
      <c r="O53" s="40">
        <v>10.64</v>
      </c>
      <c r="P53" s="33" t="s">
        <v>916</v>
      </c>
      <c r="Q53" s="38">
        <v>213</v>
      </c>
      <c r="R53" s="35">
        <v>63920</v>
      </c>
      <c r="S53" s="35">
        <v>3474</v>
      </c>
      <c r="T53" s="35">
        <v>3947</v>
      </c>
      <c r="U53" s="40">
        <v>15.37</v>
      </c>
      <c r="V53" s="41">
        <v>91.69</v>
      </c>
      <c r="W53" s="21">
        <v>25640</v>
      </c>
      <c r="X53" s="35">
        <v>1282</v>
      </c>
      <c r="Y53" s="35">
        <v>1969</v>
      </c>
      <c r="Z53" s="41">
        <v>9.73</v>
      </c>
      <c r="AA53" s="40">
        <v>89.57</v>
      </c>
      <c r="AB53" s="109">
        <v>584.20000000000005</v>
      </c>
      <c r="AC53" s="111">
        <v>7574</v>
      </c>
      <c r="AD53" s="21">
        <v>1</v>
      </c>
      <c r="AE53" s="21">
        <v>2</v>
      </c>
      <c r="AF53" s="43">
        <v>3</v>
      </c>
      <c r="AG53" s="21">
        <v>1</v>
      </c>
      <c r="AH53" s="21">
        <v>2</v>
      </c>
      <c r="AI53" s="42">
        <v>3</v>
      </c>
      <c r="AJ53" s="21" t="s">
        <v>661</v>
      </c>
    </row>
    <row r="54" spans="1:39" s="443" customFormat="1" ht="13.5" customHeight="1">
      <c r="A54" s="404" t="s">
        <v>917</v>
      </c>
      <c r="B54" s="409">
        <v>231</v>
      </c>
      <c r="C54" s="398">
        <v>372</v>
      </c>
      <c r="D54" s="398">
        <v>402</v>
      </c>
      <c r="E54" s="398">
        <v>26</v>
      </c>
      <c r="F54" s="398">
        <v>26</v>
      </c>
      <c r="G54" s="399">
        <v>15</v>
      </c>
      <c r="H54" s="405">
        <v>294.2</v>
      </c>
      <c r="I54" s="406">
        <v>320</v>
      </c>
      <c r="J54" s="406">
        <v>290</v>
      </c>
      <c r="K54" s="398" t="s">
        <v>667</v>
      </c>
      <c r="L54" s="408">
        <v>114</v>
      </c>
      <c r="M54" s="409">
        <v>296</v>
      </c>
      <c r="N54" s="411">
        <v>2.27</v>
      </c>
      <c r="O54" s="411">
        <v>9.85</v>
      </c>
      <c r="P54" s="404" t="s">
        <v>917</v>
      </c>
      <c r="Q54" s="409">
        <v>231</v>
      </c>
      <c r="R54" s="408">
        <v>70260</v>
      </c>
      <c r="S54" s="408">
        <v>3777</v>
      </c>
      <c r="T54" s="408">
        <v>4312</v>
      </c>
      <c r="U54" s="411">
        <v>15.45</v>
      </c>
      <c r="V54" s="407">
        <v>99.69</v>
      </c>
      <c r="W54" s="398">
        <v>28200</v>
      </c>
      <c r="X54" s="408">
        <v>1403</v>
      </c>
      <c r="Y54" s="408">
        <v>2158</v>
      </c>
      <c r="Z54" s="407">
        <v>9.7899999999999991</v>
      </c>
      <c r="AA54" s="411">
        <v>95.57</v>
      </c>
      <c r="AB54" s="431">
        <v>743.1</v>
      </c>
      <c r="AC54" s="432">
        <v>8425</v>
      </c>
      <c r="AD54" s="398">
        <v>1</v>
      </c>
      <c r="AE54" s="398">
        <v>1</v>
      </c>
      <c r="AF54" s="399">
        <v>2</v>
      </c>
      <c r="AG54" s="398">
        <v>1</v>
      </c>
      <c r="AH54" s="398">
        <v>1</v>
      </c>
      <c r="AI54" s="400">
        <v>2</v>
      </c>
      <c r="AJ54" s="398" t="s">
        <v>661</v>
      </c>
    </row>
    <row r="55" spans="1:39" s="46" customFormat="1" ht="13.5" customHeight="1" thickBot="1">
      <c r="A55" s="33"/>
      <c r="B55" s="43"/>
      <c r="C55" s="21"/>
      <c r="D55" s="21"/>
      <c r="E55" s="21"/>
      <c r="F55" s="21"/>
      <c r="G55" s="43"/>
      <c r="H55" s="43"/>
      <c r="I55" s="21"/>
      <c r="J55" s="21"/>
      <c r="K55" s="21"/>
      <c r="L55" s="35"/>
      <c r="M55" s="43"/>
      <c r="N55" s="21"/>
      <c r="O55" s="21"/>
      <c r="P55" s="33"/>
      <c r="Q55" s="43"/>
      <c r="R55" s="21"/>
      <c r="S55" s="21"/>
      <c r="T55" s="21"/>
      <c r="U55" s="21"/>
      <c r="V55" s="43"/>
      <c r="W55" s="21"/>
      <c r="X55" s="21"/>
      <c r="Y55" s="21"/>
      <c r="Z55" s="43"/>
      <c r="AA55" s="21"/>
      <c r="AB55" s="21"/>
      <c r="AC55" s="52"/>
      <c r="AD55" s="53"/>
      <c r="AE55" s="53"/>
      <c r="AF55" s="54"/>
      <c r="AG55" s="53"/>
      <c r="AH55" s="53"/>
      <c r="AI55" s="55"/>
    </row>
    <row r="56" spans="1:39" s="46" customFormat="1" ht="13.5" customHeight="1" thickTop="1">
      <c r="A56" s="112"/>
      <c r="B56" s="113"/>
      <c r="C56" s="113"/>
      <c r="D56" s="113"/>
      <c r="E56" s="113"/>
      <c r="F56" s="113"/>
      <c r="G56" s="113"/>
      <c r="H56" s="113"/>
      <c r="I56" s="113"/>
      <c r="J56" s="113"/>
      <c r="K56" s="113"/>
      <c r="L56" s="114"/>
      <c r="M56" s="113"/>
      <c r="N56" s="113"/>
      <c r="O56" s="113"/>
      <c r="P56" s="112"/>
      <c r="Q56" s="113"/>
      <c r="R56" s="113"/>
      <c r="S56" s="113"/>
      <c r="T56" s="113"/>
      <c r="U56" s="113"/>
      <c r="V56" s="113"/>
      <c r="W56" s="113"/>
      <c r="X56" s="113"/>
      <c r="Y56" s="113"/>
      <c r="Z56" s="113"/>
      <c r="AA56" s="113"/>
      <c r="AB56" s="113"/>
      <c r="AC56" s="113"/>
      <c r="AD56" s="115"/>
      <c r="AE56" s="115"/>
      <c r="AF56" s="115"/>
      <c r="AG56" s="115"/>
      <c r="AH56" s="115"/>
      <c r="AI56" s="115"/>
      <c r="AJ56" s="115"/>
    </row>
    <row r="57" spans="1:39" s="46" customFormat="1" ht="13.5" hidden="1" customHeight="1">
      <c r="A57" s="112"/>
      <c r="B57" s="113"/>
      <c r="C57" s="113"/>
      <c r="D57" s="113"/>
      <c r="E57" s="113"/>
      <c r="F57" s="113"/>
      <c r="G57" s="113"/>
      <c r="H57" s="113"/>
      <c r="I57" s="113"/>
      <c r="J57" s="113"/>
      <c r="K57" s="113"/>
      <c r="L57" s="114"/>
      <c r="M57" s="113"/>
      <c r="N57" s="113"/>
      <c r="O57" s="113"/>
      <c r="P57" s="112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 s="115"/>
      <c r="AF57" s="115"/>
      <c r="AG57" s="115"/>
      <c r="AH57" s="115"/>
      <c r="AI57" s="115"/>
      <c r="AJ57" s="115"/>
    </row>
    <row r="58" spans="1:39" s="46" customFormat="1" ht="13.5" hidden="1" customHeight="1">
      <c r="A58" s="116"/>
      <c r="B58" s="113"/>
      <c r="C58" s="113"/>
      <c r="D58" s="113"/>
      <c r="E58" s="116"/>
      <c r="F58" s="113"/>
      <c r="G58" s="113"/>
      <c r="H58" s="113"/>
      <c r="I58" s="113"/>
      <c r="J58" s="113"/>
      <c r="K58" s="116"/>
      <c r="L58" s="114"/>
      <c r="M58" s="113"/>
      <c r="N58" s="113"/>
      <c r="O58" s="113"/>
      <c r="P58" s="112"/>
      <c r="Q58" s="116"/>
      <c r="R58" s="117"/>
      <c r="S58" s="117"/>
      <c r="T58" s="117"/>
      <c r="U58" s="117"/>
      <c r="V58" s="117"/>
      <c r="W58" s="116"/>
      <c r="X58" s="117"/>
      <c r="Y58" s="117"/>
      <c r="Z58" s="118"/>
      <c r="AA58" s="117"/>
      <c r="AB58" s="119"/>
      <c r="AC58" s="119"/>
      <c r="AD58" s="116"/>
      <c r="AE58" s="115"/>
      <c r="AF58" s="115"/>
      <c r="AG58" s="115"/>
      <c r="AH58" s="115"/>
      <c r="AI58" s="115"/>
      <c r="AJ58" s="115"/>
    </row>
    <row r="59" spans="1:39" s="46" customFormat="1" ht="13.5" hidden="1" customHeight="1">
      <c r="A59" s="116"/>
      <c r="B59" s="113"/>
      <c r="C59" s="113"/>
      <c r="D59" s="113"/>
      <c r="E59" s="116"/>
      <c r="F59" s="113"/>
      <c r="G59" s="113"/>
      <c r="H59" s="113"/>
      <c r="I59" s="113"/>
      <c r="J59" s="113"/>
      <c r="K59" s="116"/>
      <c r="L59" s="114"/>
      <c r="M59" s="113"/>
      <c r="N59" s="113"/>
      <c r="O59" s="113"/>
      <c r="P59" s="112"/>
      <c r="Q59" s="120"/>
      <c r="R59" s="117"/>
      <c r="S59" s="117"/>
      <c r="T59" s="117"/>
      <c r="U59" s="117"/>
      <c r="V59" s="117"/>
      <c r="W59" s="120"/>
      <c r="X59" s="117"/>
      <c r="Y59" s="117"/>
      <c r="Z59" s="118"/>
      <c r="AA59" s="117"/>
      <c r="AB59" s="119"/>
      <c r="AC59" s="119"/>
      <c r="AD59" s="120"/>
      <c r="AE59" s="115"/>
      <c r="AF59" s="115"/>
      <c r="AG59" s="115"/>
      <c r="AH59" s="115"/>
      <c r="AI59" s="115"/>
      <c r="AJ59" s="115"/>
    </row>
    <row r="60" spans="1:39" s="46" customFormat="1" ht="13.5" hidden="1" customHeight="1">
      <c r="A60" s="112"/>
      <c r="B60" s="113"/>
      <c r="C60" s="113"/>
      <c r="D60" s="113"/>
      <c r="E60" s="113"/>
      <c r="F60" s="113"/>
      <c r="G60" s="113"/>
      <c r="H60" s="113"/>
      <c r="I60" s="113"/>
      <c r="J60" s="113"/>
      <c r="K60" s="113"/>
      <c r="L60" s="114"/>
      <c r="M60" s="113"/>
      <c r="N60" s="113"/>
      <c r="O60" s="113"/>
      <c r="P60" s="112"/>
      <c r="Q60" s="120"/>
      <c r="R60" s="117"/>
      <c r="S60" s="117"/>
      <c r="T60" s="117"/>
      <c r="U60" s="117"/>
      <c r="V60" s="117"/>
      <c r="W60" s="120"/>
      <c r="X60" s="117"/>
      <c r="Y60" s="117"/>
      <c r="Z60" s="118"/>
      <c r="AA60" s="117"/>
      <c r="AB60" s="119"/>
      <c r="AC60" s="119"/>
      <c r="AD60" s="120"/>
      <c r="AE60" s="115"/>
      <c r="AF60" s="115"/>
      <c r="AG60" s="115"/>
      <c r="AH60" s="115"/>
      <c r="AI60" s="115"/>
      <c r="AJ60" s="115"/>
    </row>
    <row r="61" spans="1:39" s="46" customFormat="1" ht="13.5" hidden="1" customHeight="1">
      <c r="A61" s="112"/>
      <c r="B61" s="113"/>
      <c r="C61" s="113"/>
      <c r="D61" s="113"/>
      <c r="E61" s="113"/>
      <c r="F61" s="113"/>
      <c r="G61" s="113"/>
      <c r="H61" s="113"/>
      <c r="I61" s="113"/>
      <c r="J61" s="113"/>
      <c r="K61" s="113"/>
      <c r="L61" s="114"/>
      <c r="M61" s="113"/>
      <c r="N61" s="113"/>
      <c r="O61" s="113"/>
      <c r="P61" s="112"/>
      <c r="Q61" s="101"/>
      <c r="R61" s="102"/>
      <c r="S61" s="102"/>
      <c r="T61" s="102"/>
      <c r="U61" s="102"/>
      <c r="V61" s="102"/>
      <c r="W61" s="101"/>
      <c r="X61" s="102"/>
      <c r="Y61" s="102"/>
      <c r="Z61" s="102"/>
      <c r="AA61" s="102"/>
      <c r="AB61" s="59"/>
      <c r="AC61" s="59"/>
      <c r="AD61" s="101"/>
      <c r="AE61" s="121"/>
      <c r="AF61" s="115"/>
      <c r="AG61" s="115"/>
      <c r="AH61" s="115"/>
      <c r="AI61" s="115"/>
      <c r="AJ61" s="115"/>
    </row>
    <row r="62" spans="1:39" s="46" customFormat="1" ht="13.5" hidden="1" customHeight="1">
      <c r="A62" s="101"/>
      <c r="B62" s="101"/>
      <c r="C62" s="101"/>
      <c r="D62" s="101"/>
      <c r="E62" s="101"/>
      <c r="F62" s="122"/>
      <c r="G62" s="101"/>
      <c r="H62" s="122"/>
      <c r="I62" s="101"/>
      <c r="J62" s="101"/>
      <c r="K62" s="101"/>
      <c r="L62" s="123"/>
      <c r="M62" s="124"/>
      <c r="N62" s="124"/>
      <c r="O62" s="124"/>
      <c r="P62" s="106"/>
      <c r="Q62" s="101"/>
      <c r="R62" s="102"/>
      <c r="S62" s="102"/>
      <c r="T62" s="102"/>
      <c r="U62" s="102"/>
      <c r="V62" s="102"/>
      <c r="W62" s="101"/>
      <c r="X62" s="102"/>
      <c r="Y62" s="102"/>
      <c r="Z62" s="102"/>
      <c r="AA62" s="102"/>
      <c r="AB62" s="59"/>
      <c r="AC62" s="59"/>
      <c r="AD62" s="101"/>
      <c r="AE62" s="121"/>
      <c r="AF62" s="121"/>
      <c r="AG62" s="121"/>
      <c r="AH62" s="121"/>
      <c r="AI62" s="121"/>
      <c r="AJ62" s="121"/>
    </row>
    <row r="63" spans="1:39" s="21" customFormat="1" ht="13.5" hidden="1" customHeight="1">
      <c r="A63" s="125"/>
      <c r="B63" s="101"/>
      <c r="C63" s="101"/>
      <c r="D63" s="101"/>
      <c r="E63" s="125"/>
      <c r="F63" s="122"/>
      <c r="G63" s="101"/>
      <c r="H63" s="122"/>
      <c r="I63" s="101"/>
      <c r="J63" s="101"/>
      <c r="K63" s="125"/>
      <c r="L63" s="123"/>
      <c r="M63" s="124"/>
      <c r="N63" s="124"/>
      <c r="O63" s="124"/>
      <c r="P63" s="106"/>
      <c r="Q63" s="101"/>
      <c r="R63" s="102"/>
      <c r="S63" s="102"/>
      <c r="T63" s="102"/>
      <c r="U63" s="102"/>
      <c r="V63" s="102"/>
      <c r="W63" s="101"/>
      <c r="X63" s="102"/>
      <c r="Y63" s="102"/>
      <c r="Z63" s="102"/>
      <c r="AA63" s="102"/>
      <c r="AB63" s="59"/>
      <c r="AC63" s="59"/>
      <c r="AD63" s="101"/>
      <c r="AE63" s="121"/>
      <c r="AF63" s="121"/>
      <c r="AG63" s="121"/>
      <c r="AH63" s="121"/>
      <c r="AI63" s="121"/>
      <c r="AJ63" s="121"/>
      <c r="AK63" s="46"/>
      <c r="AL63" s="46"/>
      <c r="AM63" s="46"/>
    </row>
    <row r="64" spans="1:39" ht="13.5" hidden="1" customHeight="1">
      <c r="A64" s="101"/>
      <c r="B64" s="124"/>
      <c r="C64" s="124"/>
      <c r="D64" s="124"/>
      <c r="E64" s="101"/>
      <c r="F64" s="124"/>
      <c r="G64" s="124"/>
      <c r="H64" s="124"/>
      <c r="I64" s="124"/>
      <c r="J64" s="124"/>
      <c r="K64" s="101"/>
      <c r="L64" s="123"/>
      <c r="M64" s="124"/>
      <c r="N64" s="124"/>
      <c r="O64" s="124"/>
      <c r="P64" s="106"/>
      <c r="Q64" s="101"/>
      <c r="R64" s="102"/>
      <c r="S64" s="102"/>
      <c r="T64" s="102"/>
      <c r="U64" s="102"/>
      <c r="V64" s="102"/>
      <c r="W64" s="101"/>
      <c r="X64" s="102"/>
      <c r="Y64" s="102"/>
      <c r="Z64" s="102"/>
      <c r="AA64" s="102"/>
      <c r="AB64" s="59"/>
      <c r="AC64" s="59"/>
      <c r="AD64" s="101"/>
      <c r="AE64" s="121"/>
      <c r="AF64" s="121"/>
      <c r="AG64" s="121"/>
      <c r="AH64" s="121"/>
      <c r="AI64" s="121"/>
      <c r="AJ64" s="121"/>
    </row>
    <row r="65" spans="1:36" ht="13.5" hidden="1" customHeight="1">
      <c r="A65" s="126"/>
      <c r="B65" s="124"/>
      <c r="C65" s="124"/>
      <c r="D65" s="124"/>
      <c r="E65" s="126"/>
      <c r="F65" s="124"/>
      <c r="G65" s="124"/>
      <c r="H65" s="124"/>
      <c r="I65" s="124"/>
      <c r="J65" s="124"/>
      <c r="K65" s="126"/>
      <c r="L65" s="123"/>
      <c r="M65" s="124"/>
      <c r="N65" s="124"/>
      <c r="O65" s="124"/>
      <c r="P65" s="106"/>
      <c r="Q65" s="121"/>
      <c r="R65" s="121"/>
      <c r="S65" s="121"/>
      <c r="T65" s="121"/>
      <c r="U65" s="121"/>
      <c r="V65" s="121"/>
      <c r="W65" s="121"/>
      <c r="X65" s="121"/>
      <c r="Y65" s="121"/>
      <c r="Z65" s="121"/>
      <c r="AA65" s="121"/>
      <c r="AB65" s="121"/>
      <c r="AC65" s="121"/>
      <c r="AD65" s="121"/>
      <c r="AE65" s="121"/>
      <c r="AF65" s="121"/>
      <c r="AG65" s="121"/>
      <c r="AH65" s="121"/>
      <c r="AI65" s="121"/>
      <c r="AJ65" s="121"/>
    </row>
    <row r="66" spans="1:36" ht="13.5" hidden="1" customHeight="1">
      <c r="A66" s="112"/>
      <c r="B66" s="113"/>
      <c r="C66" s="113"/>
      <c r="D66" s="113"/>
      <c r="E66" s="113"/>
      <c r="F66" s="113"/>
      <c r="G66" s="113"/>
      <c r="H66" s="113"/>
      <c r="I66" s="113"/>
      <c r="J66" s="113"/>
      <c r="K66" s="113"/>
      <c r="L66" s="114"/>
      <c r="M66" s="113"/>
      <c r="N66" s="113"/>
      <c r="O66" s="113"/>
      <c r="P66" s="112"/>
      <c r="R66" s="113"/>
      <c r="S66" s="113"/>
      <c r="T66" s="113"/>
      <c r="U66" s="113"/>
      <c r="V66" s="113"/>
      <c r="W66" s="113"/>
      <c r="X66" s="113"/>
      <c r="Y66" s="113"/>
      <c r="Z66" s="113"/>
      <c r="AA66" s="113"/>
      <c r="AB66" s="113"/>
      <c r="AC66" s="113"/>
    </row>
    <row r="67" spans="1:36" ht="13.5" hidden="1" customHeight="1">
      <c r="A67" s="112"/>
      <c r="B67" s="113"/>
      <c r="C67" s="113"/>
      <c r="D67" s="113"/>
      <c r="E67" s="113"/>
      <c r="F67" s="113"/>
      <c r="G67" s="113"/>
      <c r="H67" s="113"/>
      <c r="I67" s="113"/>
      <c r="J67" s="113"/>
      <c r="K67" s="113"/>
      <c r="L67" s="114"/>
      <c r="M67" s="113"/>
      <c r="N67" s="113"/>
      <c r="O67" s="113"/>
      <c r="P67" s="112"/>
      <c r="R67" s="113"/>
      <c r="S67" s="113"/>
      <c r="T67" s="113"/>
      <c r="U67" s="113"/>
      <c r="V67" s="113"/>
      <c r="W67" s="113"/>
      <c r="X67" s="113"/>
      <c r="Y67" s="113"/>
      <c r="Z67" s="113"/>
      <c r="AA67" s="113"/>
      <c r="AB67" s="113"/>
      <c r="AC67" s="113"/>
    </row>
    <row r="68" spans="1:36" ht="13.5" hidden="1" customHeight="1">
      <c r="A68" s="112"/>
      <c r="B68" s="113"/>
      <c r="C68" s="113"/>
      <c r="D68" s="113"/>
      <c r="E68" s="113"/>
      <c r="F68" s="113"/>
      <c r="G68" s="113"/>
      <c r="H68" s="113"/>
      <c r="I68" s="113"/>
      <c r="J68" s="113"/>
      <c r="K68" s="113"/>
      <c r="L68" s="114"/>
      <c r="M68" s="113"/>
      <c r="N68" s="113"/>
      <c r="O68" s="113"/>
      <c r="P68" s="112"/>
      <c r="R68" s="113"/>
      <c r="S68" s="113"/>
      <c r="T68" s="113"/>
      <c r="U68" s="113"/>
      <c r="V68" s="113"/>
      <c r="W68" s="113"/>
      <c r="X68" s="113"/>
      <c r="Y68" s="113"/>
      <c r="Z68" s="113"/>
      <c r="AA68" s="113"/>
      <c r="AB68" s="113"/>
      <c r="AC68" s="113"/>
    </row>
    <row r="69" spans="1:36" ht="13.5" hidden="1" customHeight="1">
      <c r="A69" s="112"/>
      <c r="B69" s="113"/>
      <c r="C69" s="113"/>
      <c r="D69" s="113"/>
      <c r="E69" s="113"/>
      <c r="F69" s="113"/>
      <c r="G69" s="113"/>
      <c r="H69" s="113"/>
      <c r="I69" s="113"/>
      <c r="J69" s="113"/>
      <c r="K69" s="113"/>
      <c r="L69" s="114"/>
      <c r="M69" s="113"/>
      <c r="N69" s="113"/>
      <c r="O69" s="113"/>
      <c r="P69" s="112"/>
      <c r="R69" s="113"/>
      <c r="S69" s="113"/>
      <c r="T69" s="113"/>
      <c r="U69" s="113"/>
      <c r="V69" s="113"/>
      <c r="W69" s="113"/>
      <c r="X69" s="113"/>
      <c r="Y69" s="113"/>
      <c r="Z69" s="113"/>
      <c r="AA69" s="113"/>
      <c r="AB69" s="113"/>
      <c r="AC69" s="113"/>
    </row>
    <row r="70" spans="1:36" s="121" customFormat="1" ht="13.5" hidden="1" customHeight="1">
      <c r="A70" s="112"/>
      <c r="B70" s="113"/>
      <c r="C70" s="113"/>
      <c r="D70" s="113"/>
      <c r="E70" s="113"/>
      <c r="F70" s="113"/>
      <c r="G70" s="113"/>
      <c r="H70" s="113"/>
      <c r="I70" s="113"/>
      <c r="J70" s="113"/>
      <c r="K70" s="113"/>
      <c r="L70" s="114"/>
      <c r="M70" s="113"/>
      <c r="N70" s="113"/>
      <c r="O70" s="113"/>
      <c r="P70" s="112"/>
      <c r="Q70" s="113"/>
      <c r="R70" s="113"/>
      <c r="S70" s="113"/>
      <c r="T70" s="113"/>
      <c r="U70" s="113"/>
      <c r="V70" s="113"/>
      <c r="W70" s="113"/>
      <c r="X70" s="113"/>
      <c r="Y70" s="113"/>
      <c r="Z70" s="113"/>
      <c r="AA70" s="113"/>
      <c r="AB70" s="113"/>
      <c r="AC70" s="113"/>
      <c r="AD70" s="115"/>
      <c r="AE70" s="115"/>
      <c r="AF70" s="115"/>
      <c r="AG70" s="115"/>
      <c r="AH70" s="115"/>
      <c r="AI70" s="115"/>
      <c r="AJ70" s="115"/>
    </row>
    <row r="71" spans="1:36" s="121" customFormat="1" ht="13.5" hidden="1" customHeight="1">
      <c r="A71" s="112"/>
      <c r="B71" s="113"/>
      <c r="C71" s="113"/>
      <c r="D71" s="113"/>
      <c r="E71" s="113"/>
      <c r="F71" s="113"/>
      <c r="G71" s="113"/>
      <c r="H71" s="113"/>
      <c r="I71" s="113"/>
      <c r="J71" s="113"/>
      <c r="K71" s="113"/>
      <c r="L71" s="114"/>
      <c r="M71" s="113"/>
      <c r="N71" s="113"/>
      <c r="O71" s="113"/>
      <c r="P71" s="112"/>
      <c r="Q71" s="113"/>
      <c r="R71" s="113"/>
      <c r="S71" s="113"/>
      <c r="T71" s="113"/>
      <c r="U71" s="113"/>
      <c r="V71" s="113"/>
      <c r="W71" s="113"/>
      <c r="X71" s="113"/>
      <c r="Y71" s="113"/>
      <c r="Z71" s="113"/>
      <c r="AA71" s="113"/>
      <c r="AB71" s="113"/>
      <c r="AC71" s="113"/>
      <c r="AD71" s="115"/>
      <c r="AE71" s="115"/>
      <c r="AF71" s="115"/>
      <c r="AG71" s="115"/>
      <c r="AH71" s="115"/>
      <c r="AI71" s="115"/>
      <c r="AJ71" s="115"/>
    </row>
    <row r="72" spans="1:36" s="121" customFormat="1" ht="13.5" hidden="1" customHeight="1">
      <c r="A72" s="112"/>
      <c r="B72" s="113"/>
      <c r="C72" s="113"/>
      <c r="D72" s="113"/>
      <c r="E72" s="113"/>
      <c r="F72" s="113"/>
      <c r="G72" s="113"/>
      <c r="H72" s="113"/>
      <c r="I72" s="113"/>
      <c r="J72" s="113"/>
      <c r="K72" s="113"/>
      <c r="L72" s="114"/>
      <c r="M72" s="113"/>
      <c r="N72" s="113"/>
      <c r="O72" s="113"/>
      <c r="P72" s="112"/>
      <c r="Q72" s="113"/>
      <c r="R72" s="113"/>
      <c r="S72" s="113"/>
      <c r="T72" s="113"/>
      <c r="U72" s="113"/>
      <c r="V72" s="113"/>
      <c r="W72" s="113"/>
      <c r="X72" s="113"/>
      <c r="Y72" s="113"/>
      <c r="Z72" s="113"/>
      <c r="AA72" s="113"/>
      <c r="AB72" s="113"/>
      <c r="AC72" s="113"/>
      <c r="AD72" s="115"/>
      <c r="AE72" s="115"/>
      <c r="AF72" s="115"/>
      <c r="AG72" s="115"/>
      <c r="AH72" s="115"/>
      <c r="AI72" s="115"/>
      <c r="AJ72" s="115"/>
    </row>
    <row r="73" spans="1:36" s="121" customFormat="1" ht="13.5" hidden="1" customHeight="1">
      <c r="A73" s="112"/>
      <c r="B73" s="113"/>
      <c r="C73" s="113"/>
      <c r="D73" s="113"/>
      <c r="E73" s="113"/>
      <c r="F73" s="113"/>
      <c r="G73" s="113"/>
      <c r="H73" s="113"/>
      <c r="I73" s="113"/>
      <c r="J73" s="113"/>
      <c r="K73" s="113"/>
      <c r="L73" s="114"/>
      <c r="M73" s="113"/>
      <c r="N73" s="113"/>
      <c r="O73" s="113"/>
      <c r="P73" s="112"/>
      <c r="Q73" s="113"/>
      <c r="R73" s="113"/>
      <c r="S73" s="113"/>
      <c r="T73" s="113"/>
      <c r="U73" s="113"/>
      <c r="V73" s="113"/>
      <c r="W73" s="113"/>
      <c r="X73" s="113"/>
      <c r="Y73" s="113"/>
      <c r="Z73" s="113"/>
      <c r="AA73" s="113"/>
      <c r="AB73" s="113"/>
      <c r="AC73" s="113"/>
      <c r="AD73" s="115"/>
      <c r="AE73" s="115"/>
      <c r="AF73" s="115"/>
      <c r="AG73" s="115"/>
      <c r="AH73" s="115"/>
      <c r="AI73" s="115"/>
      <c r="AJ73" s="115"/>
    </row>
    <row r="74" spans="1:36" ht="13.5" hidden="1" customHeight="1">
      <c r="A74" s="112"/>
      <c r="B74" s="113"/>
      <c r="C74" s="113"/>
      <c r="D74" s="113"/>
      <c r="E74" s="113"/>
      <c r="F74" s="113"/>
      <c r="G74" s="113"/>
      <c r="H74" s="113"/>
      <c r="I74" s="113"/>
      <c r="J74" s="113"/>
      <c r="K74" s="113"/>
      <c r="L74" s="114"/>
      <c r="M74" s="113"/>
      <c r="N74" s="113"/>
      <c r="O74" s="113"/>
      <c r="P74" s="112"/>
      <c r="R74" s="113"/>
      <c r="S74" s="113"/>
      <c r="T74" s="113"/>
      <c r="U74" s="113"/>
      <c r="V74" s="113"/>
      <c r="W74" s="113"/>
      <c r="X74" s="113"/>
      <c r="Y74" s="113"/>
      <c r="Z74" s="113"/>
      <c r="AA74" s="113"/>
      <c r="AB74" s="113"/>
      <c r="AC74" s="113"/>
    </row>
    <row r="75" spans="1:36" ht="13.5" hidden="1" customHeight="1">
      <c r="A75" s="112"/>
      <c r="B75" s="113"/>
      <c r="C75" s="113"/>
      <c r="D75" s="113"/>
      <c r="E75" s="113"/>
      <c r="F75" s="113"/>
      <c r="G75" s="113"/>
      <c r="H75" s="113"/>
      <c r="I75" s="113"/>
      <c r="J75" s="113"/>
      <c r="K75" s="113"/>
      <c r="L75" s="114"/>
      <c r="M75" s="113"/>
      <c r="N75" s="113"/>
      <c r="O75" s="113"/>
      <c r="P75" s="112"/>
      <c r="R75" s="113"/>
      <c r="S75" s="113"/>
      <c r="T75" s="113"/>
      <c r="U75" s="113"/>
      <c r="V75" s="113"/>
      <c r="W75" s="113"/>
      <c r="X75" s="113"/>
      <c r="Y75" s="113"/>
      <c r="Z75" s="113"/>
      <c r="AA75" s="113"/>
      <c r="AB75" s="113"/>
      <c r="AC75" s="113"/>
    </row>
    <row r="76" spans="1:36" ht="13.5" hidden="1" customHeight="1">
      <c r="A76" s="112"/>
      <c r="B76" s="113"/>
      <c r="C76" s="113"/>
      <c r="D76" s="113"/>
      <c r="E76" s="113"/>
      <c r="F76" s="113"/>
      <c r="G76" s="113"/>
      <c r="H76" s="113"/>
      <c r="I76" s="113"/>
      <c r="J76" s="113"/>
      <c r="K76" s="113"/>
      <c r="L76" s="114"/>
      <c r="M76" s="113"/>
      <c r="N76" s="113"/>
      <c r="O76" s="113"/>
      <c r="P76" s="112"/>
      <c r="R76" s="113"/>
      <c r="S76" s="113"/>
      <c r="T76" s="113"/>
      <c r="U76" s="113"/>
      <c r="V76" s="113"/>
      <c r="W76" s="113"/>
      <c r="X76" s="113"/>
      <c r="Y76" s="113"/>
      <c r="Z76" s="113"/>
      <c r="AA76" s="113"/>
      <c r="AB76" s="113"/>
      <c r="AC76" s="113"/>
    </row>
    <row r="77" spans="1:36" ht="13.5" hidden="1" customHeight="1">
      <c r="A77" s="112"/>
      <c r="B77" s="113"/>
      <c r="C77" s="113"/>
      <c r="D77" s="113"/>
      <c r="E77" s="113"/>
      <c r="F77" s="113"/>
      <c r="G77" s="113"/>
      <c r="H77" s="113"/>
      <c r="I77" s="113"/>
      <c r="J77" s="113"/>
      <c r="K77" s="113"/>
      <c r="L77" s="114"/>
      <c r="M77" s="113"/>
      <c r="N77" s="113"/>
      <c r="O77" s="113"/>
      <c r="P77" s="112"/>
      <c r="R77" s="113"/>
      <c r="S77" s="113"/>
      <c r="T77" s="113"/>
      <c r="U77" s="113"/>
      <c r="V77" s="113"/>
      <c r="W77" s="113"/>
      <c r="X77" s="113"/>
      <c r="Y77" s="113"/>
      <c r="Z77" s="113"/>
      <c r="AA77" s="113"/>
      <c r="AB77" s="113"/>
      <c r="AC77" s="113"/>
    </row>
    <row r="78" spans="1:36" ht="13.5" hidden="1" customHeight="1">
      <c r="A78" s="112"/>
      <c r="B78" s="113"/>
      <c r="C78" s="113"/>
      <c r="D78" s="113"/>
      <c r="E78" s="113"/>
      <c r="F78" s="113"/>
      <c r="G78" s="113"/>
      <c r="H78" s="113"/>
      <c r="I78" s="113"/>
      <c r="J78" s="113"/>
      <c r="K78" s="113"/>
      <c r="L78" s="114"/>
      <c r="M78" s="113"/>
      <c r="N78" s="113"/>
      <c r="O78" s="113"/>
      <c r="P78" s="112"/>
      <c r="R78" s="113"/>
      <c r="S78" s="113"/>
      <c r="T78" s="113"/>
      <c r="U78" s="113"/>
      <c r="V78" s="113"/>
      <c r="W78" s="113"/>
      <c r="X78" s="113"/>
      <c r="Y78" s="113"/>
      <c r="Z78" s="113"/>
      <c r="AA78" s="113"/>
      <c r="AB78" s="113"/>
      <c r="AC78" s="113"/>
    </row>
    <row r="79" spans="1:36" ht="13.5" hidden="1" customHeight="1"/>
    <row r="80" spans="1:36" ht="13.5" hidden="1" customHeight="1"/>
    <row r="81" ht="13.5" hidden="1" customHeight="1"/>
    <row r="82" ht="13.5" hidden="1" customHeight="1"/>
    <row r="83" ht="13.5" hidden="1" customHeight="1"/>
    <row r="84" ht="13.5" hidden="1" customHeight="1"/>
    <row r="85" ht="13.5" hidden="1" customHeight="1"/>
    <row r="86" ht="13.5" hidden="1" customHeight="1"/>
    <row r="87" ht="13.5" hidden="1" customHeight="1"/>
    <row r="88" ht="13.5" hidden="1" customHeight="1"/>
    <row r="89" ht="13.5" hidden="1" customHeight="1"/>
    <row r="90" ht="13.5" hidden="1" customHeight="1"/>
    <row r="91" ht="13.5" hidden="1" customHeight="1"/>
    <row r="92" ht="13.5" hidden="1" customHeight="1"/>
    <row r="93" ht="13.5" hidden="1" customHeight="1"/>
    <row r="94" ht="13.5" hidden="1" customHeight="1"/>
    <row r="95" ht="13.5" hidden="1" customHeight="1"/>
    <row r="96" ht="13.5" hidden="1" customHeight="1"/>
    <row r="97" ht="13.5" hidden="1" customHeight="1"/>
    <row r="98" ht="13.5" hidden="1" customHeight="1"/>
    <row r="99" ht="13.5" hidden="1" customHeight="1"/>
    <row r="100" ht="13.5" hidden="1" customHeight="1"/>
    <row r="101" ht="13.5" hidden="1" customHeight="1"/>
    <row r="102" ht="13.5" hidden="1" customHeight="1"/>
    <row r="103" ht="13.5" hidden="1" customHeight="1"/>
    <row r="104" ht="13.5" hidden="1" customHeight="1"/>
    <row r="105" ht="13.5" hidden="1" customHeight="1"/>
    <row r="106" ht="13.5" hidden="1" customHeight="1"/>
    <row r="107" ht="13.5" hidden="1" customHeight="1"/>
    <row r="108" ht="13.5" hidden="1" customHeight="1"/>
    <row r="109" ht="13.5" hidden="1" customHeight="1"/>
    <row r="110" ht="13.5" hidden="1" customHeight="1"/>
    <row r="111" ht="13.5" hidden="1" customHeight="1"/>
    <row r="112" ht="13.5" hidden="1" customHeight="1"/>
    <row r="113" ht="13.5" hidden="1" customHeight="1"/>
    <row r="114" ht="13.5" hidden="1" customHeight="1"/>
    <row r="115" ht="13.5" hidden="1" customHeight="1"/>
    <row r="116" ht="13.5" hidden="1" customHeight="1"/>
    <row r="117" ht="13.5" hidden="1" customHeight="1"/>
    <row r="118" ht="13.5" hidden="1" customHeight="1"/>
    <row r="119" ht="13.5" hidden="1" customHeight="1"/>
    <row r="120" ht="13.5" hidden="1" customHeight="1"/>
    <row r="121" ht="13.5" hidden="1" customHeight="1"/>
    <row r="122" ht="13.5" hidden="1" customHeight="1"/>
    <row r="123" ht="13.5" hidden="1" customHeight="1"/>
    <row r="124" ht="13.5" hidden="1" customHeight="1"/>
    <row r="125" ht="13.5" hidden="1" customHeight="1"/>
    <row r="126" ht="13.5" hidden="1" customHeight="1"/>
    <row r="127" ht="13.5" hidden="1" customHeight="1"/>
    <row r="128" ht="13.5" hidden="1" customHeight="1"/>
    <row r="129" ht="13.5" hidden="1" customHeight="1"/>
    <row r="130" ht="13.5" hidden="1" customHeight="1"/>
    <row r="131" ht="13.5" hidden="1" customHeight="1"/>
    <row r="132" ht="13.5" hidden="1" customHeight="1"/>
    <row r="133" ht="13.5" hidden="1" customHeight="1"/>
    <row r="134" ht="13.5" hidden="1" customHeight="1"/>
    <row r="135" ht="13.5" hidden="1" customHeight="1"/>
    <row r="136" ht="13.5" hidden="1" customHeight="1"/>
    <row r="137" ht="13.5" hidden="1" customHeight="1"/>
    <row r="138" ht="13.5" hidden="1" customHeight="1"/>
    <row r="139" ht="13.5" hidden="1" customHeight="1"/>
    <row r="140" ht="13.5" hidden="1" customHeight="1"/>
    <row r="141" ht="13.5" hidden="1" customHeight="1"/>
    <row r="142" ht="13.5" hidden="1" customHeight="1"/>
    <row r="143" ht="13.5" hidden="1" customHeight="1"/>
    <row r="144" ht="13.5" hidden="1" customHeight="1"/>
    <row r="145" ht="13.5" hidden="1" customHeight="1"/>
    <row r="146" ht="13.5" hidden="1" customHeight="1"/>
    <row r="147" ht="13.5" hidden="1" customHeight="1"/>
    <row r="148" ht="13.5" hidden="1" customHeight="1"/>
    <row r="149" ht="13.5" hidden="1" customHeight="1"/>
    <row r="150" ht="13.5" hidden="1" customHeight="1"/>
    <row r="151" ht="13.5" hidden="1" customHeight="1"/>
    <row r="152" ht="13.5" hidden="1" customHeight="1"/>
    <row r="153" ht="13.5" hidden="1" customHeight="1"/>
    <row r="154" ht="13.5" hidden="1" customHeight="1"/>
    <row r="155" ht="13.5" hidden="1" customHeight="1"/>
    <row r="156" ht="13.5" hidden="1" customHeight="1"/>
    <row r="157" ht="13.5" hidden="1" customHeight="1"/>
    <row r="158" ht="13.5" hidden="1" customHeight="1"/>
    <row r="159" ht="13.5" hidden="1" customHeight="1"/>
    <row r="160" ht="13.5" hidden="1" customHeight="1"/>
    <row r="161" ht="13.5" hidden="1" customHeight="1"/>
    <row r="162" ht="13.5" hidden="1" customHeight="1"/>
    <row r="163" ht="13.5" hidden="1" customHeight="1"/>
    <row r="164" ht="13.5" hidden="1" customHeight="1"/>
    <row r="165" ht="13.5" hidden="1" customHeight="1"/>
    <row r="166" ht="13.5" hidden="1" customHeight="1"/>
    <row r="167" ht="13.5" hidden="1" customHeight="1"/>
    <row r="168" ht="13.5" hidden="1" customHeight="1"/>
    <row r="169" ht="13.5" hidden="1" customHeight="1"/>
    <row r="170" ht="13.5" hidden="1" customHeight="1"/>
    <row r="171" ht="13.5" hidden="1" customHeight="1"/>
    <row r="172" ht="13.5" hidden="1" customHeight="1"/>
    <row r="173" ht="13.5" hidden="1" customHeight="1"/>
    <row r="174" ht="13.5" hidden="1" customHeight="1"/>
    <row r="175" ht="13.5" hidden="1" customHeight="1"/>
    <row r="176" ht="13.5" hidden="1" customHeight="1"/>
    <row r="177" ht="13.5" hidden="1" customHeight="1"/>
    <row r="178" ht="13.5" hidden="1" customHeight="1"/>
    <row r="179" ht="13.5" hidden="1" customHeight="1"/>
    <row r="180" ht="13.5" hidden="1" customHeight="1"/>
    <row r="181" ht="13.5" hidden="1" customHeight="1"/>
    <row r="182" ht="13.5" hidden="1" customHeight="1"/>
    <row r="183" ht="13.5" hidden="1" customHeight="1"/>
    <row r="184" ht="13.5" hidden="1" customHeight="1"/>
    <row r="185" ht="13.5" hidden="1" customHeight="1"/>
    <row r="186" ht="13.5" hidden="1" customHeight="1"/>
    <row r="187" ht="13.5" hidden="1" customHeight="1"/>
    <row r="188" ht="13.5" hidden="1" customHeight="1"/>
    <row r="189" ht="13.5" hidden="1" customHeight="1"/>
    <row r="190" ht="13.5" hidden="1" customHeight="1"/>
    <row r="191" ht="13.5" hidden="1" customHeight="1"/>
    <row r="192" ht="13.5" hidden="1" customHeight="1"/>
    <row r="193" ht="13.5" hidden="1" customHeight="1"/>
    <row r="194" ht="13.5" hidden="1" customHeight="1"/>
    <row r="195" ht="13.5" hidden="1" customHeight="1"/>
    <row r="196" ht="13.5" hidden="1" customHeight="1"/>
    <row r="197" ht="13.5" hidden="1" customHeight="1"/>
    <row r="198" ht="13.5" hidden="1" customHeight="1"/>
    <row r="199" ht="13.5" hidden="1" customHeight="1"/>
    <row r="200" ht="13.5" hidden="1" customHeight="1"/>
    <row r="201" ht="13.5" hidden="1" customHeight="1"/>
    <row r="202" ht="13.5" hidden="1" customHeight="1"/>
    <row r="203" ht="13.5" hidden="1" customHeight="1"/>
    <row r="204" ht="13.5" hidden="1" customHeight="1"/>
    <row r="205" ht="13.5" hidden="1" customHeight="1"/>
    <row r="206" ht="13.5" hidden="1" customHeight="1"/>
    <row r="207" ht="13.5" hidden="1" customHeight="1"/>
    <row r="208" ht="13.5" hidden="1" customHeight="1"/>
    <row r="209" ht="13.5" hidden="1" customHeight="1"/>
    <row r="210" ht="13.5" hidden="1" customHeight="1"/>
    <row r="211" ht="13.5" hidden="1" customHeight="1"/>
    <row r="212" ht="13.5" hidden="1" customHeight="1"/>
    <row r="213" ht="13.5" hidden="1" customHeight="1"/>
    <row r="214" ht="13.5" hidden="1" customHeight="1"/>
    <row r="215" ht="13.5" hidden="1" customHeight="1"/>
    <row r="216" ht="13.5" hidden="1" customHeight="1"/>
    <row r="217" ht="13.5" hidden="1" customHeight="1"/>
    <row r="218" ht="13.5" hidden="1" customHeight="1"/>
    <row r="219" ht="13.5" hidden="1" customHeight="1"/>
    <row r="220" ht="13.5" hidden="1" customHeight="1"/>
    <row r="221" ht="13.5" hidden="1" customHeight="1"/>
    <row r="222" ht="13.5" hidden="1" customHeight="1"/>
    <row r="223" ht="13.5" hidden="1" customHeight="1"/>
    <row r="224" ht="13.5" hidden="1" customHeight="1"/>
    <row r="225" ht="13.5" hidden="1" customHeight="1"/>
    <row r="226" ht="13.5" hidden="1" customHeight="1"/>
    <row r="227" ht="13.5" hidden="1" customHeight="1"/>
    <row r="228" ht="13.5" hidden="1" customHeight="1"/>
    <row r="229" ht="13.5" hidden="1" customHeight="1"/>
    <row r="230" ht="13.5" hidden="1" customHeight="1"/>
    <row r="231" ht="13.5" hidden="1" customHeight="1"/>
    <row r="232" ht="13.5" hidden="1" customHeight="1"/>
    <row r="233" ht="13.5" hidden="1" customHeight="1"/>
    <row r="234" ht="13.5" hidden="1" customHeight="1"/>
    <row r="235" ht="13.5" hidden="1" customHeight="1"/>
    <row r="236" ht="13.5" hidden="1" customHeight="1"/>
    <row r="237" ht="13.5" hidden="1" customHeight="1"/>
    <row r="238" ht="13.5" hidden="1" customHeight="1"/>
    <row r="239" ht="13.5" hidden="1" customHeight="1"/>
    <row r="240" ht="13.5" hidden="1" customHeight="1"/>
    <row r="241" ht="13.5" hidden="1" customHeight="1"/>
    <row r="242" ht="13.5" hidden="1" customHeight="1"/>
    <row r="243" ht="13.5" hidden="1" customHeight="1"/>
    <row r="244" ht="13.5" hidden="1" customHeight="1"/>
    <row r="245" ht="13.5" hidden="1" customHeight="1"/>
    <row r="246" ht="13.5" hidden="1" customHeight="1"/>
    <row r="247" ht="13.5" hidden="1" customHeight="1"/>
    <row r="248" ht="13.5" hidden="1" customHeight="1"/>
    <row r="249" ht="13.5" hidden="1" customHeight="1"/>
    <row r="250" ht="13.5" hidden="1" customHeight="1"/>
    <row r="251" ht="13.5" hidden="1" customHeight="1"/>
    <row r="252" ht="13.5" hidden="1" customHeight="1"/>
    <row r="253" ht="13.5" hidden="1" customHeight="1"/>
    <row r="254" ht="13.5" hidden="1" customHeight="1"/>
    <row r="255" ht="13.5" hidden="1" customHeight="1"/>
    <row r="256" ht="13.5" hidden="1" customHeight="1"/>
    <row r="257" ht="13.5" hidden="1" customHeight="1"/>
    <row r="258" ht="13.5" hidden="1" customHeight="1"/>
    <row r="259" ht="13.5" hidden="1" customHeight="1"/>
    <row r="260" ht="13.5" hidden="1" customHeight="1"/>
    <row r="261" ht="13.5" hidden="1" customHeight="1"/>
    <row r="262" ht="13.5" hidden="1" customHeight="1"/>
    <row r="263" ht="13.5" hidden="1" customHeight="1"/>
    <row r="264" ht="13.5" hidden="1" customHeight="1"/>
    <row r="265" ht="13.5" hidden="1" customHeight="1"/>
    <row r="266" ht="13.5" hidden="1" customHeight="1"/>
    <row r="267" ht="13.5" hidden="1" customHeight="1"/>
    <row r="268" ht="13.5" hidden="1" customHeight="1"/>
    <row r="269" ht="13.5" hidden="1" customHeight="1"/>
    <row r="270" ht="13.5" hidden="1" customHeight="1"/>
    <row r="271" ht="13.5" hidden="1" customHeight="1"/>
    <row r="272" ht="13.5" hidden="1" customHeight="1"/>
    <row r="273" ht="13.5" hidden="1" customHeight="1"/>
    <row r="274" ht="13.5" hidden="1" customHeight="1"/>
    <row r="275" ht="13.5" hidden="1" customHeight="1"/>
    <row r="276" ht="13.5" hidden="1" customHeight="1"/>
    <row r="277" ht="13.5" hidden="1" customHeight="1"/>
    <row r="278" ht="13.5" hidden="1" customHeight="1"/>
    <row r="279" ht="13.5" hidden="1" customHeight="1"/>
    <row r="280" ht="13.5" hidden="1" customHeight="1"/>
    <row r="281" ht="13.5" hidden="1" customHeight="1"/>
    <row r="282" ht="13.5" hidden="1" customHeight="1"/>
    <row r="283" ht="13.5" hidden="1" customHeight="1"/>
    <row r="284" ht="13.5" hidden="1" customHeight="1"/>
    <row r="285" ht="13.5" hidden="1" customHeight="1"/>
    <row r="286" ht="13.5" hidden="1" customHeight="1"/>
    <row r="287" ht="13.5" hidden="1" customHeight="1"/>
    <row r="288" ht="13.5" hidden="1" customHeight="1"/>
    <row r="289" ht="13.5" hidden="1" customHeight="1"/>
    <row r="290" ht="13.5" hidden="1" customHeight="1"/>
    <row r="291" ht="13.5" hidden="1" customHeight="1"/>
    <row r="292" ht="13.5" hidden="1" customHeight="1"/>
    <row r="293" ht="13.5" hidden="1" customHeight="1"/>
    <row r="294" ht="13.5" hidden="1" customHeight="1"/>
    <row r="295" ht="13.5" hidden="1" customHeight="1"/>
    <row r="296" ht="13.5" hidden="1" customHeight="1"/>
    <row r="297" ht="13.5" hidden="1" customHeight="1"/>
    <row r="298" ht="13.5" hidden="1" customHeight="1"/>
    <row r="299" ht="13.5" hidden="1" customHeight="1"/>
    <row r="300" ht="13.5" hidden="1" customHeight="1"/>
    <row r="301" ht="13.5" hidden="1" customHeight="1"/>
    <row r="302" ht="13.5" hidden="1" customHeight="1"/>
    <row r="303" ht="13.5" hidden="1" customHeight="1"/>
    <row r="304" ht="13.5" hidden="1" customHeight="1"/>
    <row r="305" ht="13.5" hidden="1" customHeight="1"/>
    <row r="306" ht="13.5" hidden="1" customHeight="1"/>
    <row r="307" ht="13.5" hidden="1" customHeight="1"/>
    <row r="308" ht="13.5" hidden="1" customHeight="1"/>
    <row r="309" ht="13.5" hidden="1" customHeight="1"/>
    <row r="310" ht="13.5" hidden="1" customHeight="1"/>
    <row r="311" ht="13.5" hidden="1" customHeight="1"/>
    <row r="312" ht="13.5" hidden="1" customHeight="1"/>
    <row r="313" ht="13.5" hidden="1" customHeight="1"/>
    <row r="314" ht="13.5" hidden="1" customHeight="1"/>
    <row r="315" ht="13.5" hidden="1" customHeight="1"/>
    <row r="316"/>
    <row r="317"/>
    <row r="318"/>
  </sheetData>
  <phoneticPr fontId="0" type="noConversion"/>
  <pageMargins left="0.75" right="0.75" top="1" bottom="1" header="0.4921259845" footer="0.4921259845"/>
  <pageSetup paperSize="9" scale="61" orientation="landscape" horizontalDpi="4294967292" verticalDpi="4294967292" r:id="rId1"/>
  <headerFooter alignWithMargins="0">
    <oddFooter>&amp;LLe &amp;D&amp;CProfilés &amp;A du &amp;F&amp;RPage &amp;P sur &amp;N</oddFooter>
  </headerFooter>
  <colBreaks count="1" manualBreakCount="1">
    <brk id="36" max="1048575" man="1"/>
  </colBreaks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G329"/>
  <sheetViews>
    <sheetView topLeftCell="A15" workbookViewId="0">
      <selection activeCell="D29" sqref="D29"/>
    </sheetView>
  </sheetViews>
  <sheetFormatPr defaultColWidth="0" defaultRowHeight="0" customHeight="1" zeroHeight="1"/>
  <cols>
    <col min="1" max="1" width="10.7109375" style="103" customWidth="1"/>
    <col min="2" max="2" width="5.140625" style="94" customWidth="1"/>
    <col min="3" max="3" width="4.28515625" style="94" customWidth="1"/>
    <col min="4" max="4" width="4.140625" style="94" customWidth="1"/>
    <col min="5" max="6" width="5.140625" style="94" customWidth="1"/>
    <col min="7" max="8" width="5.140625" style="104" customWidth="1"/>
    <col min="9" max="9" width="6.42578125" style="94" customWidth="1"/>
    <col min="10" max="15" width="6.140625" style="94" customWidth="1"/>
    <col min="16" max="17" width="5.7109375" style="94" customWidth="1"/>
    <col min="18" max="18" width="5.28515625" style="94" customWidth="1"/>
    <col min="19" max="19" width="5.7109375" style="94" customWidth="1"/>
    <col min="20" max="20" width="6.140625" style="94" customWidth="1"/>
    <col min="21" max="22" width="5.7109375" style="94" customWidth="1"/>
    <col min="23" max="23" width="5.85546875" style="94" customWidth="1"/>
    <col min="24" max="24" width="4.7109375" style="94" customWidth="1"/>
    <col min="25" max="25" width="6.140625" style="94" customWidth="1"/>
    <col min="26" max="26" width="5.7109375" style="7" customWidth="1"/>
    <col min="27" max="27" width="6.85546875" style="7" customWidth="1"/>
    <col min="28" max="31" width="4.7109375" style="7" customWidth="1"/>
    <col min="32" max="32" width="5.7109375" style="94" customWidth="1"/>
    <col min="33" max="16384" width="13.28515625" style="94" hidden="1"/>
  </cols>
  <sheetData>
    <row r="1" spans="1:33" ht="0" hidden="1" customHeight="1"/>
    <row r="2" spans="1:33" ht="0" hidden="1" customHeight="1"/>
    <row r="3" spans="1:33" s="417" customFormat="1" ht="16.5" thickTop="1">
      <c r="B3" s="322"/>
      <c r="C3" s="322"/>
      <c r="D3" s="322"/>
      <c r="E3" s="324"/>
      <c r="F3" s="324"/>
      <c r="H3" s="324"/>
      <c r="I3" s="322"/>
      <c r="J3" s="322"/>
      <c r="K3" s="324"/>
      <c r="M3" s="321"/>
      <c r="Z3" s="419"/>
      <c r="AA3" s="419"/>
      <c r="AB3" s="450"/>
      <c r="AC3" s="450"/>
      <c r="AD3" s="450"/>
      <c r="AE3" s="450"/>
      <c r="AF3" s="450"/>
      <c r="AG3" s="376"/>
    </row>
    <row r="4" spans="1:33" s="417" customFormat="1" ht="15.75">
      <c r="B4" s="322"/>
      <c r="C4" s="322"/>
      <c r="D4" s="322"/>
      <c r="E4" s="324"/>
      <c r="F4" s="324"/>
      <c r="H4" s="324"/>
      <c r="I4" s="322"/>
      <c r="J4" s="322"/>
      <c r="K4" s="324"/>
      <c r="M4" s="321"/>
      <c r="Z4" s="419"/>
      <c r="AA4" s="419"/>
      <c r="AB4" s="450"/>
      <c r="AC4" s="450"/>
      <c r="AD4" s="450"/>
      <c r="AE4" s="450"/>
      <c r="AF4" s="450"/>
      <c r="AG4" s="451"/>
    </row>
    <row r="5" spans="1:33" s="417" customFormat="1" ht="20.25">
      <c r="A5" s="423" t="s">
        <v>1817</v>
      </c>
      <c r="B5" s="322"/>
      <c r="C5" s="322"/>
      <c r="D5" s="322"/>
      <c r="E5" s="324"/>
      <c r="F5" s="324"/>
      <c r="H5" s="324"/>
      <c r="I5" s="322"/>
      <c r="J5" s="322"/>
      <c r="K5" s="324"/>
      <c r="M5" s="321"/>
      <c r="Z5" s="419"/>
      <c r="AA5" s="419"/>
      <c r="AB5" s="450"/>
      <c r="AC5" s="450"/>
      <c r="AD5" s="450"/>
      <c r="AE5" s="450"/>
      <c r="AF5" s="450"/>
      <c r="AG5" s="451"/>
    </row>
    <row r="6" spans="1:33" s="417" customFormat="1" ht="21" thickBot="1">
      <c r="A6" s="423" t="s">
        <v>1819</v>
      </c>
      <c r="B6" s="322"/>
      <c r="C6" s="322"/>
      <c r="D6" s="322"/>
      <c r="E6" s="324"/>
      <c r="F6" s="324"/>
      <c r="H6" s="324"/>
      <c r="I6" s="322"/>
      <c r="J6" s="322"/>
      <c r="K6" s="324"/>
      <c r="M6" s="321"/>
      <c r="Z6" s="419"/>
      <c r="AA6" s="419"/>
      <c r="AB6" s="450"/>
      <c r="AC6" s="450"/>
      <c r="AD6" s="450"/>
      <c r="AE6" s="450"/>
      <c r="AF6" s="450"/>
      <c r="AG6" s="379"/>
    </row>
    <row r="7" spans="1:33" s="417" customFormat="1" ht="21.75" thickTop="1" thickBot="1">
      <c r="A7" s="423"/>
      <c r="B7" s="322"/>
      <c r="C7" s="322"/>
      <c r="D7" s="322"/>
      <c r="E7" s="324"/>
      <c r="F7" s="324"/>
      <c r="H7" s="324"/>
      <c r="I7" s="322"/>
      <c r="J7" s="322"/>
      <c r="K7" s="324"/>
      <c r="M7" s="321"/>
      <c r="Z7" s="419"/>
      <c r="AA7" s="419"/>
      <c r="AB7" s="450"/>
      <c r="AC7" s="450"/>
      <c r="AD7" s="450"/>
      <c r="AE7" s="450"/>
      <c r="AF7" s="450"/>
      <c r="AG7" s="451"/>
    </row>
    <row r="8" spans="1:33" s="417" customFormat="1" ht="14.1" customHeight="1" thickTop="1">
      <c r="A8" s="417" t="s">
        <v>918</v>
      </c>
      <c r="F8" s="324"/>
      <c r="H8" s="422"/>
      <c r="K8" s="324"/>
      <c r="Z8" s="419"/>
      <c r="AA8" s="419"/>
      <c r="AB8" s="450"/>
      <c r="AC8" s="450"/>
      <c r="AD8" s="450"/>
      <c r="AE8" s="450"/>
      <c r="AF8" s="450"/>
      <c r="AG8" s="376"/>
    </row>
    <row r="9" spans="1:33" s="417" customFormat="1" ht="14.1" customHeight="1">
      <c r="F9" s="324"/>
      <c r="H9" s="422"/>
      <c r="K9" s="324"/>
      <c r="Z9" s="419"/>
      <c r="AA9" s="419"/>
      <c r="AB9" s="450"/>
      <c r="AC9" s="450"/>
      <c r="AD9" s="450"/>
      <c r="AE9" s="450"/>
      <c r="AF9" s="450"/>
      <c r="AG9" s="451"/>
    </row>
    <row r="10" spans="1:33" s="417" customFormat="1" ht="14.1" customHeight="1">
      <c r="F10" s="324"/>
      <c r="H10" s="422"/>
      <c r="K10" s="324"/>
      <c r="Z10" s="419"/>
      <c r="AA10" s="419"/>
      <c r="AB10" s="450"/>
      <c r="AC10" s="450"/>
      <c r="AD10" s="450"/>
      <c r="AE10" s="450"/>
      <c r="AF10" s="450"/>
      <c r="AG10" s="451"/>
    </row>
    <row r="11" spans="1:33" s="417" customFormat="1" ht="14.1" customHeight="1">
      <c r="F11" s="324"/>
      <c r="H11" s="422"/>
      <c r="K11" s="324"/>
      <c r="Z11" s="419"/>
      <c r="AA11" s="419"/>
      <c r="AB11" s="450"/>
      <c r="AC11" s="450"/>
      <c r="AD11" s="450"/>
      <c r="AE11" s="450"/>
      <c r="AF11" s="450"/>
      <c r="AG11" s="451"/>
    </row>
    <row r="12" spans="1:33" s="417" customFormat="1" ht="14.1" customHeight="1" thickBot="1">
      <c r="AB12" s="450"/>
      <c r="AC12" s="450"/>
      <c r="AD12" s="450"/>
      <c r="AE12" s="450"/>
      <c r="AF12" s="450"/>
      <c r="AG12" s="379"/>
    </row>
    <row r="13" spans="1:33" s="62" customFormat="1" ht="14.1" customHeight="1" thickTop="1" thickBot="1">
      <c r="A13" s="327"/>
      <c r="B13" s="328"/>
      <c r="C13" s="327"/>
      <c r="D13" s="363"/>
      <c r="E13" s="363"/>
      <c r="F13" s="363"/>
      <c r="G13" s="363"/>
      <c r="H13" s="364"/>
      <c r="I13" s="366" t="s">
        <v>1799</v>
      </c>
      <c r="J13" s="363"/>
      <c r="K13" s="363"/>
      <c r="L13" s="368"/>
      <c r="M13" s="364"/>
      <c r="N13" s="327"/>
      <c r="O13" s="364"/>
      <c r="P13" s="370"/>
      <c r="Q13" s="362"/>
      <c r="R13" s="362"/>
      <c r="S13" s="362"/>
      <c r="T13" s="362"/>
      <c r="U13" s="362" t="s">
        <v>1804</v>
      </c>
      <c r="V13" s="362"/>
      <c r="W13" s="362"/>
      <c r="X13" s="362"/>
      <c r="Y13" s="362"/>
      <c r="Z13" s="371"/>
      <c r="AA13" s="372"/>
      <c r="AB13" s="374"/>
      <c r="AC13" s="375" t="s">
        <v>1806</v>
      </c>
      <c r="AD13" s="375"/>
      <c r="AE13" s="376"/>
    </row>
    <row r="14" spans="1:33" s="62" customFormat="1" ht="14.1" customHeight="1" thickTop="1" thickBot="1">
      <c r="A14" s="329" t="s">
        <v>1799</v>
      </c>
      <c r="B14" s="330"/>
      <c r="C14" s="329"/>
      <c r="D14" s="360"/>
      <c r="E14" s="360" t="s">
        <v>1800</v>
      </c>
      <c r="F14" s="360"/>
      <c r="G14" s="360"/>
      <c r="H14" s="365"/>
      <c r="I14" s="367" t="s">
        <v>1801</v>
      </c>
      <c r="J14" s="360" t="s">
        <v>1802</v>
      </c>
      <c r="K14" s="360"/>
      <c r="L14" s="369"/>
      <c r="M14" s="365"/>
      <c r="N14" s="329" t="s">
        <v>1803</v>
      </c>
      <c r="O14" s="365"/>
      <c r="P14" s="370"/>
      <c r="Q14" s="362" t="s">
        <v>1859</v>
      </c>
      <c r="R14" s="362"/>
      <c r="S14" s="362"/>
      <c r="T14" s="373"/>
      <c r="U14" s="370"/>
      <c r="V14" s="362" t="s">
        <v>1860</v>
      </c>
      <c r="W14" s="362"/>
      <c r="X14" s="373"/>
      <c r="Y14" s="331"/>
      <c r="Z14" s="332"/>
      <c r="AA14" s="333"/>
      <c r="AB14" s="377"/>
      <c r="AC14" s="378" t="s">
        <v>1807</v>
      </c>
      <c r="AD14" s="378"/>
      <c r="AE14" s="379"/>
      <c r="AF14" s="417"/>
    </row>
    <row r="15" spans="1:33" s="62" customFormat="1" ht="14.1" customHeight="1" thickTop="1">
      <c r="A15" s="64" t="s">
        <v>1779</v>
      </c>
      <c r="B15" s="65" t="s">
        <v>1911</v>
      </c>
      <c r="C15" s="66" t="s">
        <v>1912</v>
      </c>
      <c r="D15" s="66" t="s">
        <v>1913</v>
      </c>
      <c r="E15" s="66" t="s">
        <v>1914</v>
      </c>
      <c r="F15" s="66" t="s">
        <v>1915</v>
      </c>
      <c r="G15" s="66" t="s">
        <v>1916</v>
      </c>
      <c r="H15" s="65" t="s">
        <v>1917</v>
      </c>
      <c r="I15" s="67" t="s">
        <v>1918</v>
      </c>
      <c r="J15" s="18" t="s">
        <v>1919</v>
      </c>
      <c r="K15" s="18" t="s">
        <v>1920</v>
      </c>
      <c r="L15" s="18" t="s">
        <v>1921</v>
      </c>
      <c r="M15" s="67" t="s">
        <v>1922</v>
      </c>
      <c r="N15" s="68" t="s">
        <v>1923</v>
      </c>
      <c r="O15" s="18" t="s">
        <v>1924</v>
      </c>
      <c r="P15" s="18" t="s">
        <v>1936</v>
      </c>
      <c r="Q15" s="18" t="s">
        <v>1925</v>
      </c>
      <c r="R15" s="18" t="s">
        <v>1926</v>
      </c>
      <c r="S15" s="18" t="s">
        <v>1927</v>
      </c>
      <c r="T15" s="67" t="s">
        <v>1928</v>
      </c>
      <c r="U15" s="18" t="s">
        <v>1935</v>
      </c>
      <c r="V15" s="18" t="s">
        <v>1929</v>
      </c>
      <c r="W15" s="18" t="s">
        <v>1930</v>
      </c>
      <c r="X15" s="70" t="s">
        <v>1931</v>
      </c>
      <c r="Y15" s="18" t="s">
        <v>1932</v>
      </c>
      <c r="Z15" s="13" t="s">
        <v>1933</v>
      </c>
      <c r="AA15" s="16" t="s">
        <v>1934</v>
      </c>
      <c r="AB15" s="375"/>
      <c r="AC15" s="376"/>
      <c r="AD15" s="374"/>
      <c r="AE15" s="376"/>
      <c r="AF15" s="417"/>
    </row>
    <row r="16" spans="1:33" s="62" customFormat="1" ht="14.1" customHeight="1" thickBot="1">
      <c r="A16" s="64"/>
      <c r="B16" s="65" t="s">
        <v>599</v>
      </c>
      <c r="C16" s="66" t="s">
        <v>600</v>
      </c>
      <c r="D16" s="66" t="s">
        <v>601</v>
      </c>
      <c r="E16" s="66" t="s">
        <v>601</v>
      </c>
      <c r="F16" s="66" t="s">
        <v>601</v>
      </c>
      <c r="G16" s="66" t="s">
        <v>601</v>
      </c>
      <c r="H16" s="65" t="s">
        <v>601</v>
      </c>
      <c r="I16" s="67" t="s">
        <v>921</v>
      </c>
      <c r="J16" s="18" t="s">
        <v>601</v>
      </c>
      <c r="K16" s="18"/>
      <c r="L16" s="18" t="s">
        <v>601</v>
      </c>
      <c r="M16" s="67" t="s">
        <v>601</v>
      </c>
      <c r="N16" s="68" t="s">
        <v>922</v>
      </c>
      <c r="O16" s="18" t="s">
        <v>923</v>
      </c>
      <c r="P16" s="18" t="s">
        <v>924</v>
      </c>
      <c r="Q16" s="18" t="s">
        <v>925</v>
      </c>
      <c r="R16" s="18" t="s">
        <v>925</v>
      </c>
      <c r="S16" s="18" t="s">
        <v>607</v>
      </c>
      <c r="T16" s="67" t="s">
        <v>921</v>
      </c>
      <c r="U16" s="18" t="s">
        <v>926</v>
      </c>
      <c r="V16" s="18" t="s">
        <v>925</v>
      </c>
      <c r="W16" s="18" t="s">
        <v>925</v>
      </c>
      <c r="X16" s="70" t="s">
        <v>607</v>
      </c>
      <c r="Y16" s="18" t="s">
        <v>601</v>
      </c>
      <c r="Z16" s="13" t="s">
        <v>927</v>
      </c>
      <c r="AA16" s="16" t="s">
        <v>928</v>
      </c>
      <c r="AB16" s="378" t="s">
        <v>1808</v>
      </c>
      <c r="AC16" s="379"/>
      <c r="AD16" s="378" t="s">
        <v>1809</v>
      </c>
      <c r="AE16" s="379"/>
      <c r="AF16" s="417"/>
    </row>
    <row r="17" spans="1:32" s="62" customFormat="1" ht="14.1" customHeight="1" thickTop="1" thickBot="1">
      <c r="A17" s="64" t="s">
        <v>1779</v>
      </c>
      <c r="B17" s="65" t="s">
        <v>1911</v>
      </c>
      <c r="C17" s="66" t="s">
        <v>1912</v>
      </c>
      <c r="D17" s="66" t="s">
        <v>1913</v>
      </c>
      <c r="E17" s="66" t="s">
        <v>1914</v>
      </c>
      <c r="F17" s="66" t="s">
        <v>1915</v>
      </c>
      <c r="G17" s="66" t="s">
        <v>1916</v>
      </c>
      <c r="H17" s="65" t="s">
        <v>1917</v>
      </c>
      <c r="I17" s="67" t="s">
        <v>1918</v>
      </c>
      <c r="J17" s="18" t="s">
        <v>1919</v>
      </c>
      <c r="K17" s="18" t="s">
        <v>1920</v>
      </c>
      <c r="L17" s="18" t="s">
        <v>1921</v>
      </c>
      <c r="M17" s="67" t="s">
        <v>1922</v>
      </c>
      <c r="N17" s="68" t="s">
        <v>1923</v>
      </c>
      <c r="O17" s="18" t="s">
        <v>1924</v>
      </c>
      <c r="P17" s="18" t="s">
        <v>1936</v>
      </c>
      <c r="Q17" s="18" t="s">
        <v>1925</v>
      </c>
      <c r="R17" s="18" t="s">
        <v>1926</v>
      </c>
      <c r="S17" s="18" t="s">
        <v>1927</v>
      </c>
      <c r="T17" s="67" t="s">
        <v>1928</v>
      </c>
      <c r="U17" s="18" t="s">
        <v>1935</v>
      </c>
      <c r="V17" s="18" t="s">
        <v>1929</v>
      </c>
      <c r="W17" s="18" t="s">
        <v>1930</v>
      </c>
      <c r="X17" s="70" t="s">
        <v>1931</v>
      </c>
      <c r="Y17" s="18" t="s">
        <v>1932</v>
      </c>
      <c r="Z17" s="13" t="s">
        <v>1933</v>
      </c>
      <c r="AA17" s="16" t="s">
        <v>1934</v>
      </c>
      <c r="AB17" s="77">
        <v>235</v>
      </c>
      <c r="AC17" s="54">
        <v>355</v>
      </c>
      <c r="AD17" s="78">
        <v>235</v>
      </c>
      <c r="AE17" s="29">
        <v>355</v>
      </c>
      <c r="AF17" s="417"/>
    </row>
    <row r="18" spans="1:32" s="455" customFormat="1" ht="14.1" customHeight="1" thickTop="1">
      <c r="A18" s="387" t="s">
        <v>929</v>
      </c>
      <c r="B18" s="388">
        <v>11.1</v>
      </c>
      <c r="C18" s="389">
        <v>120</v>
      </c>
      <c r="D18" s="389">
        <v>58</v>
      </c>
      <c r="E18" s="389">
        <v>5.0999999999999996</v>
      </c>
      <c r="F18" s="389">
        <v>7.7</v>
      </c>
      <c r="G18" s="389">
        <v>5.0999999999999996</v>
      </c>
      <c r="H18" s="390">
        <v>3.1</v>
      </c>
      <c r="I18" s="452">
        <v>14.2</v>
      </c>
      <c r="J18" s="390">
        <v>92.4</v>
      </c>
      <c r="K18" s="389" t="s">
        <v>616</v>
      </c>
      <c r="L18" s="393" t="s">
        <v>616</v>
      </c>
      <c r="M18" s="394" t="s">
        <v>616</v>
      </c>
      <c r="N18" s="395">
        <v>0.439</v>
      </c>
      <c r="O18" s="396">
        <v>39.380000000000003</v>
      </c>
      <c r="P18" s="393">
        <v>328</v>
      </c>
      <c r="Q18" s="390">
        <v>54.7</v>
      </c>
      <c r="R18" s="390">
        <v>63.6</v>
      </c>
      <c r="S18" s="389">
        <v>4.8099999999999996</v>
      </c>
      <c r="T18" s="391">
        <v>6.63</v>
      </c>
      <c r="U18" s="390">
        <v>21.5</v>
      </c>
      <c r="V18" s="389">
        <v>7.41</v>
      </c>
      <c r="W18" s="390">
        <v>12.4</v>
      </c>
      <c r="X18" s="392">
        <v>1.23</v>
      </c>
      <c r="Y18" s="390">
        <v>28.4</v>
      </c>
      <c r="Z18" s="398">
        <v>2.71</v>
      </c>
      <c r="AA18" s="398">
        <v>0.69</v>
      </c>
      <c r="AB18" s="453">
        <v>1</v>
      </c>
      <c r="AC18" s="398">
        <v>1</v>
      </c>
      <c r="AD18" s="454">
        <v>1</v>
      </c>
      <c r="AE18" s="400">
        <v>1</v>
      </c>
      <c r="AF18" s="417"/>
    </row>
    <row r="19" spans="1:32" ht="13.5" customHeight="1">
      <c r="A19" s="81" t="s">
        <v>930</v>
      </c>
      <c r="B19" s="82">
        <v>14.3</v>
      </c>
      <c r="C19" s="83">
        <v>140</v>
      </c>
      <c r="D19" s="83">
        <v>66</v>
      </c>
      <c r="E19" s="83">
        <v>5.7</v>
      </c>
      <c r="F19" s="83">
        <v>8.6</v>
      </c>
      <c r="G19" s="83">
        <v>5.7</v>
      </c>
      <c r="H19" s="84">
        <v>3.4</v>
      </c>
      <c r="I19" s="85">
        <v>18.3</v>
      </c>
      <c r="J19" s="84">
        <v>109.1</v>
      </c>
      <c r="K19" s="83" t="s">
        <v>616</v>
      </c>
      <c r="L19" s="86" t="s">
        <v>616</v>
      </c>
      <c r="M19" s="87" t="s">
        <v>616</v>
      </c>
      <c r="N19" s="88">
        <v>0.502</v>
      </c>
      <c r="O19" s="89">
        <v>34.94</v>
      </c>
      <c r="P19" s="86">
        <v>573</v>
      </c>
      <c r="Q19" s="84">
        <v>81.900000000000006</v>
      </c>
      <c r="R19" s="84">
        <v>95.4</v>
      </c>
      <c r="S19" s="83">
        <v>5.61</v>
      </c>
      <c r="T19" s="90">
        <v>8.65</v>
      </c>
      <c r="U19" s="84">
        <v>35.200000000000003</v>
      </c>
      <c r="V19" s="84">
        <v>10.7</v>
      </c>
      <c r="W19" s="84">
        <v>17.899999999999999</v>
      </c>
      <c r="X19" s="91">
        <v>1.4</v>
      </c>
      <c r="Y19" s="84">
        <v>31.8</v>
      </c>
      <c r="Z19" s="21">
        <v>4.32</v>
      </c>
      <c r="AA19" s="21">
        <v>1.54</v>
      </c>
      <c r="AB19" s="92">
        <v>1</v>
      </c>
      <c r="AC19" s="21">
        <v>1</v>
      </c>
      <c r="AD19" s="93">
        <v>1</v>
      </c>
      <c r="AE19" s="42">
        <v>1</v>
      </c>
      <c r="AF19" s="425"/>
    </row>
    <row r="20" spans="1:32" s="456" customFormat="1" ht="13.5" customHeight="1">
      <c r="A20" s="387" t="s">
        <v>931</v>
      </c>
      <c r="B20" s="388">
        <v>17.899999999999999</v>
      </c>
      <c r="C20" s="389">
        <v>160</v>
      </c>
      <c r="D20" s="389">
        <v>74</v>
      </c>
      <c r="E20" s="389">
        <v>6.3</v>
      </c>
      <c r="F20" s="389">
        <v>9.5</v>
      </c>
      <c r="G20" s="389">
        <v>6.3</v>
      </c>
      <c r="H20" s="390">
        <v>3.8</v>
      </c>
      <c r="I20" s="452">
        <v>22.8</v>
      </c>
      <c r="J20" s="390">
        <v>125.8</v>
      </c>
      <c r="K20" s="389" t="s">
        <v>616</v>
      </c>
      <c r="L20" s="393" t="s">
        <v>616</v>
      </c>
      <c r="M20" s="394" t="s">
        <v>616</v>
      </c>
      <c r="N20" s="395">
        <v>0.57499999999999996</v>
      </c>
      <c r="O20" s="396">
        <v>32.130000000000003</v>
      </c>
      <c r="P20" s="393">
        <v>935</v>
      </c>
      <c r="Q20" s="393">
        <v>117</v>
      </c>
      <c r="R20" s="393">
        <v>136</v>
      </c>
      <c r="S20" s="390">
        <v>6.4</v>
      </c>
      <c r="T20" s="391">
        <v>10.83</v>
      </c>
      <c r="U20" s="390">
        <v>54.7</v>
      </c>
      <c r="V20" s="390">
        <v>14.8</v>
      </c>
      <c r="W20" s="390">
        <v>24.9</v>
      </c>
      <c r="X20" s="392">
        <v>1.55</v>
      </c>
      <c r="Y20" s="390">
        <v>35.200000000000003</v>
      </c>
      <c r="Z20" s="398">
        <v>6.57</v>
      </c>
      <c r="AA20" s="398">
        <v>3.14</v>
      </c>
      <c r="AB20" s="453">
        <v>1</v>
      </c>
      <c r="AC20" s="398">
        <v>1</v>
      </c>
      <c r="AD20" s="454">
        <v>1</v>
      </c>
      <c r="AE20" s="400">
        <v>1</v>
      </c>
      <c r="AF20" s="425"/>
    </row>
    <row r="21" spans="1:32" ht="16.5" customHeight="1">
      <c r="A21" s="81" t="s">
        <v>932</v>
      </c>
      <c r="B21" s="82">
        <v>21.9</v>
      </c>
      <c r="C21" s="83">
        <v>180</v>
      </c>
      <c r="D21" s="83">
        <v>82</v>
      </c>
      <c r="E21" s="83">
        <v>6.9</v>
      </c>
      <c r="F21" s="83">
        <v>10.4</v>
      </c>
      <c r="G21" s="83">
        <v>6.9</v>
      </c>
      <c r="H21" s="84">
        <v>4.0999999999999996</v>
      </c>
      <c r="I21" s="85">
        <v>27.9</v>
      </c>
      <c r="J21" s="84">
        <v>142.4</v>
      </c>
      <c r="K21" s="83" t="s">
        <v>616</v>
      </c>
      <c r="L21" s="86" t="s">
        <v>616</v>
      </c>
      <c r="M21" s="87" t="s">
        <v>616</v>
      </c>
      <c r="N21" s="88">
        <v>0.64</v>
      </c>
      <c r="O21" s="89">
        <v>29.22</v>
      </c>
      <c r="P21" s="83">
        <v>1450</v>
      </c>
      <c r="Q21" s="86">
        <v>161</v>
      </c>
      <c r="R21" s="86">
        <v>187</v>
      </c>
      <c r="S21" s="84">
        <v>7.2</v>
      </c>
      <c r="T21" s="90">
        <v>13.35</v>
      </c>
      <c r="U21" s="84">
        <v>81.3</v>
      </c>
      <c r="V21" s="84">
        <v>19.8</v>
      </c>
      <c r="W21" s="84">
        <v>33.200000000000003</v>
      </c>
      <c r="X21" s="91">
        <v>1.71</v>
      </c>
      <c r="Y21" s="84">
        <v>38.6</v>
      </c>
      <c r="Z21" s="21">
        <v>9.58</v>
      </c>
      <c r="AA21" s="21">
        <v>5.92</v>
      </c>
      <c r="AB21" s="92">
        <v>1</v>
      </c>
      <c r="AC21" s="21">
        <v>1</v>
      </c>
      <c r="AD21" s="93">
        <v>1</v>
      </c>
      <c r="AE21" s="42">
        <v>1</v>
      </c>
      <c r="AF21" s="425"/>
    </row>
    <row r="22" spans="1:32" ht="13.5" customHeight="1">
      <c r="A22" s="81"/>
      <c r="B22" s="82"/>
      <c r="C22" s="83"/>
      <c r="D22" s="83"/>
      <c r="E22" s="83"/>
      <c r="F22" s="83"/>
      <c r="G22" s="83"/>
      <c r="H22" s="84"/>
      <c r="I22" s="85"/>
      <c r="J22" s="84"/>
      <c r="K22" s="83"/>
      <c r="L22" s="86"/>
      <c r="M22" s="87"/>
      <c r="N22" s="88"/>
      <c r="O22" s="89"/>
      <c r="P22" s="83"/>
      <c r="Q22" s="86"/>
      <c r="R22" s="86"/>
      <c r="S22" s="84"/>
      <c r="T22" s="90"/>
      <c r="U22" s="86"/>
      <c r="V22" s="84"/>
      <c r="W22" s="84"/>
      <c r="X22" s="91"/>
      <c r="Y22" s="84"/>
      <c r="Z22" s="36"/>
      <c r="AA22" s="21"/>
      <c r="AB22" s="92"/>
      <c r="AC22" s="21"/>
      <c r="AD22" s="93"/>
      <c r="AE22" s="42"/>
      <c r="AF22" s="425"/>
    </row>
    <row r="23" spans="1:32" s="456" customFormat="1" ht="13.5" customHeight="1">
      <c r="A23" s="387" t="s">
        <v>933</v>
      </c>
      <c r="B23" s="388">
        <v>26.2</v>
      </c>
      <c r="C23" s="389">
        <v>200</v>
      </c>
      <c r="D23" s="389">
        <v>90</v>
      </c>
      <c r="E23" s="389">
        <v>7.5</v>
      </c>
      <c r="F23" s="389">
        <v>11.3</v>
      </c>
      <c r="G23" s="389">
        <v>7.5</v>
      </c>
      <c r="H23" s="390">
        <v>4.5</v>
      </c>
      <c r="I23" s="452">
        <v>33.4</v>
      </c>
      <c r="J23" s="390">
        <v>159.1</v>
      </c>
      <c r="K23" s="389" t="s">
        <v>616</v>
      </c>
      <c r="L23" s="393" t="s">
        <v>616</v>
      </c>
      <c r="M23" s="394" t="s">
        <v>616</v>
      </c>
      <c r="N23" s="395">
        <v>0.70899999999999996</v>
      </c>
      <c r="O23" s="396">
        <v>27.04</v>
      </c>
      <c r="P23" s="389">
        <v>2140</v>
      </c>
      <c r="Q23" s="393">
        <v>214</v>
      </c>
      <c r="R23" s="393">
        <v>250</v>
      </c>
      <c r="S23" s="390">
        <v>8</v>
      </c>
      <c r="T23" s="391">
        <v>16.03</v>
      </c>
      <c r="U23" s="393">
        <v>117</v>
      </c>
      <c r="V23" s="390">
        <v>26</v>
      </c>
      <c r="W23" s="390">
        <v>43.5</v>
      </c>
      <c r="X23" s="392">
        <v>1.87</v>
      </c>
      <c r="Y23" s="390">
        <v>42</v>
      </c>
      <c r="Z23" s="406">
        <v>13.5</v>
      </c>
      <c r="AA23" s="398">
        <v>10.5</v>
      </c>
      <c r="AB23" s="453">
        <v>1</v>
      </c>
      <c r="AC23" s="398">
        <v>1</v>
      </c>
      <c r="AD23" s="454">
        <v>1</v>
      </c>
      <c r="AE23" s="400">
        <v>1</v>
      </c>
      <c r="AF23" s="425"/>
    </row>
    <row r="24" spans="1:32" ht="13.5" customHeight="1">
      <c r="A24" s="81" t="s">
        <v>934</v>
      </c>
      <c r="B24" s="82">
        <v>31.1</v>
      </c>
      <c r="C24" s="83">
        <v>220</v>
      </c>
      <c r="D24" s="83">
        <v>98</v>
      </c>
      <c r="E24" s="83">
        <v>8.1</v>
      </c>
      <c r="F24" s="83">
        <v>12.2</v>
      </c>
      <c r="G24" s="83">
        <v>8.1</v>
      </c>
      <c r="H24" s="84">
        <v>4.9000000000000004</v>
      </c>
      <c r="I24" s="85">
        <v>39.5</v>
      </c>
      <c r="J24" s="84">
        <v>175.8</v>
      </c>
      <c r="K24" s="83" t="s">
        <v>625</v>
      </c>
      <c r="L24" s="86">
        <v>50</v>
      </c>
      <c r="M24" s="87">
        <v>56</v>
      </c>
      <c r="N24" s="88">
        <v>0.77500000000000002</v>
      </c>
      <c r="O24" s="89">
        <v>24.99</v>
      </c>
      <c r="P24" s="83">
        <v>3060</v>
      </c>
      <c r="Q24" s="86">
        <v>278</v>
      </c>
      <c r="R24" s="86">
        <v>324</v>
      </c>
      <c r="S24" s="84">
        <v>8.8000000000000007</v>
      </c>
      <c r="T24" s="90">
        <v>19.059999999999999</v>
      </c>
      <c r="U24" s="86">
        <v>162</v>
      </c>
      <c r="V24" s="84">
        <v>33.1</v>
      </c>
      <c r="W24" s="84">
        <v>55.7</v>
      </c>
      <c r="X24" s="91">
        <v>2.02</v>
      </c>
      <c r="Y24" s="84">
        <v>45.4</v>
      </c>
      <c r="Z24" s="36">
        <v>18.600000000000001</v>
      </c>
      <c r="AA24" s="21">
        <v>17.8</v>
      </c>
      <c r="AB24" s="92">
        <v>1</v>
      </c>
      <c r="AC24" s="21">
        <v>1</v>
      </c>
      <c r="AD24" s="93">
        <v>1</v>
      </c>
      <c r="AE24" s="42">
        <v>1</v>
      </c>
      <c r="AF24" s="425"/>
    </row>
    <row r="25" spans="1:32" s="456" customFormat="1" ht="13.5" customHeight="1">
      <c r="A25" s="387" t="s">
        <v>935</v>
      </c>
      <c r="B25" s="388">
        <v>36.200000000000003</v>
      </c>
      <c r="C25" s="389">
        <v>240</v>
      </c>
      <c r="D25" s="389">
        <v>106</v>
      </c>
      <c r="E25" s="389">
        <v>8.6999999999999993</v>
      </c>
      <c r="F25" s="389">
        <v>13.1</v>
      </c>
      <c r="G25" s="389">
        <v>8.6999999999999993</v>
      </c>
      <c r="H25" s="390">
        <v>5.2</v>
      </c>
      <c r="I25" s="452">
        <v>46.1</v>
      </c>
      <c r="J25" s="390">
        <v>192.5</v>
      </c>
      <c r="K25" s="389" t="s">
        <v>625</v>
      </c>
      <c r="L25" s="393">
        <v>54</v>
      </c>
      <c r="M25" s="394">
        <v>60</v>
      </c>
      <c r="N25" s="395">
        <v>0.84399999999999997</v>
      </c>
      <c r="O25" s="396">
        <v>23.32</v>
      </c>
      <c r="P25" s="389">
        <v>4250</v>
      </c>
      <c r="Q25" s="393">
        <v>354</v>
      </c>
      <c r="R25" s="393">
        <v>412</v>
      </c>
      <c r="S25" s="396">
        <v>9.59</v>
      </c>
      <c r="T25" s="391">
        <v>22.33</v>
      </c>
      <c r="U25" s="393">
        <v>221</v>
      </c>
      <c r="V25" s="390">
        <v>41.7</v>
      </c>
      <c r="W25" s="390">
        <v>70</v>
      </c>
      <c r="X25" s="392">
        <v>2.2000000000000002</v>
      </c>
      <c r="Y25" s="390">
        <v>48.9</v>
      </c>
      <c r="Z25" s="406">
        <v>25</v>
      </c>
      <c r="AA25" s="398">
        <v>28.7</v>
      </c>
      <c r="AB25" s="453">
        <v>1</v>
      </c>
      <c r="AC25" s="398">
        <v>1</v>
      </c>
      <c r="AD25" s="454">
        <v>1</v>
      </c>
      <c r="AE25" s="400">
        <v>1</v>
      </c>
      <c r="AF25" s="425"/>
    </row>
    <row r="26" spans="1:32" ht="13.5" customHeight="1">
      <c r="A26" s="81" t="s">
        <v>936</v>
      </c>
      <c r="B26" s="82">
        <v>41.9</v>
      </c>
      <c r="C26" s="83">
        <v>260</v>
      </c>
      <c r="D26" s="83">
        <v>113</v>
      </c>
      <c r="E26" s="83">
        <v>9.4</v>
      </c>
      <c r="F26" s="83">
        <v>14.1</v>
      </c>
      <c r="G26" s="83">
        <v>9.4</v>
      </c>
      <c r="H26" s="84">
        <v>5.6</v>
      </c>
      <c r="I26" s="85">
        <v>53.3</v>
      </c>
      <c r="J26" s="84">
        <v>208.9</v>
      </c>
      <c r="K26" s="83" t="s">
        <v>632</v>
      </c>
      <c r="L26" s="86">
        <v>62</v>
      </c>
      <c r="M26" s="87">
        <v>62</v>
      </c>
      <c r="N26" s="88">
        <v>0.90600000000000003</v>
      </c>
      <c r="O26" s="89">
        <v>21.65</v>
      </c>
      <c r="P26" s="83">
        <v>5740</v>
      </c>
      <c r="Q26" s="86">
        <v>442</v>
      </c>
      <c r="R26" s="86">
        <v>514</v>
      </c>
      <c r="S26" s="84">
        <v>10.4</v>
      </c>
      <c r="T26" s="90">
        <v>26.08</v>
      </c>
      <c r="U26" s="86">
        <v>288</v>
      </c>
      <c r="V26" s="84">
        <v>51</v>
      </c>
      <c r="W26" s="84">
        <v>85.9</v>
      </c>
      <c r="X26" s="91">
        <v>2.3199999999999998</v>
      </c>
      <c r="Y26" s="84">
        <v>52.6</v>
      </c>
      <c r="Z26" s="36">
        <v>33.5</v>
      </c>
      <c r="AA26" s="21">
        <v>44.1</v>
      </c>
      <c r="AB26" s="92">
        <v>1</v>
      </c>
      <c r="AC26" s="21">
        <v>1</v>
      </c>
      <c r="AD26" s="93">
        <v>1</v>
      </c>
      <c r="AE26" s="42">
        <v>1</v>
      </c>
      <c r="AF26" s="425"/>
    </row>
    <row r="27" spans="1:32" s="456" customFormat="1" ht="13.5" customHeight="1">
      <c r="A27" s="387" t="s">
        <v>937</v>
      </c>
      <c r="B27" s="388">
        <v>47.9</v>
      </c>
      <c r="C27" s="389">
        <v>280</v>
      </c>
      <c r="D27" s="389">
        <v>119</v>
      </c>
      <c r="E27" s="389">
        <v>10.1</v>
      </c>
      <c r="F27" s="389">
        <v>15.2</v>
      </c>
      <c r="G27" s="389">
        <v>10.1</v>
      </c>
      <c r="H27" s="390">
        <v>6.1</v>
      </c>
      <c r="I27" s="452">
        <v>61</v>
      </c>
      <c r="J27" s="390">
        <v>225.1</v>
      </c>
      <c r="K27" s="389" t="s">
        <v>632</v>
      </c>
      <c r="L27" s="393">
        <v>68</v>
      </c>
      <c r="M27" s="394">
        <v>68</v>
      </c>
      <c r="N27" s="395">
        <v>0.96599999999999997</v>
      </c>
      <c r="O27" s="396">
        <v>20.170000000000002</v>
      </c>
      <c r="P27" s="389">
        <v>7590</v>
      </c>
      <c r="Q27" s="393">
        <v>542</v>
      </c>
      <c r="R27" s="393">
        <v>632</v>
      </c>
      <c r="S27" s="390">
        <v>11.1</v>
      </c>
      <c r="T27" s="391">
        <v>30.18</v>
      </c>
      <c r="U27" s="393">
        <v>364</v>
      </c>
      <c r="V27" s="390">
        <v>61.2</v>
      </c>
      <c r="W27" s="393">
        <v>103</v>
      </c>
      <c r="X27" s="392">
        <v>2.4500000000000002</v>
      </c>
      <c r="Y27" s="390">
        <v>56.4</v>
      </c>
      <c r="Z27" s="406">
        <v>44.2</v>
      </c>
      <c r="AA27" s="398">
        <v>64.599999999999994</v>
      </c>
      <c r="AB27" s="453">
        <v>1</v>
      </c>
      <c r="AC27" s="398">
        <v>1</v>
      </c>
      <c r="AD27" s="454">
        <v>1</v>
      </c>
      <c r="AE27" s="400">
        <v>1</v>
      </c>
      <c r="AF27" s="425"/>
    </row>
    <row r="28" spans="1:32" ht="13.5" customHeight="1">
      <c r="A28" s="81"/>
      <c r="B28" s="82"/>
      <c r="C28" s="83"/>
      <c r="D28" s="83"/>
      <c r="E28" s="83"/>
      <c r="F28" s="83"/>
      <c r="G28" s="83"/>
      <c r="H28" s="84"/>
      <c r="I28" s="85"/>
      <c r="J28" s="84"/>
      <c r="K28" s="83"/>
      <c r="L28" s="86"/>
      <c r="M28" s="87"/>
      <c r="N28" s="83"/>
      <c r="O28" s="89"/>
      <c r="P28" s="83"/>
      <c r="Q28" s="86"/>
      <c r="R28" s="86"/>
      <c r="S28" s="84"/>
      <c r="T28" s="90"/>
      <c r="U28" s="86"/>
      <c r="V28" s="84"/>
      <c r="W28" s="86"/>
      <c r="X28" s="91"/>
      <c r="Y28" s="84"/>
      <c r="Z28" s="36"/>
      <c r="AA28" s="21"/>
      <c r="AB28" s="92"/>
      <c r="AC28" s="21"/>
      <c r="AD28" s="93"/>
      <c r="AE28" s="42"/>
      <c r="AF28" s="425"/>
    </row>
    <row r="29" spans="1:32" s="456" customFormat="1" ht="13.5" customHeight="1">
      <c r="A29" s="387" t="s">
        <v>938</v>
      </c>
      <c r="B29" s="388">
        <v>54.2</v>
      </c>
      <c r="C29" s="389">
        <v>300</v>
      </c>
      <c r="D29" s="389">
        <v>125</v>
      </c>
      <c r="E29" s="389">
        <v>10.8</v>
      </c>
      <c r="F29" s="389">
        <v>16.2</v>
      </c>
      <c r="G29" s="389">
        <v>10.8</v>
      </c>
      <c r="H29" s="390">
        <v>6.5</v>
      </c>
      <c r="I29" s="452">
        <v>69</v>
      </c>
      <c r="J29" s="390">
        <v>241.6</v>
      </c>
      <c r="K29" s="389" t="s">
        <v>632</v>
      </c>
      <c r="L29" s="393">
        <v>70</v>
      </c>
      <c r="M29" s="394">
        <v>74</v>
      </c>
      <c r="N29" s="396">
        <v>1.03</v>
      </c>
      <c r="O29" s="396">
        <v>19.02</v>
      </c>
      <c r="P29" s="389">
        <v>9800</v>
      </c>
      <c r="Q29" s="393">
        <v>653</v>
      </c>
      <c r="R29" s="393">
        <v>762</v>
      </c>
      <c r="S29" s="390">
        <v>11.9</v>
      </c>
      <c r="T29" s="391">
        <v>34.58</v>
      </c>
      <c r="U29" s="393">
        <v>451</v>
      </c>
      <c r="V29" s="390">
        <v>72.2</v>
      </c>
      <c r="W29" s="393">
        <v>121</v>
      </c>
      <c r="X29" s="392">
        <v>2.56</v>
      </c>
      <c r="Y29" s="390">
        <v>60.1</v>
      </c>
      <c r="Z29" s="406">
        <v>56.8</v>
      </c>
      <c r="AA29" s="398">
        <v>91.8</v>
      </c>
      <c r="AB29" s="453">
        <v>1</v>
      </c>
      <c r="AC29" s="398">
        <v>1</v>
      </c>
      <c r="AD29" s="454">
        <v>1</v>
      </c>
      <c r="AE29" s="400">
        <v>1</v>
      </c>
      <c r="AF29" s="425"/>
    </row>
    <row r="30" spans="1:32" ht="13.5" customHeight="1">
      <c r="A30" s="81" t="s">
        <v>939</v>
      </c>
      <c r="B30" s="82">
        <v>61</v>
      </c>
      <c r="C30" s="83">
        <v>320</v>
      </c>
      <c r="D30" s="83">
        <v>131</v>
      </c>
      <c r="E30" s="83">
        <v>11.5</v>
      </c>
      <c r="F30" s="83">
        <v>17.3</v>
      </c>
      <c r="G30" s="83">
        <v>11.5</v>
      </c>
      <c r="H30" s="84">
        <v>6.9</v>
      </c>
      <c r="I30" s="85">
        <v>77.7</v>
      </c>
      <c r="J30" s="84">
        <v>257.89999999999998</v>
      </c>
      <c r="K30" s="83" t="s">
        <v>632</v>
      </c>
      <c r="L30" s="86">
        <v>70</v>
      </c>
      <c r="M30" s="87">
        <v>80</v>
      </c>
      <c r="N30" s="89">
        <v>1.0900000000000001</v>
      </c>
      <c r="O30" s="89">
        <v>17.87</v>
      </c>
      <c r="P30" s="83">
        <v>12510</v>
      </c>
      <c r="Q30" s="86">
        <v>782</v>
      </c>
      <c r="R30" s="86">
        <v>914</v>
      </c>
      <c r="S30" s="84">
        <v>12.7</v>
      </c>
      <c r="T30" s="90">
        <v>39.26</v>
      </c>
      <c r="U30" s="86">
        <v>555</v>
      </c>
      <c r="V30" s="84">
        <v>84.7</v>
      </c>
      <c r="W30" s="83">
        <v>143</v>
      </c>
      <c r="X30" s="91">
        <v>2.67</v>
      </c>
      <c r="Y30" s="84">
        <v>63.9</v>
      </c>
      <c r="Z30" s="36">
        <v>72.5</v>
      </c>
      <c r="AA30" s="21">
        <v>129</v>
      </c>
      <c r="AB30" s="92">
        <v>1</v>
      </c>
      <c r="AC30" s="21">
        <v>1</v>
      </c>
      <c r="AD30" s="93">
        <v>1</v>
      </c>
      <c r="AE30" s="42">
        <v>1</v>
      </c>
      <c r="AF30" s="425"/>
    </row>
    <row r="31" spans="1:32" s="456" customFormat="1" ht="13.5" customHeight="1">
      <c r="A31" s="387" t="s">
        <v>940</v>
      </c>
      <c r="B31" s="388">
        <v>68</v>
      </c>
      <c r="C31" s="389">
        <v>340</v>
      </c>
      <c r="D31" s="389">
        <v>137</v>
      </c>
      <c r="E31" s="389">
        <v>12.2</v>
      </c>
      <c r="F31" s="389">
        <v>18.3</v>
      </c>
      <c r="G31" s="389">
        <v>12.2</v>
      </c>
      <c r="H31" s="390">
        <v>7.3</v>
      </c>
      <c r="I31" s="452">
        <v>86.7</v>
      </c>
      <c r="J31" s="390">
        <v>274.3</v>
      </c>
      <c r="K31" s="389" t="s">
        <v>632</v>
      </c>
      <c r="L31" s="393">
        <v>78</v>
      </c>
      <c r="M31" s="394">
        <v>86</v>
      </c>
      <c r="N31" s="396">
        <v>1.1499999999999999</v>
      </c>
      <c r="O31" s="396">
        <v>16.899999999999999</v>
      </c>
      <c r="P31" s="389">
        <v>15700</v>
      </c>
      <c r="Q31" s="393">
        <v>923</v>
      </c>
      <c r="R31" s="393">
        <v>1080</v>
      </c>
      <c r="S31" s="390">
        <v>13.5</v>
      </c>
      <c r="T31" s="391">
        <v>44.27</v>
      </c>
      <c r="U31" s="393">
        <v>674</v>
      </c>
      <c r="V31" s="390">
        <v>98.4</v>
      </c>
      <c r="W31" s="393">
        <v>166</v>
      </c>
      <c r="X31" s="392">
        <v>2.8</v>
      </c>
      <c r="Y31" s="390">
        <v>67.599999999999994</v>
      </c>
      <c r="Z31" s="406">
        <v>90.4</v>
      </c>
      <c r="AA31" s="398">
        <v>176</v>
      </c>
      <c r="AB31" s="453">
        <v>1</v>
      </c>
      <c r="AC31" s="398">
        <v>1</v>
      </c>
      <c r="AD31" s="454">
        <v>1</v>
      </c>
      <c r="AE31" s="400">
        <v>1</v>
      </c>
      <c r="AF31" s="425"/>
    </row>
    <row r="32" spans="1:32" ht="13.5" customHeight="1">
      <c r="A32" s="81" t="s">
        <v>941</v>
      </c>
      <c r="B32" s="82">
        <v>76.099999999999994</v>
      </c>
      <c r="C32" s="83">
        <v>360</v>
      </c>
      <c r="D32" s="83">
        <v>143</v>
      </c>
      <c r="E32" s="83">
        <v>13</v>
      </c>
      <c r="F32" s="83">
        <v>19.5</v>
      </c>
      <c r="G32" s="83">
        <v>13</v>
      </c>
      <c r="H32" s="84">
        <v>7.8</v>
      </c>
      <c r="I32" s="85">
        <v>97</v>
      </c>
      <c r="J32" s="84">
        <v>290.2</v>
      </c>
      <c r="K32" s="83" t="s">
        <v>632</v>
      </c>
      <c r="L32" s="86">
        <v>78</v>
      </c>
      <c r="M32" s="87">
        <v>92</v>
      </c>
      <c r="N32" s="89">
        <v>1.21</v>
      </c>
      <c r="O32" s="89">
        <v>15.89</v>
      </c>
      <c r="P32" s="83">
        <v>19610</v>
      </c>
      <c r="Q32" s="86">
        <v>1090</v>
      </c>
      <c r="R32" s="86">
        <v>1276</v>
      </c>
      <c r="S32" s="84">
        <v>14.2</v>
      </c>
      <c r="T32" s="90">
        <v>49.95</v>
      </c>
      <c r="U32" s="86">
        <v>818</v>
      </c>
      <c r="V32" s="84">
        <v>114</v>
      </c>
      <c r="W32" s="86">
        <v>194</v>
      </c>
      <c r="X32" s="91">
        <v>2.9</v>
      </c>
      <c r="Y32" s="84">
        <v>71.8</v>
      </c>
      <c r="Z32" s="35">
        <v>115</v>
      </c>
      <c r="AA32" s="21">
        <v>240</v>
      </c>
      <c r="AB32" s="92">
        <v>1</v>
      </c>
      <c r="AC32" s="21">
        <v>1</v>
      </c>
      <c r="AD32" s="93">
        <v>1</v>
      </c>
      <c r="AE32" s="42">
        <v>1</v>
      </c>
      <c r="AF32" s="425"/>
    </row>
    <row r="33" spans="1:32" s="456" customFormat="1" ht="13.5" customHeight="1">
      <c r="A33" s="387" t="s">
        <v>942</v>
      </c>
      <c r="B33" s="388">
        <v>84</v>
      </c>
      <c r="C33" s="389">
        <v>380</v>
      </c>
      <c r="D33" s="389">
        <v>149</v>
      </c>
      <c r="E33" s="389">
        <v>13.7</v>
      </c>
      <c r="F33" s="389">
        <v>20.5</v>
      </c>
      <c r="G33" s="389">
        <v>13.7</v>
      </c>
      <c r="H33" s="390">
        <v>8.1999999999999993</v>
      </c>
      <c r="I33" s="457">
        <v>107</v>
      </c>
      <c r="J33" s="390">
        <v>306.7</v>
      </c>
      <c r="K33" s="389" t="s">
        <v>639</v>
      </c>
      <c r="L33" s="393">
        <v>84</v>
      </c>
      <c r="M33" s="394">
        <v>86</v>
      </c>
      <c r="N33" s="396">
        <v>1.27</v>
      </c>
      <c r="O33" s="396">
        <v>15.12</v>
      </c>
      <c r="P33" s="389">
        <v>24010</v>
      </c>
      <c r="Q33" s="393">
        <v>1260</v>
      </c>
      <c r="R33" s="393">
        <v>1482</v>
      </c>
      <c r="S33" s="390">
        <v>15</v>
      </c>
      <c r="T33" s="391">
        <v>55.55</v>
      </c>
      <c r="U33" s="393">
        <v>975</v>
      </c>
      <c r="V33" s="390">
        <v>131</v>
      </c>
      <c r="W33" s="393">
        <v>221</v>
      </c>
      <c r="X33" s="392">
        <v>3.02</v>
      </c>
      <c r="Y33" s="390">
        <v>75.400000000000006</v>
      </c>
      <c r="Z33" s="408">
        <v>141</v>
      </c>
      <c r="AA33" s="398">
        <v>319</v>
      </c>
      <c r="AB33" s="453">
        <v>1</v>
      </c>
      <c r="AC33" s="398">
        <v>1</v>
      </c>
      <c r="AD33" s="454">
        <v>1</v>
      </c>
      <c r="AE33" s="400">
        <v>1</v>
      </c>
      <c r="AF33" s="425"/>
    </row>
    <row r="34" spans="1:32" ht="13.5" customHeight="1">
      <c r="A34" s="81"/>
      <c r="B34" s="82"/>
      <c r="C34" s="83"/>
      <c r="D34" s="83"/>
      <c r="E34" s="83"/>
      <c r="F34" s="83"/>
      <c r="G34" s="83"/>
      <c r="H34" s="84"/>
      <c r="I34" s="95"/>
      <c r="J34" s="84"/>
      <c r="K34" s="83"/>
      <c r="L34" s="86"/>
      <c r="M34" s="87"/>
      <c r="N34" s="89"/>
      <c r="O34" s="89"/>
      <c r="P34" s="83"/>
      <c r="Q34" s="86"/>
      <c r="R34" s="83"/>
      <c r="S34" s="84"/>
      <c r="T34" s="90"/>
      <c r="U34" s="86"/>
      <c r="V34" s="84"/>
      <c r="W34" s="86"/>
      <c r="X34" s="91"/>
      <c r="Y34" s="84"/>
      <c r="Z34" s="35"/>
      <c r="AA34" s="21"/>
      <c r="AB34" s="92"/>
      <c r="AC34" s="21"/>
      <c r="AD34" s="93"/>
      <c r="AE34" s="42"/>
      <c r="AF34" s="425"/>
    </row>
    <row r="35" spans="1:32" s="456" customFormat="1" ht="13.5" customHeight="1">
      <c r="A35" s="387" t="s">
        <v>943</v>
      </c>
      <c r="B35" s="388">
        <v>92.4</v>
      </c>
      <c r="C35" s="389">
        <v>400</v>
      </c>
      <c r="D35" s="389">
        <v>155</v>
      </c>
      <c r="E35" s="389">
        <v>14.4</v>
      </c>
      <c r="F35" s="389">
        <v>21.6</v>
      </c>
      <c r="G35" s="389">
        <v>14.4</v>
      </c>
      <c r="H35" s="390">
        <v>8.6</v>
      </c>
      <c r="I35" s="457">
        <v>118</v>
      </c>
      <c r="J35" s="390">
        <v>322.89999999999998</v>
      </c>
      <c r="K35" s="389" t="s">
        <v>639</v>
      </c>
      <c r="L35" s="393">
        <v>86</v>
      </c>
      <c r="M35" s="394">
        <v>92</v>
      </c>
      <c r="N35" s="396">
        <v>1.33</v>
      </c>
      <c r="O35" s="396">
        <v>14.36</v>
      </c>
      <c r="P35" s="389">
        <v>29210</v>
      </c>
      <c r="Q35" s="389">
        <v>1460</v>
      </c>
      <c r="R35" s="389">
        <v>1714</v>
      </c>
      <c r="S35" s="390">
        <v>15.7</v>
      </c>
      <c r="T35" s="391">
        <v>61.69</v>
      </c>
      <c r="U35" s="393">
        <v>1160</v>
      </c>
      <c r="V35" s="393">
        <v>149</v>
      </c>
      <c r="W35" s="393">
        <v>253</v>
      </c>
      <c r="X35" s="392">
        <v>3.13</v>
      </c>
      <c r="Y35" s="390">
        <v>79.3</v>
      </c>
      <c r="Z35" s="408">
        <v>170</v>
      </c>
      <c r="AA35" s="398">
        <v>420</v>
      </c>
      <c r="AB35" s="453">
        <v>1</v>
      </c>
      <c r="AC35" s="398">
        <v>1</v>
      </c>
      <c r="AD35" s="454">
        <v>1</v>
      </c>
      <c r="AE35" s="400">
        <v>1</v>
      </c>
      <c r="AF35" s="425"/>
    </row>
    <row r="36" spans="1:32" ht="13.5" customHeight="1">
      <c r="A36" s="81" t="s">
        <v>944</v>
      </c>
      <c r="B36" s="87">
        <v>115</v>
      </c>
      <c r="C36" s="83">
        <v>450</v>
      </c>
      <c r="D36" s="83">
        <v>170</v>
      </c>
      <c r="E36" s="83">
        <v>16.2</v>
      </c>
      <c r="F36" s="83">
        <v>24.3</v>
      </c>
      <c r="G36" s="83">
        <v>16.2</v>
      </c>
      <c r="H36" s="84">
        <v>9.6999999999999993</v>
      </c>
      <c r="I36" s="95">
        <v>147</v>
      </c>
      <c r="J36" s="84">
        <v>363.6</v>
      </c>
      <c r="K36" s="83" t="s">
        <v>639</v>
      </c>
      <c r="L36" s="86">
        <v>92</v>
      </c>
      <c r="M36" s="87">
        <v>106</v>
      </c>
      <c r="N36" s="89">
        <v>1.48</v>
      </c>
      <c r="O36" s="89">
        <v>12.83</v>
      </c>
      <c r="P36" s="83">
        <v>45850</v>
      </c>
      <c r="Q36" s="83">
        <v>2040</v>
      </c>
      <c r="R36" s="83">
        <v>2400</v>
      </c>
      <c r="S36" s="84">
        <v>17.7</v>
      </c>
      <c r="T36" s="90">
        <v>77.790000000000006</v>
      </c>
      <c r="U36" s="86">
        <v>1730</v>
      </c>
      <c r="V36" s="86">
        <v>203</v>
      </c>
      <c r="W36" s="86">
        <v>345</v>
      </c>
      <c r="X36" s="91">
        <v>3.43</v>
      </c>
      <c r="Y36" s="84">
        <v>88.9</v>
      </c>
      <c r="Z36" s="35">
        <v>267</v>
      </c>
      <c r="AA36" s="21">
        <v>791</v>
      </c>
      <c r="AB36" s="92">
        <v>1</v>
      </c>
      <c r="AC36" s="21">
        <v>1</v>
      </c>
      <c r="AD36" s="93">
        <v>1</v>
      </c>
      <c r="AE36" s="42">
        <v>1</v>
      </c>
      <c r="AF36" s="425"/>
    </row>
    <row r="37" spans="1:32" ht="13.5" customHeight="1">
      <c r="A37" s="81"/>
      <c r="B37" s="87"/>
      <c r="C37" s="83"/>
      <c r="D37" s="83"/>
      <c r="E37" s="83"/>
      <c r="F37" s="83"/>
      <c r="G37" s="83"/>
      <c r="H37" s="84"/>
      <c r="I37" s="95"/>
      <c r="J37" s="84"/>
      <c r="K37" s="83"/>
      <c r="L37" s="86"/>
      <c r="M37" s="87"/>
      <c r="N37" s="89"/>
      <c r="O37" s="89"/>
      <c r="P37" s="83"/>
      <c r="Q37" s="83"/>
      <c r="R37" s="83"/>
      <c r="S37" s="84"/>
      <c r="T37" s="90"/>
      <c r="U37" s="83"/>
      <c r="V37" s="86"/>
      <c r="W37" s="86"/>
      <c r="X37" s="91"/>
      <c r="Y37" s="84"/>
      <c r="Z37" s="35"/>
      <c r="AA37" s="21"/>
      <c r="AB37" s="92"/>
      <c r="AC37" s="21"/>
      <c r="AD37" s="93"/>
      <c r="AE37" s="42"/>
      <c r="AF37" s="425"/>
    </row>
    <row r="38" spans="1:32" s="456" customFormat="1" ht="13.5" customHeight="1">
      <c r="A38" s="387" t="s">
        <v>945</v>
      </c>
      <c r="B38" s="394">
        <v>141</v>
      </c>
      <c r="C38" s="389">
        <v>500</v>
      </c>
      <c r="D38" s="389">
        <v>185</v>
      </c>
      <c r="E38" s="389">
        <v>18</v>
      </c>
      <c r="F38" s="389">
        <v>27</v>
      </c>
      <c r="G38" s="389">
        <v>18</v>
      </c>
      <c r="H38" s="390">
        <v>10.8</v>
      </c>
      <c r="I38" s="457">
        <v>179</v>
      </c>
      <c r="J38" s="390">
        <v>404.3</v>
      </c>
      <c r="K38" s="389" t="s">
        <v>689</v>
      </c>
      <c r="L38" s="393">
        <v>102</v>
      </c>
      <c r="M38" s="394">
        <v>110</v>
      </c>
      <c r="N38" s="396">
        <v>1.63</v>
      </c>
      <c r="O38" s="396">
        <v>11.6</v>
      </c>
      <c r="P38" s="389">
        <v>68740</v>
      </c>
      <c r="Q38" s="389">
        <v>2750</v>
      </c>
      <c r="R38" s="389">
        <v>3240</v>
      </c>
      <c r="S38" s="390">
        <v>19.600000000000001</v>
      </c>
      <c r="T38" s="391">
        <v>95.6</v>
      </c>
      <c r="U38" s="389">
        <v>2480</v>
      </c>
      <c r="V38" s="393">
        <v>268</v>
      </c>
      <c r="W38" s="393">
        <v>456</v>
      </c>
      <c r="X38" s="392">
        <v>3.72</v>
      </c>
      <c r="Y38" s="390">
        <v>98.5</v>
      </c>
      <c r="Z38" s="408">
        <v>402</v>
      </c>
      <c r="AA38" s="398">
        <v>1400</v>
      </c>
      <c r="AB38" s="453">
        <v>1</v>
      </c>
      <c r="AC38" s="398">
        <v>1</v>
      </c>
      <c r="AD38" s="454">
        <v>1</v>
      </c>
      <c r="AE38" s="400">
        <v>1</v>
      </c>
      <c r="AF38" s="425"/>
    </row>
    <row r="39" spans="1:32" ht="13.5" customHeight="1">
      <c r="A39" s="81" t="s">
        <v>946</v>
      </c>
      <c r="B39" s="87">
        <v>166</v>
      </c>
      <c r="C39" s="83">
        <v>550</v>
      </c>
      <c r="D39" s="83">
        <v>200</v>
      </c>
      <c r="E39" s="83">
        <v>19</v>
      </c>
      <c r="F39" s="83">
        <v>30</v>
      </c>
      <c r="G39" s="83">
        <v>19</v>
      </c>
      <c r="H39" s="84">
        <v>11.9</v>
      </c>
      <c r="I39" s="95">
        <v>212</v>
      </c>
      <c r="J39" s="84">
        <v>445.6</v>
      </c>
      <c r="K39" s="83" t="s">
        <v>649</v>
      </c>
      <c r="L39" s="86">
        <v>112</v>
      </c>
      <c r="M39" s="87">
        <v>118</v>
      </c>
      <c r="N39" s="89">
        <v>1.8</v>
      </c>
      <c r="O39" s="89">
        <v>10.8</v>
      </c>
      <c r="P39" s="83">
        <v>99180</v>
      </c>
      <c r="Q39" s="83">
        <v>3610</v>
      </c>
      <c r="R39" s="83">
        <v>4240</v>
      </c>
      <c r="S39" s="84">
        <v>21.6</v>
      </c>
      <c r="T39" s="91">
        <v>111.3</v>
      </c>
      <c r="U39" s="83">
        <v>3490</v>
      </c>
      <c r="V39" s="86">
        <v>349</v>
      </c>
      <c r="W39" s="86">
        <v>592</v>
      </c>
      <c r="X39" s="91">
        <v>4.0199999999999996</v>
      </c>
      <c r="Y39" s="84">
        <v>107.3</v>
      </c>
      <c r="Z39" s="35">
        <v>544</v>
      </c>
      <c r="AA39" s="21">
        <v>2390</v>
      </c>
      <c r="AB39" s="92">
        <v>1</v>
      </c>
      <c r="AC39" s="21">
        <v>1</v>
      </c>
      <c r="AD39" s="93">
        <v>1</v>
      </c>
      <c r="AE39" s="42">
        <v>1</v>
      </c>
      <c r="AF39" s="425"/>
    </row>
    <row r="40" spans="1:32" ht="13.5" customHeight="1">
      <c r="A40" s="81"/>
      <c r="B40" s="90"/>
      <c r="C40" s="83"/>
      <c r="D40" s="83"/>
      <c r="E40" s="83"/>
      <c r="F40" s="83"/>
      <c r="G40" s="83"/>
      <c r="H40" s="83"/>
      <c r="I40" s="96"/>
      <c r="J40" s="83"/>
      <c r="K40" s="83"/>
      <c r="L40" s="86"/>
      <c r="M40" s="87"/>
      <c r="N40" s="89"/>
      <c r="O40" s="89"/>
      <c r="P40" s="83"/>
      <c r="Q40" s="83"/>
      <c r="R40" s="83"/>
      <c r="S40" s="84"/>
      <c r="T40" s="90"/>
      <c r="U40" s="83"/>
      <c r="V40" s="86"/>
      <c r="W40" s="86"/>
      <c r="X40" s="90"/>
      <c r="Y40" s="83"/>
      <c r="Z40" s="21"/>
      <c r="AA40" s="21"/>
      <c r="AB40" s="92"/>
      <c r="AC40" s="21"/>
      <c r="AD40" s="93"/>
      <c r="AE40" s="42"/>
      <c r="AF40" s="425"/>
    </row>
    <row r="41" spans="1:32" ht="13.5" customHeight="1" thickBot="1">
      <c r="A41" s="81"/>
      <c r="B41" s="90"/>
      <c r="C41" s="83"/>
      <c r="D41" s="83"/>
      <c r="E41" s="83"/>
      <c r="F41" s="83"/>
      <c r="G41" s="83"/>
      <c r="H41" s="83"/>
      <c r="I41" s="96"/>
      <c r="J41" s="83"/>
      <c r="K41" s="83"/>
      <c r="L41" s="83"/>
      <c r="M41" s="90"/>
      <c r="N41" s="83"/>
      <c r="O41" s="83"/>
      <c r="P41" s="83"/>
      <c r="Q41" s="83"/>
      <c r="R41" s="83"/>
      <c r="S41" s="83"/>
      <c r="T41" s="90"/>
      <c r="U41" s="83"/>
      <c r="V41" s="83"/>
      <c r="W41" s="83"/>
      <c r="X41" s="90"/>
      <c r="Y41" s="83"/>
      <c r="Z41" s="21"/>
      <c r="AA41" s="21"/>
      <c r="AB41" s="97"/>
      <c r="AC41" s="53"/>
      <c r="AD41" s="78"/>
      <c r="AE41" s="55"/>
      <c r="AF41" s="425"/>
    </row>
    <row r="42" spans="1:32" ht="13.5" customHeight="1" thickTop="1">
      <c r="A42" s="381"/>
      <c r="B42" s="382"/>
      <c r="C42" s="382"/>
      <c r="D42" s="382"/>
      <c r="E42" s="382"/>
      <c r="F42" s="382"/>
      <c r="G42" s="383"/>
      <c r="H42" s="383"/>
      <c r="I42" s="382"/>
      <c r="J42" s="382"/>
      <c r="K42" s="382"/>
      <c r="L42" s="382"/>
      <c r="M42" s="382"/>
      <c r="N42" s="382"/>
      <c r="O42" s="382"/>
      <c r="P42" s="382"/>
      <c r="Q42" s="382"/>
      <c r="R42" s="382"/>
      <c r="S42" s="382"/>
      <c r="T42" s="382"/>
      <c r="U42" s="382"/>
      <c r="V42" s="382"/>
      <c r="W42" s="382"/>
      <c r="X42" s="382"/>
      <c r="Y42" s="382"/>
      <c r="Z42" s="386"/>
      <c r="AA42" s="386"/>
      <c r="AB42" s="386"/>
      <c r="AC42" s="386"/>
      <c r="AD42" s="386"/>
      <c r="AE42" s="386"/>
      <c r="AF42" s="425"/>
    </row>
    <row r="43" spans="1:32" ht="13.5" hidden="1" customHeight="1">
      <c r="A43" s="98"/>
      <c r="B43" s="99"/>
      <c r="C43" s="99"/>
      <c r="D43" s="99"/>
      <c r="E43" s="99"/>
      <c r="F43" s="99"/>
      <c r="G43" s="66"/>
      <c r="H43" s="66"/>
      <c r="I43" s="99"/>
      <c r="J43" s="99"/>
      <c r="K43" s="99"/>
      <c r="L43" s="99"/>
      <c r="M43" s="99"/>
      <c r="N43" s="99"/>
      <c r="O43" s="99"/>
      <c r="P43" s="99"/>
      <c r="Q43" s="99"/>
      <c r="R43" s="99"/>
      <c r="S43" s="99"/>
      <c r="T43" s="99"/>
      <c r="U43" s="99"/>
      <c r="V43" s="99"/>
      <c r="W43" s="99"/>
      <c r="X43" s="99"/>
      <c r="Y43" s="99"/>
      <c r="Z43" s="100"/>
      <c r="AA43" s="100"/>
      <c r="AB43" s="100"/>
      <c r="AC43" s="100"/>
      <c r="AD43" s="100"/>
      <c r="AE43" s="100"/>
    </row>
    <row r="44" spans="1:32" ht="13.5" hidden="1" customHeight="1">
      <c r="A44" s="98"/>
      <c r="B44" s="99"/>
      <c r="C44" s="99"/>
      <c r="D44" s="99"/>
      <c r="E44" s="99"/>
      <c r="F44" s="99"/>
      <c r="G44" s="66"/>
      <c r="H44" s="66"/>
      <c r="I44" s="99"/>
      <c r="J44" s="99"/>
      <c r="K44" s="99"/>
      <c r="L44" s="99"/>
      <c r="M44" s="99"/>
      <c r="N44" s="99"/>
      <c r="O44" s="99"/>
      <c r="P44" s="99"/>
      <c r="Q44" s="99"/>
      <c r="R44" s="99"/>
      <c r="S44" s="99"/>
      <c r="T44" s="99"/>
      <c r="U44" s="99"/>
      <c r="V44" s="99"/>
      <c r="W44" s="99"/>
      <c r="X44" s="99"/>
      <c r="Y44" s="99"/>
      <c r="Z44" s="100"/>
      <c r="AA44" s="100"/>
      <c r="AB44" s="100"/>
      <c r="AC44" s="100"/>
      <c r="AD44" s="100"/>
      <c r="AE44" s="100"/>
    </row>
    <row r="45" spans="1:32" ht="13.5" hidden="1" customHeight="1">
      <c r="A45" s="98"/>
      <c r="B45" s="99"/>
      <c r="C45" s="99"/>
      <c r="D45" s="99"/>
      <c r="E45" s="99"/>
      <c r="F45" s="99"/>
      <c r="G45" s="66"/>
      <c r="H45" s="66"/>
      <c r="I45" s="99"/>
      <c r="J45" s="99"/>
      <c r="K45" s="99"/>
      <c r="L45" s="99"/>
      <c r="M45" s="99"/>
      <c r="N45" s="99"/>
      <c r="O45" s="99"/>
      <c r="P45" s="99"/>
      <c r="Q45" s="99"/>
      <c r="R45" s="99"/>
      <c r="S45" s="99"/>
      <c r="T45" s="99"/>
      <c r="U45" s="99"/>
      <c r="V45" s="99"/>
      <c r="W45" s="99"/>
      <c r="X45" s="99"/>
      <c r="Y45" s="99"/>
      <c r="Z45" s="100"/>
      <c r="AA45" s="100"/>
      <c r="AB45" s="100"/>
      <c r="AC45" s="100"/>
      <c r="AD45" s="100"/>
      <c r="AE45" s="100"/>
    </row>
    <row r="46" spans="1:32" ht="13.5" hidden="1" customHeight="1">
      <c r="A46" s="98"/>
      <c r="B46" s="99"/>
      <c r="C46" s="99"/>
      <c r="D46" s="99"/>
      <c r="E46" s="99"/>
      <c r="F46" s="99"/>
      <c r="G46" s="66"/>
      <c r="H46" s="66"/>
      <c r="I46" s="99"/>
      <c r="J46" s="99"/>
      <c r="K46" s="99"/>
      <c r="L46" s="99"/>
      <c r="M46" s="99"/>
      <c r="N46" s="99"/>
      <c r="O46" s="99"/>
      <c r="P46" s="99"/>
      <c r="Q46" s="99"/>
      <c r="R46" s="99"/>
      <c r="S46" s="99"/>
      <c r="T46" s="99"/>
      <c r="U46" s="99"/>
      <c r="V46" s="99"/>
      <c r="W46" s="99"/>
      <c r="X46" s="99"/>
      <c r="Y46" s="99"/>
      <c r="Z46" s="100"/>
      <c r="AA46" s="100"/>
      <c r="AB46" s="100"/>
      <c r="AC46" s="100"/>
      <c r="AD46" s="100"/>
      <c r="AE46" s="100"/>
    </row>
    <row r="47" spans="1:32" ht="13.5" hidden="1" customHeight="1">
      <c r="A47" s="98"/>
      <c r="B47" s="99"/>
      <c r="C47" s="99"/>
      <c r="D47" s="99"/>
      <c r="E47" s="99"/>
      <c r="F47" s="99"/>
      <c r="G47" s="66"/>
      <c r="H47" s="66"/>
      <c r="I47" s="99"/>
      <c r="J47" s="99"/>
      <c r="K47" s="99"/>
      <c r="L47" s="99"/>
      <c r="M47" s="99"/>
      <c r="N47" s="99"/>
      <c r="O47" s="99"/>
      <c r="P47" s="99"/>
      <c r="Q47" s="99"/>
      <c r="R47" s="99"/>
      <c r="S47" s="99"/>
      <c r="T47" s="99"/>
      <c r="U47" s="99"/>
      <c r="V47" s="99"/>
      <c r="W47" s="99"/>
      <c r="X47" s="99"/>
      <c r="Y47" s="99"/>
      <c r="Z47" s="100"/>
      <c r="AA47" s="100"/>
      <c r="AB47" s="100"/>
      <c r="AC47" s="100"/>
      <c r="AD47" s="100"/>
      <c r="AE47" s="100"/>
    </row>
    <row r="48" spans="1:32" ht="13.5" hidden="1" customHeight="1">
      <c r="A48" s="98"/>
      <c r="B48" s="99"/>
      <c r="C48" s="99"/>
      <c r="D48" s="99"/>
      <c r="E48" s="99"/>
      <c r="F48" s="99"/>
      <c r="G48" s="66"/>
      <c r="H48" s="66"/>
      <c r="I48" s="99"/>
      <c r="J48" s="99"/>
      <c r="K48" s="99"/>
      <c r="L48" s="99"/>
      <c r="M48" s="99"/>
      <c r="N48" s="99"/>
      <c r="O48" s="99"/>
      <c r="P48" s="99"/>
      <c r="Q48" s="99"/>
      <c r="R48" s="99"/>
      <c r="S48" s="99"/>
      <c r="T48" s="99"/>
      <c r="U48" s="99"/>
      <c r="V48" s="99"/>
      <c r="W48" s="99"/>
      <c r="X48" s="99"/>
      <c r="Y48" s="99"/>
      <c r="Z48" s="100"/>
      <c r="AA48" s="100"/>
      <c r="AB48" s="100"/>
      <c r="AC48" s="100"/>
      <c r="AD48" s="100"/>
      <c r="AE48" s="100"/>
    </row>
    <row r="49" spans="1:31" ht="13.5" hidden="1" customHeight="1">
      <c r="A49" s="98"/>
      <c r="B49" s="99"/>
      <c r="C49" s="99"/>
      <c r="D49" s="99"/>
      <c r="E49" s="99"/>
      <c r="F49" s="99"/>
      <c r="G49" s="66"/>
      <c r="H49" s="66"/>
      <c r="I49" s="99"/>
      <c r="J49" s="99"/>
      <c r="K49" s="99"/>
      <c r="L49" s="99"/>
      <c r="M49" s="99"/>
      <c r="N49" s="99"/>
      <c r="O49" s="99"/>
      <c r="P49" s="102"/>
      <c r="Q49" s="102"/>
      <c r="R49" s="102"/>
      <c r="S49" s="102"/>
      <c r="T49" s="102"/>
      <c r="U49" s="101"/>
      <c r="V49" s="102"/>
      <c r="W49" s="102"/>
      <c r="X49" s="102"/>
      <c r="Y49" s="102"/>
      <c r="Z49" s="59"/>
      <c r="AA49" s="59"/>
      <c r="AB49" s="101"/>
      <c r="AC49" s="100"/>
      <c r="AD49" s="100"/>
      <c r="AE49" s="100"/>
    </row>
    <row r="50" spans="1:31" ht="13.5" hidden="1" customHeight="1">
      <c r="A50" s="98"/>
      <c r="B50" s="99"/>
      <c r="C50" s="99"/>
      <c r="D50" s="99"/>
      <c r="E50" s="99"/>
      <c r="F50" s="99"/>
      <c r="G50" s="66"/>
      <c r="H50" s="66"/>
      <c r="I50" s="99"/>
      <c r="J50" s="99"/>
      <c r="K50" s="99"/>
      <c r="L50" s="99"/>
      <c r="M50" s="99"/>
      <c r="N50" s="99"/>
      <c r="O50" s="99"/>
      <c r="P50" s="102"/>
      <c r="Q50" s="102"/>
      <c r="R50" s="102"/>
      <c r="S50" s="102"/>
      <c r="T50" s="102"/>
      <c r="U50" s="101"/>
      <c r="V50" s="102"/>
      <c r="W50" s="102"/>
      <c r="X50" s="102"/>
      <c r="Y50" s="102"/>
      <c r="Z50" s="59"/>
      <c r="AA50" s="59"/>
      <c r="AB50" s="101"/>
      <c r="AC50" s="100"/>
      <c r="AD50" s="100"/>
      <c r="AE50" s="100"/>
    </row>
    <row r="51" spans="1:31" ht="13.5" hidden="1" customHeight="1">
      <c r="A51" s="98"/>
      <c r="B51" s="99"/>
      <c r="C51" s="99"/>
      <c r="D51" s="99"/>
      <c r="E51" s="99"/>
      <c r="F51" s="99"/>
      <c r="G51" s="66"/>
      <c r="H51" s="66"/>
      <c r="I51" s="99"/>
      <c r="J51" s="99"/>
      <c r="K51" s="99"/>
      <c r="L51" s="99"/>
      <c r="M51" s="99"/>
      <c r="N51" s="99"/>
      <c r="O51" s="99"/>
      <c r="P51" s="102"/>
      <c r="Q51" s="102"/>
      <c r="R51" s="102"/>
      <c r="S51" s="102"/>
      <c r="T51" s="102"/>
      <c r="U51" s="101"/>
      <c r="V51" s="102"/>
      <c r="W51" s="102"/>
      <c r="X51" s="102"/>
      <c r="Y51" s="102"/>
      <c r="Z51" s="59"/>
      <c r="AA51" s="59"/>
      <c r="AB51" s="101"/>
      <c r="AC51" s="100"/>
      <c r="AD51" s="100"/>
      <c r="AE51" s="100"/>
    </row>
    <row r="52" spans="1:31" ht="13.5" hidden="1" customHeight="1">
      <c r="P52" s="102"/>
      <c r="Q52" s="102"/>
      <c r="R52" s="102"/>
      <c r="S52" s="102"/>
      <c r="T52" s="102"/>
      <c r="U52" s="101"/>
      <c r="V52" s="102"/>
      <c r="W52" s="102"/>
      <c r="X52" s="102"/>
      <c r="Y52" s="102"/>
      <c r="Z52" s="59"/>
      <c r="AA52" s="59"/>
      <c r="AB52" s="101"/>
    </row>
    <row r="53" spans="1:31" ht="13.5" hidden="1" customHeight="1"/>
    <row r="54" spans="1:31" ht="13.5" hidden="1" customHeight="1"/>
    <row r="55" spans="1:31" ht="13.5" hidden="1" customHeight="1"/>
    <row r="56" spans="1:31" ht="13.5" hidden="1" customHeight="1"/>
    <row r="57" spans="1:31" ht="13.5" hidden="1" customHeight="1"/>
    <row r="58" spans="1:31" ht="13.5" hidden="1" customHeight="1"/>
    <row r="59" spans="1:31" ht="13.5" hidden="1" customHeight="1"/>
    <row r="60" spans="1:31" ht="13.5" hidden="1" customHeight="1"/>
    <row r="61" spans="1:31" ht="13.5" hidden="1" customHeight="1"/>
    <row r="62" spans="1:31" ht="13.5" hidden="1" customHeight="1"/>
    <row r="63" spans="1:31" ht="13.5" hidden="1" customHeight="1"/>
    <row r="64" spans="1:31" ht="13.5" hidden="1" customHeight="1"/>
    <row r="65" ht="13.5" hidden="1" customHeight="1"/>
    <row r="66" ht="13.5" hidden="1" customHeight="1"/>
    <row r="67" ht="13.5" hidden="1" customHeight="1"/>
    <row r="68" ht="13.5" hidden="1" customHeight="1"/>
    <row r="69" ht="13.5" hidden="1" customHeight="1"/>
    <row r="70" ht="13.5" hidden="1" customHeight="1"/>
    <row r="71" ht="13.5" hidden="1" customHeight="1"/>
    <row r="72" ht="13.5" hidden="1" customHeight="1"/>
    <row r="73" ht="13.5" hidden="1" customHeight="1"/>
    <row r="74" ht="13.5" hidden="1" customHeight="1"/>
    <row r="75" ht="13.5" hidden="1" customHeight="1"/>
    <row r="76" ht="13.5" hidden="1" customHeight="1"/>
    <row r="77" ht="13.5" hidden="1" customHeight="1"/>
    <row r="78" ht="13.5" hidden="1" customHeight="1"/>
    <row r="79" ht="13.5" hidden="1" customHeight="1"/>
    <row r="80" ht="13.5" hidden="1" customHeight="1"/>
    <row r="81" ht="13.5" hidden="1" customHeight="1"/>
    <row r="82" ht="13.5" hidden="1" customHeight="1"/>
    <row r="83" ht="13.5" hidden="1" customHeight="1"/>
    <row r="84" ht="13.5" hidden="1" customHeight="1"/>
    <row r="85" ht="13.5" hidden="1" customHeight="1"/>
    <row r="86" ht="13.5" hidden="1" customHeight="1"/>
    <row r="87" ht="13.5" hidden="1" customHeight="1"/>
    <row r="88" ht="13.5" hidden="1" customHeight="1"/>
    <row r="89" ht="13.5" hidden="1" customHeight="1"/>
    <row r="90" ht="13.5" hidden="1" customHeight="1"/>
    <row r="91" ht="13.5" hidden="1" customHeight="1"/>
    <row r="92" ht="13.5" hidden="1" customHeight="1"/>
    <row r="93" ht="13.5" hidden="1" customHeight="1"/>
    <row r="94" ht="13.5" hidden="1" customHeight="1"/>
    <row r="95" ht="13.5" hidden="1" customHeight="1"/>
    <row r="96" ht="13.5" hidden="1" customHeight="1"/>
    <row r="97" ht="13.5" hidden="1" customHeight="1"/>
    <row r="98" ht="13.5" hidden="1" customHeight="1"/>
    <row r="99" ht="13.5" hidden="1" customHeight="1"/>
    <row r="100" ht="13.5" hidden="1" customHeight="1"/>
    <row r="101" ht="13.5" hidden="1" customHeight="1"/>
    <row r="102" ht="13.5" hidden="1" customHeight="1"/>
    <row r="103" ht="13.5" hidden="1" customHeight="1"/>
    <row r="104" ht="13.5" hidden="1" customHeight="1"/>
    <row r="105" ht="13.5" hidden="1" customHeight="1"/>
    <row r="106" ht="13.5" hidden="1" customHeight="1"/>
    <row r="107" ht="13.5" hidden="1" customHeight="1"/>
    <row r="108" ht="13.5" hidden="1" customHeight="1"/>
    <row r="109" ht="13.5" hidden="1" customHeight="1"/>
    <row r="110" ht="13.5" hidden="1" customHeight="1"/>
    <row r="111" ht="13.5" hidden="1" customHeight="1"/>
    <row r="112" ht="13.5" hidden="1" customHeight="1"/>
    <row r="113" ht="13.5" hidden="1" customHeight="1"/>
    <row r="114" ht="13.5" hidden="1" customHeight="1"/>
    <row r="115" ht="13.5" hidden="1" customHeight="1"/>
    <row r="116" ht="13.5" hidden="1" customHeight="1"/>
    <row r="117" ht="13.5" hidden="1" customHeight="1"/>
    <row r="118" ht="13.5" hidden="1" customHeight="1"/>
    <row r="119" ht="13.5" hidden="1" customHeight="1"/>
    <row r="120" ht="13.5" hidden="1" customHeight="1"/>
    <row r="121" ht="13.5" hidden="1" customHeight="1"/>
    <row r="122" ht="13.5" hidden="1" customHeight="1"/>
    <row r="123" ht="13.5" hidden="1" customHeight="1"/>
    <row r="124" ht="13.5" hidden="1" customHeight="1"/>
    <row r="125" ht="13.5" hidden="1" customHeight="1"/>
    <row r="126" ht="13.5" hidden="1" customHeight="1"/>
    <row r="127" ht="13.5" hidden="1" customHeight="1"/>
    <row r="128" ht="13.5" hidden="1" customHeight="1"/>
    <row r="129" ht="13.5" hidden="1" customHeight="1"/>
    <row r="130" ht="13.5" hidden="1" customHeight="1"/>
    <row r="131" ht="13.5" hidden="1" customHeight="1"/>
    <row r="132" ht="13.5" hidden="1" customHeight="1"/>
    <row r="133" ht="13.5" hidden="1" customHeight="1"/>
    <row r="134" ht="13.5" hidden="1" customHeight="1"/>
    <row r="135" ht="13.5" hidden="1" customHeight="1"/>
    <row r="136" ht="13.5" hidden="1" customHeight="1"/>
    <row r="137" ht="13.5" hidden="1" customHeight="1"/>
    <row r="138" ht="13.5" hidden="1" customHeight="1"/>
    <row r="139" ht="13.5" hidden="1" customHeight="1"/>
    <row r="140" ht="13.5" hidden="1" customHeight="1"/>
    <row r="141" ht="13.5" hidden="1" customHeight="1"/>
    <row r="142" ht="13.5" hidden="1" customHeight="1"/>
    <row r="143" ht="13.5" hidden="1" customHeight="1"/>
    <row r="144" ht="13.5" hidden="1" customHeight="1"/>
    <row r="145" ht="13.5" hidden="1" customHeight="1"/>
    <row r="146" ht="13.5" hidden="1" customHeight="1"/>
    <row r="147" ht="13.5" hidden="1" customHeight="1"/>
    <row r="148" ht="13.5" hidden="1" customHeight="1"/>
    <row r="149" ht="13.5" hidden="1" customHeight="1"/>
    <row r="150" ht="13.5" hidden="1" customHeight="1"/>
    <row r="151" ht="13.5" hidden="1" customHeight="1"/>
    <row r="152" ht="13.5" hidden="1" customHeight="1"/>
    <row r="153" ht="13.5" hidden="1" customHeight="1"/>
    <row r="154" ht="13.5" hidden="1" customHeight="1"/>
    <row r="155" ht="13.5" hidden="1" customHeight="1"/>
    <row r="156" ht="13.5" hidden="1" customHeight="1"/>
    <row r="157" ht="13.5" hidden="1" customHeight="1"/>
    <row r="158" ht="13.5" hidden="1" customHeight="1"/>
    <row r="159" ht="13.5" hidden="1" customHeight="1"/>
    <row r="160" ht="13.5" hidden="1" customHeight="1"/>
    <row r="161" ht="13.5" hidden="1" customHeight="1"/>
    <row r="162" ht="13.5" hidden="1" customHeight="1"/>
    <row r="163" ht="13.5" hidden="1" customHeight="1"/>
    <row r="164" ht="13.5" hidden="1" customHeight="1"/>
    <row r="165" ht="13.5" hidden="1" customHeight="1"/>
    <row r="166" ht="13.5" hidden="1" customHeight="1"/>
    <row r="167" ht="13.5" hidden="1" customHeight="1"/>
    <row r="168" ht="13.5" hidden="1" customHeight="1"/>
    <row r="169" ht="13.5" hidden="1" customHeight="1"/>
    <row r="170" ht="13.5" hidden="1" customHeight="1"/>
    <row r="171" ht="13.5" hidden="1" customHeight="1"/>
    <row r="172" ht="13.5" hidden="1" customHeight="1"/>
    <row r="173" ht="13.5" hidden="1" customHeight="1"/>
    <row r="174" ht="13.5" hidden="1" customHeight="1"/>
    <row r="175" ht="13.5" hidden="1" customHeight="1"/>
    <row r="176" ht="13.5" hidden="1" customHeight="1"/>
    <row r="177" ht="13.5" hidden="1" customHeight="1"/>
    <row r="178" ht="13.5" hidden="1" customHeight="1"/>
    <row r="179" ht="13.5" hidden="1" customHeight="1"/>
    <row r="180" ht="13.5" hidden="1" customHeight="1"/>
    <row r="181" ht="13.5" hidden="1" customHeight="1"/>
    <row r="182" ht="13.5" hidden="1" customHeight="1"/>
    <row r="183" ht="13.5" hidden="1" customHeight="1"/>
    <row r="184" ht="13.5" hidden="1" customHeight="1"/>
    <row r="185" ht="13.5" hidden="1" customHeight="1"/>
    <row r="186" ht="13.5" hidden="1" customHeight="1"/>
    <row r="187" ht="13.5" hidden="1" customHeight="1"/>
    <row r="188" ht="13.5" hidden="1" customHeight="1"/>
    <row r="189" ht="13.5" hidden="1" customHeight="1"/>
    <row r="190" ht="13.5" hidden="1" customHeight="1"/>
    <row r="191" ht="13.5" hidden="1" customHeight="1"/>
    <row r="192" ht="13.5" hidden="1" customHeight="1"/>
    <row r="193" ht="13.5" hidden="1" customHeight="1"/>
    <row r="194" ht="13.5" hidden="1" customHeight="1"/>
    <row r="195" ht="13.5" hidden="1" customHeight="1"/>
    <row r="196" ht="13.5" hidden="1" customHeight="1"/>
    <row r="197" ht="13.5" hidden="1" customHeight="1"/>
    <row r="198" ht="13.5" hidden="1" customHeight="1"/>
    <row r="199" ht="13.5" hidden="1" customHeight="1"/>
    <row r="200" ht="13.5" hidden="1" customHeight="1"/>
    <row r="201" ht="13.5" hidden="1" customHeight="1"/>
    <row r="202" ht="13.5" hidden="1" customHeight="1"/>
    <row r="203" ht="13.5" hidden="1" customHeight="1"/>
    <row r="204" ht="13.5" hidden="1" customHeight="1"/>
    <row r="205" ht="13.5" hidden="1" customHeight="1"/>
    <row r="206" ht="13.5" hidden="1" customHeight="1"/>
    <row r="207" ht="13.5" hidden="1" customHeight="1"/>
    <row r="208" ht="13.5" hidden="1" customHeight="1"/>
    <row r="209" ht="13.5" hidden="1" customHeight="1"/>
    <row r="210" ht="13.5" hidden="1" customHeight="1"/>
    <row r="211" ht="13.5" hidden="1" customHeight="1"/>
    <row r="212" ht="13.5" hidden="1" customHeight="1"/>
    <row r="213" ht="13.5" hidden="1" customHeight="1"/>
    <row r="214" ht="13.5" hidden="1" customHeight="1"/>
    <row r="215" ht="13.5" hidden="1" customHeight="1"/>
    <row r="216" ht="13.5" hidden="1" customHeight="1"/>
    <row r="217" ht="13.5" hidden="1" customHeight="1"/>
    <row r="218" ht="13.5" hidden="1" customHeight="1"/>
    <row r="219" ht="13.5" hidden="1" customHeight="1"/>
    <row r="220" ht="13.5" hidden="1" customHeight="1"/>
    <row r="221" ht="13.5" hidden="1" customHeight="1"/>
    <row r="222" ht="13.5" hidden="1" customHeight="1"/>
    <row r="223" ht="13.5" hidden="1" customHeight="1"/>
    <row r="224" ht="13.5" hidden="1" customHeight="1"/>
    <row r="225" ht="13.5" hidden="1" customHeight="1"/>
    <row r="226" ht="13.5" hidden="1" customHeight="1"/>
    <row r="227" ht="13.5" hidden="1" customHeight="1"/>
    <row r="228" ht="13.5" hidden="1" customHeight="1"/>
    <row r="229" ht="13.5" hidden="1" customHeight="1"/>
    <row r="230" ht="13.5" hidden="1" customHeight="1"/>
    <row r="231" ht="13.5" hidden="1" customHeight="1"/>
    <row r="232" ht="13.5" hidden="1" customHeight="1"/>
    <row r="233" ht="13.5" hidden="1" customHeight="1"/>
    <row r="234" ht="13.5" hidden="1" customHeight="1"/>
    <row r="235" ht="13.5" hidden="1" customHeight="1"/>
    <row r="236" ht="13.5" hidden="1" customHeight="1"/>
    <row r="237" ht="13.5" hidden="1" customHeight="1"/>
    <row r="238" ht="13.5" hidden="1" customHeight="1"/>
    <row r="239" ht="13.5" hidden="1" customHeight="1"/>
    <row r="240" ht="13.5" hidden="1" customHeight="1"/>
    <row r="241" ht="13.5" hidden="1" customHeight="1"/>
    <row r="242" ht="13.5" hidden="1" customHeight="1"/>
    <row r="243" ht="13.5" hidden="1" customHeight="1"/>
    <row r="244" ht="13.5" hidden="1" customHeight="1"/>
    <row r="245" ht="13.5" hidden="1" customHeight="1"/>
    <row r="246" ht="13.5" hidden="1" customHeight="1"/>
    <row r="247" ht="13.5" hidden="1" customHeight="1"/>
    <row r="248" ht="13.5" hidden="1" customHeight="1"/>
    <row r="249" ht="13.5" hidden="1" customHeight="1"/>
    <row r="250" ht="13.5" hidden="1" customHeight="1"/>
    <row r="251" ht="13.5" hidden="1" customHeight="1"/>
    <row r="252" ht="13.5" hidden="1" customHeight="1"/>
    <row r="253" ht="13.5" hidden="1" customHeight="1"/>
    <row r="254" ht="13.5" hidden="1" customHeight="1"/>
    <row r="255" ht="13.5" hidden="1" customHeight="1"/>
    <row r="256" ht="13.5" hidden="1" customHeight="1"/>
    <row r="257" ht="13.5" hidden="1" customHeight="1"/>
    <row r="258" ht="13.5" hidden="1" customHeight="1"/>
    <row r="259" ht="13.5" hidden="1" customHeight="1"/>
    <row r="260" ht="13.5" hidden="1" customHeight="1"/>
    <row r="261" ht="13.5" hidden="1" customHeight="1"/>
    <row r="262" ht="13.5" hidden="1" customHeight="1"/>
    <row r="263" ht="13.5" hidden="1" customHeight="1"/>
    <row r="264" ht="13.5" hidden="1" customHeight="1"/>
    <row r="265" ht="13.5" hidden="1" customHeight="1"/>
    <row r="266" ht="13.5" hidden="1" customHeight="1"/>
    <row r="267" ht="13.5" hidden="1" customHeight="1"/>
    <row r="268" ht="13.5" hidden="1" customHeight="1"/>
    <row r="269" ht="13.5" hidden="1" customHeight="1"/>
    <row r="270" ht="13.5" hidden="1" customHeight="1"/>
    <row r="271" ht="13.5" hidden="1" customHeight="1"/>
    <row r="272" ht="13.5" hidden="1" customHeight="1"/>
    <row r="273" ht="13.5" hidden="1" customHeight="1"/>
    <row r="274" ht="13.5" hidden="1" customHeight="1"/>
    <row r="275" ht="13.5" hidden="1" customHeight="1"/>
    <row r="276" ht="13.5" hidden="1" customHeight="1"/>
    <row r="277" ht="13.5" hidden="1" customHeight="1"/>
    <row r="278" ht="13.5" hidden="1" customHeight="1"/>
    <row r="279" ht="13.5" hidden="1" customHeight="1"/>
    <row r="280" ht="13.5" hidden="1" customHeight="1"/>
    <row r="281" ht="13.5" hidden="1" customHeight="1"/>
    <row r="282" ht="13.5" hidden="1" customHeight="1"/>
    <row r="283" ht="13.5" hidden="1" customHeight="1"/>
    <row r="284" ht="13.5" hidden="1" customHeight="1"/>
    <row r="285" ht="13.5" hidden="1" customHeight="1"/>
    <row r="286" ht="13.5" hidden="1" customHeight="1"/>
    <row r="287" ht="13.5" hidden="1" customHeight="1"/>
    <row r="288" ht="13.5" hidden="1" customHeight="1"/>
    <row r="289" ht="13.5" hidden="1" customHeight="1"/>
    <row r="290" ht="13.5" hidden="1" customHeight="1"/>
    <row r="291" ht="13.5" hidden="1" customHeight="1"/>
    <row r="292" ht="13.5" hidden="1" customHeight="1"/>
    <row r="293" ht="13.5" hidden="1" customHeight="1"/>
    <row r="294" ht="13.5" hidden="1" customHeight="1"/>
    <row r="295" ht="13.5" hidden="1" customHeight="1"/>
    <row r="296" ht="13.5" hidden="1" customHeight="1"/>
    <row r="297" ht="13.5" hidden="1" customHeight="1"/>
    <row r="298" ht="13.5" hidden="1" customHeight="1"/>
    <row r="299" ht="13.5" hidden="1" customHeight="1"/>
    <row r="300" ht="13.5" hidden="1" customHeight="1"/>
    <row r="301" ht="13.5" hidden="1" customHeight="1"/>
    <row r="302" ht="13.5" hidden="1" customHeight="1"/>
    <row r="303" ht="13.5" hidden="1" customHeight="1"/>
    <row r="304" ht="13.5" hidden="1" customHeight="1"/>
    <row r="305" ht="13.5" hidden="1" customHeight="1"/>
    <row r="306" ht="13.5" hidden="1" customHeight="1"/>
    <row r="307" ht="13.5" hidden="1" customHeight="1"/>
    <row r="308" ht="13.5" hidden="1" customHeight="1"/>
    <row r="309" ht="13.5" hidden="1" customHeight="1"/>
    <row r="310" ht="13.5" hidden="1" customHeight="1"/>
    <row r="311" ht="13.5" hidden="1" customHeight="1"/>
    <row r="312" ht="13.5" hidden="1" customHeight="1"/>
    <row r="313" ht="13.5" hidden="1" customHeight="1"/>
    <row r="314" ht="13.5" hidden="1" customHeight="1"/>
    <row r="315" ht="13.5" hidden="1" customHeight="1"/>
    <row r="316" ht="13.5" hidden="1" customHeight="1"/>
    <row r="317" ht="13.5" hidden="1" customHeight="1"/>
    <row r="318" ht="13.5" hidden="1" customHeight="1"/>
    <row r="319" ht="13.5" hidden="1" customHeight="1"/>
    <row r="320" ht="13.5" hidden="1" customHeight="1"/>
    <row r="321" ht="13.5" hidden="1" customHeight="1"/>
    <row r="322" ht="13.5" hidden="1" customHeight="1"/>
    <row r="323" ht="13.5" hidden="1" customHeight="1"/>
    <row r="324" ht="13.5" hidden="1" customHeight="1"/>
    <row r="325" ht="13.5" hidden="1" customHeight="1"/>
    <row r="326" ht="13.5" hidden="1" customHeight="1"/>
    <row r="327" ht="13.5" hidden="1" customHeight="1"/>
    <row r="328" ht="13.5" hidden="1" customHeight="1"/>
    <row r="329" ht="13.5" hidden="1" customHeight="1"/>
  </sheetData>
  <phoneticPr fontId="0" type="noConversion"/>
  <pageMargins left="0.75" right="0.75" top="1" bottom="1" header="0.4921259845" footer="0.4921259845"/>
  <pageSetup paperSize="9" scale="63" orientation="landscape" horizontalDpi="4294967292" verticalDpi="4294967292" r:id="rId1"/>
  <headerFooter alignWithMargins="0">
    <oddFooter>&amp;LLe &amp;D&amp;CProfilés &amp;A du &amp;F&amp;RPage &amp;P sur &amp;N</oddFooter>
  </headerFooter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AJ351"/>
  <sheetViews>
    <sheetView topLeftCell="A37" workbookViewId="0">
      <selection activeCell="C57" sqref="C57:F57"/>
    </sheetView>
  </sheetViews>
  <sheetFormatPr defaultColWidth="0" defaultRowHeight="14.1" customHeight="1" zeroHeight="1"/>
  <cols>
    <col min="1" max="1" width="19.140625" style="5" customWidth="1"/>
    <col min="2" max="2" width="5.7109375" style="6" customWidth="1"/>
    <col min="3" max="3" width="5.140625" style="7" customWidth="1"/>
    <col min="4" max="4" width="4.140625" style="7" customWidth="1"/>
    <col min="5" max="5" width="4.7109375" style="8" customWidth="1"/>
    <col min="6" max="6" width="5.7109375" style="8" customWidth="1"/>
    <col min="7" max="7" width="3.85546875" style="7" customWidth="1"/>
    <col min="8" max="8" width="7.7109375" style="7" customWidth="1"/>
    <col min="9" max="10" width="6.28515625" style="7" customWidth="1"/>
    <col min="11" max="11" width="4.42578125" style="7" customWidth="1"/>
    <col min="12" max="12" width="5.7109375" style="6" customWidth="1"/>
    <col min="13" max="13" width="6" style="7" customWidth="1"/>
    <col min="14" max="15" width="6.28515625" style="7" customWidth="1"/>
    <col min="16" max="16" width="19.140625" style="5" customWidth="1"/>
    <col min="17" max="17" width="5.7109375" style="6" customWidth="1"/>
    <col min="18" max="18" width="7.28515625" style="7" customWidth="1"/>
    <col min="19" max="20" width="5.42578125" style="7" customWidth="1"/>
    <col min="21" max="21" width="4.85546875" style="7" customWidth="1"/>
    <col min="22" max="22" width="5.7109375" style="7" customWidth="1"/>
    <col min="23" max="23" width="7.85546875" style="7" customWidth="1"/>
    <col min="24" max="25" width="6.42578125" style="7" customWidth="1"/>
    <col min="26" max="26" width="4.85546875" style="7" customWidth="1"/>
    <col min="27" max="27" width="5.7109375" style="7" customWidth="1"/>
    <col min="28" max="29" width="6.85546875" style="7" customWidth="1"/>
    <col min="30" max="35" width="3.85546875" style="7" customWidth="1"/>
    <col min="36" max="36" width="2.42578125" style="9" customWidth="1"/>
    <col min="37" max="16384" width="10.85546875" style="7" hidden="1"/>
  </cols>
  <sheetData>
    <row r="1" spans="1:36" s="4" customFormat="1" ht="18.75" customHeight="1">
      <c r="A1" s="458"/>
      <c r="B1" s="325"/>
      <c r="C1" s="325"/>
      <c r="D1" s="325"/>
      <c r="E1" s="458"/>
      <c r="F1" s="459"/>
      <c r="G1" s="459"/>
      <c r="H1" s="459"/>
      <c r="I1" s="325"/>
      <c r="J1" s="325"/>
      <c r="K1" s="458"/>
      <c r="L1" s="459"/>
      <c r="M1" s="459"/>
      <c r="N1" s="419"/>
      <c r="O1" s="419"/>
      <c r="P1" s="419"/>
      <c r="Q1" s="460"/>
      <c r="R1" s="419"/>
      <c r="S1" s="419"/>
      <c r="T1" s="419"/>
      <c r="U1" s="419"/>
      <c r="V1" s="419"/>
      <c r="W1" s="419"/>
      <c r="X1" s="419"/>
      <c r="Y1" s="419"/>
      <c r="Z1" s="419"/>
      <c r="AA1" s="419"/>
      <c r="AB1" s="419"/>
      <c r="AC1" s="419"/>
      <c r="AD1" s="419"/>
      <c r="AE1" s="419"/>
      <c r="AF1" s="419"/>
      <c r="AG1" s="419"/>
      <c r="AH1" s="419"/>
      <c r="AI1" s="419"/>
      <c r="AJ1" s="461"/>
    </row>
    <row r="2" spans="1:36" s="4" customFormat="1" ht="20.25">
      <c r="A2" s="423" t="s">
        <v>1811</v>
      </c>
      <c r="B2" s="325"/>
      <c r="C2" s="325"/>
      <c r="D2" s="325"/>
      <c r="E2" s="458"/>
      <c r="F2" s="459"/>
      <c r="G2" s="459"/>
      <c r="H2" s="459"/>
      <c r="I2" s="325"/>
      <c r="J2" s="325"/>
      <c r="K2" s="458"/>
      <c r="L2" s="459"/>
      <c r="M2" s="459"/>
      <c r="N2" s="419"/>
      <c r="O2" s="419"/>
      <c r="P2" s="419"/>
      <c r="Q2" s="460"/>
      <c r="R2" s="419"/>
      <c r="S2" s="419"/>
      <c r="T2" s="419"/>
      <c r="U2" s="419"/>
      <c r="V2" s="419"/>
      <c r="W2" s="419"/>
      <c r="X2" s="419"/>
      <c r="Y2" s="419"/>
      <c r="Z2" s="419"/>
      <c r="AA2" s="419"/>
      <c r="AB2" s="419"/>
      <c r="AC2" s="419"/>
      <c r="AD2" s="419"/>
      <c r="AE2" s="419"/>
      <c r="AF2" s="419"/>
      <c r="AG2" s="419"/>
      <c r="AH2" s="419"/>
      <c r="AI2" s="419"/>
      <c r="AJ2" s="461"/>
    </row>
    <row r="3" spans="1:36" s="4" customFormat="1" ht="20.25">
      <c r="A3" s="423" t="s">
        <v>1820</v>
      </c>
      <c r="B3" s="419"/>
      <c r="C3" s="419"/>
      <c r="D3" s="419"/>
      <c r="E3" s="419"/>
      <c r="F3" s="459"/>
      <c r="G3" s="459"/>
      <c r="H3" s="462"/>
      <c r="I3" s="419"/>
      <c r="J3" s="419"/>
      <c r="K3" s="419"/>
      <c r="L3" s="459"/>
      <c r="M3" s="459"/>
      <c r="N3" s="419"/>
      <c r="O3" s="419"/>
      <c r="P3" s="419"/>
      <c r="Q3" s="460"/>
      <c r="R3" s="419"/>
      <c r="S3" s="419"/>
      <c r="T3" s="419"/>
      <c r="U3" s="419"/>
      <c r="V3" s="419"/>
      <c r="W3" s="419"/>
      <c r="X3" s="419"/>
      <c r="Y3" s="419"/>
      <c r="Z3" s="419"/>
      <c r="AA3" s="419"/>
      <c r="AB3" s="419"/>
      <c r="AC3" s="419"/>
      <c r="AD3" s="419"/>
      <c r="AE3" s="419"/>
      <c r="AF3" s="419"/>
      <c r="AG3" s="419"/>
      <c r="AH3" s="419"/>
      <c r="AI3" s="419"/>
      <c r="AJ3" s="461"/>
    </row>
    <row r="4" spans="1:36" s="4" customFormat="1" ht="20.25">
      <c r="A4" s="463" t="s">
        <v>1821</v>
      </c>
      <c r="B4" s="325"/>
      <c r="C4" s="325"/>
      <c r="D4" s="325"/>
      <c r="E4" s="458"/>
      <c r="F4" s="459"/>
      <c r="G4" s="459"/>
      <c r="H4" s="459"/>
      <c r="I4" s="325"/>
      <c r="J4" s="325"/>
      <c r="K4" s="458"/>
      <c r="L4" s="459"/>
      <c r="M4" s="459"/>
      <c r="N4" s="419"/>
      <c r="O4" s="419"/>
      <c r="P4" s="419"/>
      <c r="Q4" s="460"/>
      <c r="R4" s="419"/>
      <c r="S4" s="419"/>
      <c r="T4" s="419"/>
      <c r="U4" s="419"/>
      <c r="V4" s="419"/>
      <c r="W4" s="419"/>
      <c r="X4" s="419"/>
      <c r="Y4" s="419"/>
      <c r="Z4" s="419"/>
      <c r="AA4" s="419"/>
      <c r="AB4" s="419"/>
      <c r="AC4" s="419"/>
      <c r="AD4" s="419"/>
      <c r="AE4" s="419"/>
      <c r="AF4" s="419"/>
      <c r="AG4" s="419"/>
      <c r="AH4" s="419"/>
      <c r="AI4" s="419"/>
      <c r="AJ4" s="461"/>
    </row>
    <row r="5" spans="1:36" s="4" customFormat="1" ht="18.75" customHeight="1">
      <c r="A5" s="419" t="s">
        <v>1822</v>
      </c>
      <c r="B5" s="325"/>
      <c r="C5" s="325"/>
      <c r="D5" s="325"/>
      <c r="E5" s="458"/>
      <c r="F5" s="459"/>
      <c r="G5" s="459"/>
      <c r="H5" s="459"/>
      <c r="I5" s="325"/>
      <c r="J5" s="325"/>
      <c r="K5" s="458"/>
      <c r="L5" s="459"/>
      <c r="M5" s="459"/>
      <c r="N5" s="419"/>
      <c r="O5" s="419"/>
      <c r="P5" s="419"/>
      <c r="Q5" s="460"/>
      <c r="R5" s="419"/>
      <c r="S5" s="419"/>
      <c r="T5" s="419"/>
      <c r="U5" s="419"/>
      <c r="V5" s="419"/>
      <c r="W5" s="419"/>
      <c r="X5" s="419"/>
      <c r="Y5" s="419"/>
      <c r="Z5" s="419"/>
      <c r="AA5" s="419"/>
      <c r="AB5" s="419"/>
      <c r="AC5" s="419"/>
      <c r="AD5" s="419"/>
      <c r="AE5" s="419"/>
      <c r="AF5" s="419"/>
      <c r="AG5" s="419"/>
      <c r="AH5" s="419"/>
      <c r="AI5" s="419"/>
      <c r="AJ5" s="461"/>
    </row>
    <row r="6" spans="1:36" s="4" customFormat="1" ht="18.75" customHeight="1">
      <c r="A6" s="458"/>
      <c r="B6" s="325"/>
      <c r="C6" s="325"/>
      <c r="D6" s="325"/>
      <c r="E6" s="458"/>
      <c r="F6" s="459"/>
      <c r="G6" s="459"/>
      <c r="H6" s="459"/>
      <c r="I6" s="325"/>
      <c r="J6" s="325"/>
      <c r="K6" s="458"/>
      <c r="L6" s="459"/>
      <c r="M6" s="459"/>
      <c r="N6" s="419"/>
      <c r="O6" s="419"/>
      <c r="P6" s="419"/>
      <c r="Q6" s="460"/>
      <c r="R6" s="419"/>
      <c r="S6" s="419"/>
      <c r="T6" s="419"/>
      <c r="U6" s="419"/>
      <c r="V6" s="419"/>
      <c r="W6" s="419"/>
      <c r="X6" s="419"/>
      <c r="Y6" s="419"/>
      <c r="Z6" s="419"/>
      <c r="AA6" s="419"/>
      <c r="AB6" s="419"/>
      <c r="AC6" s="419"/>
      <c r="AD6" s="419"/>
      <c r="AE6" s="419"/>
      <c r="AF6" s="419"/>
      <c r="AG6" s="419"/>
      <c r="AH6" s="419"/>
      <c r="AI6" s="419"/>
      <c r="AJ6" s="461"/>
    </row>
    <row r="7" spans="1:36" s="4" customFormat="1" ht="18.75" customHeight="1">
      <c r="A7" s="458"/>
      <c r="B7" s="325"/>
      <c r="C7" s="325"/>
      <c r="D7" s="325"/>
      <c r="E7" s="458"/>
      <c r="F7" s="459"/>
      <c r="G7" s="459"/>
      <c r="H7" s="459"/>
      <c r="I7" s="325"/>
      <c r="J7" s="325"/>
      <c r="K7" s="458"/>
      <c r="L7" s="459"/>
      <c r="M7" s="459"/>
      <c r="N7" s="419"/>
      <c r="O7" s="419"/>
      <c r="P7" s="419"/>
      <c r="Q7" s="460"/>
      <c r="R7" s="419"/>
      <c r="S7" s="419"/>
      <c r="T7" s="419"/>
      <c r="U7" s="419"/>
      <c r="V7" s="419"/>
      <c r="W7" s="419"/>
      <c r="X7" s="419"/>
      <c r="Y7" s="419"/>
      <c r="Z7" s="419"/>
      <c r="AA7" s="419"/>
      <c r="AB7" s="419"/>
      <c r="AC7" s="419"/>
      <c r="AD7" s="419"/>
      <c r="AE7" s="419"/>
      <c r="AF7" s="419"/>
      <c r="AG7" s="419"/>
      <c r="AH7" s="419"/>
      <c r="AI7" s="419"/>
      <c r="AJ7" s="461"/>
    </row>
    <row r="8" spans="1:36" ht="14.1" customHeight="1" thickBot="1">
      <c r="A8" s="464"/>
      <c r="B8" s="465"/>
      <c r="C8" s="429"/>
      <c r="D8" s="429"/>
      <c r="E8" s="466"/>
      <c r="F8" s="466"/>
      <c r="G8" s="429"/>
      <c r="H8" s="429"/>
      <c r="I8" s="429"/>
      <c r="J8" s="429"/>
      <c r="K8" s="429"/>
      <c r="L8" s="465"/>
      <c r="M8" s="429"/>
      <c r="N8" s="429"/>
      <c r="O8" s="429"/>
      <c r="P8" s="464"/>
      <c r="Q8" s="465"/>
      <c r="R8" s="429"/>
      <c r="S8" s="429"/>
      <c r="T8" s="429"/>
      <c r="U8" s="429"/>
      <c r="V8" s="429"/>
      <c r="W8" s="429"/>
      <c r="X8" s="429"/>
      <c r="Y8" s="429"/>
      <c r="Z8" s="429"/>
      <c r="AA8" s="429"/>
      <c r="AB8" s="429"/>
      <c r="AC8" s="429"/>
      <c r="AD8" s="429"/>
      <c r="AE8" s="429"/>
      <c r="AF8" s="429"/>
      <c r="AG8" s="429"/>
      <c r="AH8" s="429"/>
      <c r="AI8" s="429"/>
      <c r="AJ8" s="467"/>
    </row>
    <row r="9" spans="1:36" s="4" customFormat="1" ht="14.1" customHeight="1" thickTop="1" thickBot="1">
      <c r="A9" s="327"/>
      <c r="B9" s="328"/>
      <c r="C9" s="327"/>
      <c r="D9" s="363"/>
      <c r="E9" s="363"/>
      <c r="F9" s="363"/>
      <c r="G9" s="364"/>
      <c r="H9" s="366" t="s">
        <v>1799</v>
      </c>
      <c r="I9" s="327"/>
      <c r="J9" s="363"/>
      <c r="K9" s="363"/>
      <c r="L9" s="368"/>
      <c r="M9" s="364"/>
      <c r="N9" s="327"/>
      <c r="O9" s="364"/>
      <c r="P9" s="327"/>
      <c r="Q9" s="364"/>
      <c r="R9" s="370"/>
      <c r="S9" s="362"/>
      <c r="T9" s="362"/>
      <c r="U9" s="362"/>
      <c r="V9" s="362"/>
      <c r="W9" s="362" t="s">
        <v>1804</v>
      </c>
      <c r="X9" s="362"/>
      <c r="Y9" s="362"/>
      <c r="Z9" s="362"/>
      <c r="AA9" s="362"/>
      <c r="AB9" s="371"/>
      <c r="AC9" s="372"/>
      <c r="AD9" s="374"/>
      <c r="AE9" s="375"/>
      <c r="AF9" s="375" t="s">
        <v>1806</v>
      </c>
      <c r="AG9" s="375"/>
      <c r="AH9" s="375"/>
      <c r="AI9" s="376"/>
      <c r="AJ9" s="10" t="s">
        <v>570</v>
      </c>
    </row>
    <row r="10" spans="1:36" s="4" customFormat="1" ht="14.1" customHeight="1" thickTop="1" thickBot="1">
      <c r="A10" s="329" t="s">
        <v>1799</v>
      </c>
      <c r="B10" s="330"/>
      <c r="C10" s="329"/>
      <c r="D10" s="360"/>
      <c r="E10" s="360" t="s">
        <v>1800</v>
      </c>
      <c r="F10" s="360"/>
      <c r="G10" s="365"/>
      <c r="H10" s="367" t="s">
        <v>1801</v>
      </c>
      <c r="I10" s="329"/>
      <c r="J10" s="360" t="s">
        <v>1802</v>
      </c>
      <c r="K10" s="360"/>
      <c r="L10" s="369"/>
      <c r="M10" s="365"/>
      <c r="N10" s="329" t="s">
        <v>1803</v>
      </c>
      <c r="O10" s="365"/>
      <c r="P10" s="329" t="s">
        <v>1799</v>
      </c>
      <c r="Q10" s="365"/>
      <c r="R10" s="370"/>
      <c r="S10" s="362" t="s">
        <v>1859</v>
      </c>
      <c r="T10" s="362"/>
      <c r="U10" s="362"/>
      <c r="V10" s="373"/>
      <c r="W10" s="370"/>
      <c r="X10" s="362" t="s">
        <v>1860</v>
      </c>
      <c r="Y10" s="362"/>
      <c r="Z10" s="373"/>
      <c r="AA10" s="331"/>
      <c r="AB10" s="332"/>
      <c r="AC10" s="333"/>
      <c r="AD10" s="377"/>
      <c r="AE10" s="378"/>
      <c r="AF10" s="378" t="s">
        <v>1807</v>
      </c>
      <c r="AG10" s="378"/>
      <c r="AH10" s="378"/>
      <c r="AI10" s="379"/>
      <c r="AJ10" s="10" t="s">
        <v>571</v>
      </c>
    </row>
    <row r="11" spans="1:36" s="4" customFormat="1" ht="14.1" customHeight="1" thickTop="1">
      <c r="A11" s="11" t="s">
        <v>1823</v>
      </c>
      <c r="B11" s="12" t="s">
        <v>572</v>
      </c>
      <c r="C11" s="13" t="s">
        <v>573</v>
      </c>
      <c r="D11" s="13" t="s">
        <v>574</v>
      </c>
      <c r="E11" s="13" t="s">
        <v>865</v>
      </c>
      <c r="F11" s="13" t="s">
        <v>866</v>
      </c>
      <c r="G11" s="12" t="s">
        <v>577</v>
      </c>
      <c r="H11" s="12" t="s">
        <v>578</v>
      </c>
      <c r="I11" s="13" t="s">
        <v>867</v>
      </c>
      <c r="J11" s="13" t="s">
        <v>580</v>
      </c>
      <c r="K11" s="13" t="s">
        <v>581</v>
      </c>
      <c r="L11" s="17" t="s">
        <v>868</v>
      </c>
      <c r="M11" s="12" t="s">
        <v>869</v>
      </c>
      <c r="N11" s="13" t="s">
        <v>870</v>
      </c>
      <c r="O11" s="13" t="s">
        <v>871</v>
      </c>
      <c r="P11" s="11" t="s">
        <v>948</v>
      </c>
      <c r="Q11" s="15" t="s">
        <v>572</v>
      </c>
      <c r="R11" s="13" t="s">
        <v>872</v>
      </c>
      <c r="S11" s="18" t="s">
        <v>587</v>
      </c>
      <c r="T11" s="18" t="s">
        <v>588</v>
      </c>
      <c r="U11" s="13" t="s">
        <v>873</v>
      </c>
      <c r="V11" s="12" t="s">
        <v>874</v>
      </c>
      <c r="W11" s="13" t="s">
        <v>875</v>
      </c>
      <c r="X11" s="18" t="s">
        <v>592</v>
      </c>
      <c r="Y11" s="18" t="s">
        <v>593</v>
      </c>
      <c r="Z11" s="12" t="s">
        <v>876</v>
      </c>
      <c r="AA11" s="13" t="s">
        <v>877</v>
      </c>
      <c r="AB11" s="13" t="s">
        <v>596</v>
      </c>
      <c r="AC11" s="16" t="s">
        <v>949</v>
      </c>
      <c r="AD11" s="374"/>
      <c r="AE11" s="375"/>
      <c r="AF11" s="376"/>
      <c r="AG11" s="374"/>
      <c r="AH11" s="375"/>
      <c r="AI11" s="376"/>
      <c r="AJ11" s="10" t="s">
        <v>598</v>
      </c>
    </row>
    <row r="12" spans="1:36" s="4" customFormat="1" ht="14.1" customHeight="1" thickBot="1">
      <c r="A12" s="11"/>
      <c r="B12" s="12" t="s">
        <v>599</v>
      </c>
      <c r="C12" s="13" t="s">
        <v>600</v>
      </c>
      <c r="D12" s="13" t="s">
        <v>601</v>
      </c>
      <c r="E12" s="13" t="s">
        <v>601</v>
      </c>
      <c r="F12" s="13" t="s">
        <v>601</v>
      </c>
      <c r="G12" s="12" t="s">
        <v>601</v>
      </c>
      <c r="H12" s="12" t="s">
        <v>879</v>
      </c>
      <c r="I12" s="13" t="s">
        <v>601</v>
      </c>
      <c r="J12" s="13" t="s">
        <v>601</v>
      </c>
      <c r="K12" s="13"/>
      <c r="L12" s="14" t="s">
        <v>601</v>
      </c>
      <c r="M12" s="12" t="s">
        <v>601</v>
      </c>
      <c r="N12" s="13" t="s">
        <v>880</v>
      </c>
      <c r="O12" s="13" t="s">
        <v>881</v>
      </c>
      <c r="P12" s="11"/>
      <c r="Q12" s="15" t="s">
        <v>950</v>
      </c>
      <c r="R12" s="13" t="s">
        <v>882</v>
      </c>
      <c r="S12" s="13" t="s">
        <v>883</v>
      </c>
      <c r="T12" s="13" t="s">
        <v>883</v>
      </c>
      <c r="U12" s="13" t="s">
        <v>607</v>
      </c>
      <c r="V12" s="12" t="s">
        <v>884</v>
      </c>
      <c r="W12" s="13" t="s">
        <v>611</v>
      </c>
      <c r="X12" s="13" t="s">
        <v>885</v>
      </c>
      <c r="Y12" s="13" t="s">
        <v>885</v>
      </c>
      <c r="Z12" s="12" t="s">
        <v>607</v>
      </c>
      <c r="AA12" s="13" t="s">
        <v>601</v>
      </c>
      <c r="AB12" s="13" t="s">
        <v>611</v>
      </c>
      <c r="AC12" s="16" t="s">
        <v>612</v>
      </c>
      <c r="AD12" s="377"/>
      <c r="AE12" s="378" t="s">
        <v>1808</v>
      </c>
      <c r="AF12" s="379"/>
      <c r="AG12" s="377"/>
      <c r="AH12" s="378" t="s">
        <v>1809</v>
      </c>
      <c r="AI12" s="379"/>
      <c r="AJ12" s="10" t="s">
        <v>613</v>
      </c>
    </row>
    <row r="13" spans="1:36" s="4" customFormat="1" ht="14.1" customHeight="1" thickTop="1" thickBot="1">
      <c r="A13" s="22"/>
      <c r="B13" s="23"/>
      <c r="C13" s="24"/>
      <c r="D13" s="24"/>
      <c r="E13" s="24"/>
      <c r="F13" s="24"/>
      <c r="G13" s="23"/>
      <c r="H13" s="23"/>
      <c r="I13" s="24"/>
      <c r="J13" s="24"/>
      <c r="K13" s="24"/>
      <c r="L13" s="25"/>
      <c r="M13" s="23"/>
      <c r="N13" s="24"/>
      <c r="O13" s="24"/>
      <c r="P13" s="22"/>
      <c r="Q13" s="26"/>
      <c r="R13" s="24"/>
      <c r="S13" s="24"/>
      <c r="T13" s="24"/>
      <c r="U13" s="24"/>
      <c r="V13" s="23"/>
      <c r="W13" s="24"/>
      <c r="X13" s="24"/>
      <c r="Y13" s="24"/>
      <c r="Z13" s="23"/>
      <c r="AA13" s="24"/>
      <c r="AB13" s="24"/>
      <c r="AC13" s="27"/>
      <c r="AD13" s="28">
        <v>235</v>
      </c>
      <c r="AE13" s="28">
        <v>355</v>
      </c>
      <c r="AF13" s="28">
        <v>460</v>
      </c>
      <c r="AG13" s="28">
        <v>235</v>
      </c>
      <c r="AH13" s="28">
        <v>355</v>
      </c>
      <c r="AI13" s="29">
        <v>460</v>
      </c>
      <c r="AJ13" s="10" t="s">
        <v>578</v>
      </c>
    </row>
    <row r="14" spans="1:36" s="4" customFormat="1" ht="14.1" customHeight="1" thickTop="1">
      <c r="A14" s="30"/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1"/>
      <c r="M14" s="30"/>
      <c r="N14" s="30"/>
      <c r="O14" s="30"/>
      <c r="P14" s="30"/>
      <c r="Q14" s="31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  <c r="AJ14" s="32" t="s">
        <v>614</v>
      </c>
    </row>
    <row r="15" spans="1:36" s="4" customFormat="1" ht="14.1" customHeight="1">
      <c r="A15" s="33"/>
      <c r="B15" s="34"/>
      <c r="C15" s="35"/>
      <c r="D15" s="35"/>
      <c r="E15" s="36"/>
      <c r="F15" s="36"/>
      <c r="G15" s="21"/>
      <c r="H15" s="37"/>
      <c r="I15" s="21"/>
      <c r="J15" s="21"/>
      <c r="K15" s="21"/>
      <c r="L15" s="35"/>
      <c r="M15" s="38"/>
      <c r="N15" s="39"/>
      <c r="O15" s="40"/>
      <c r="P15" s="33"/>
      <c r="Q15" s="38"/>
      <c r="R15" s="36"/>
      <c r="S15" s="40"/>
      <c r="T15" s="36"/>
      <c r="U15" s="40"/>
      <c r="V15" s="41"/>
      <c r="W15" s="36"/>
      <c r="X15" s="40"/>
      <c r="Y15" s="40"/>
      <c r="Z15" s="41"/>
      <c r="AA15" s="40"/>
      <c r="AB15" s="21"/>
      <c r="AC15" s="42"/>
      <c r="AD15" s="21"/>
      <c r="AE15" s="21"/>
      <c r="AF15" s="43"/>
      <c r="AG15" s="21"/>
      <c r="AH15" s="21"/>
      <c r="AI15" s="42"/>
      <c r="AJ15" s="21"/>
    </row>
    <row r="16" spans="1:36" s="469" customFormat="1" ht="14.1" customHeight="1">
      <c r="A16" s="404" t="s">
        <v>951</v>
      </c>
      <c r="B16" s="405">
        <v>19.3</v>
      </c>
      <c r="C16" s="398">
        <v>106</v>
      </c>
      <c r="D16" s="398">
        <v>103</v>
      </c>
      <c r="E16" s="406">
        <v>7.1</v>
      </c>
      <c r="F16" s="406">
        <v>8.8000000000000007</v>
      </c>
      <c r="G16" s="398">
        <v>6</v>
      </c>
      <c r="H16" s="468">
        <v>24.71</v>
      </c>
      <c r="I16" s="398">
        <v>88.4</v>
      </c>
      <c r="J16" s="398">
        <v>76.400000000000006</v>
      </c>
      <c r="K16" s="398" t="s">
        <v>616</v>
      </c>
      <c r="L16" s="408" t="s">
        <v>616</v>
      </c>
      <c r="M16" s="409" t="s">
        <v>616</v>
      </c>
      <c r="N16" s="410">
        <v>0.59899999999999998</v>
      </c>
      <c r="O16" s="411">
        <v>30.9</v>
      </c>
      <c r="P16" s="404" t="s">
        <v>952</v>
      </c>
      <c r="Q16" s="409">
        <v>13</v>
      </c>
      <c r="R16" s="406">
        <v>475.9</v>
      </c>
      <c r="S16" s="411">
        <v>89.79</v>
      </c>
      <c r="T16" s="406">
        <v>103.3</v>
      </c>
      <c r="U16" s="411">
        <v>4.3899999999999997</v>
      </c>
      <c r="V16" s="407">
        <v>8.27</v>
      </c>
      <c r="W16" s="406">
        <v>160.6</v>
      </c>
      <c r="X16" s="411">
        <v>31.19</v>
      </c>
      <c r="Y16" s="411">
        <v>47.94</v>
      </c>
      <c r="Z16" s="407">
        <v>2.5499999999999998</v>
      </c>
      <c r="AA16" s="411">
        <v>31.73</v>
      </c>
      <c r="AB16" s="411">
        <v>6.52</v>
      </c>
      <c r="AC16" s="400">
        <v>3.79</v>
      </c>
      <c r="AD16" s="398">
        <v>1</v>
      </c>
      <c r="AE16" s="398">
        <v>1</v>
      </c>
      <c r="AF16" s="399" t="s">
        <v>616</v>
      </c>
      <c r="AG16" s="398">
        <v>1</v>
      </c>
      <c r="AH16" s="398">
        <v>1</v>
      </c>
      <c r="AI16" s="400" t="s">
        <v>616</v>
      </c>
      <c r="AJ16" s="398"/>
    </row>
    <row r="17" spans="1:36" s="45" customFormat="1" ht="13.5" customHeight="1">
      <c r="A17" s="33"/>
      <c r="B17" s="34"/>
      <c r="C17" s="21"/>
      <c r="D17" s="21"/>
      <c r="E17" s="36"/>
      <c r="F17" s="36"/>
      <c r="G17" s="21"/>
      <c r="H17" s="37"/>
      <c r="I17" s="21"/>
      <c r="J17" s="21"/>
      <c r="K17" s="21"/>
      <c r="L17" s="35"/>
      <c r="M17" s="38"/>
      <c r="N17" s="39"/>
      <c r="O17" s="40"/>
      <c r="P17" s="33"/>
      <c r="Q17" s="44"/>
      <c r="R17" s="35"/>
      <c r="S17" s="36"/>
      <c r="T17" s="36"/>
      <c r="U17" s="40"/>
      <c r="V17" s="41"/>
      <c r="W17" s="36"/>
      <c r="X17" s="40"/>
      <c r="Y17" s="40"/>
      <c r="Z17" s="41"/>
      <c r="AA17" s="40"/>
      <c r="AB17" s="40"/>
      <c r="AC17" s="42"/>
      <c r="AD17" s="21"/>
      <c r="AE17" s="21"/>
      <c r="AF17" s="43"/>
      <c r="AG17" s="21"/>
      <c r="AH17" s="21"/>
      <c r="AI17" s="42"/>
      <c r="AJ17" s="21"/>
    </row>
    <row r="18" spans="1:36" s="442" customFormat="1" ht="13.5" customHeight="1">
      <c r="A18" s="404" t="s">
        <v>953</v>
      </c>
      <c r="B18" s="405">
        <v>23.8</v>
      </c>
      <c r="C18" s="398">
        <v>127</v>
      </c>
      <c r="D18" s="398">
        <v>127</v>
      </c>
      <c r="E18" s="406">
        <v>6.1</v>
      </c>
      <c r="F18" s="406">
        <v>9.1</v>
      </c>
      <c r="G18" s="398">
        <v>8</v>
      </c>
      <c r="H18" s="468">
        <v>30.3</v>
      </c>
      <c r="I18" s="398">
        <v>108.8</v>
      </c>
      <c r="J18" s="398">
        <v>92.8</v>
      </c>
      <c r="K18" s="398" t="s">
        <v>632</v>
      </c>
      <c r="L18" s="408">
        <v>60</v>
      </c>
      <c r="M18" s="409">
        <v>70</v>
      </c>
      <c r="N18" s="410">
        <v>0.73599999999999999</v>
      </c>
      <c r="O18" s="411">
        <v>30.95</v>
      </c>
      <c r="P18" s="404" t="s">
        <v>954</v>
      </c>
      <c r="Q18" s="409">
        <v>16</v>
      </c>
      <c r="R18" s="406">
        <v>885.5</v>
      </c>
      <c r="S18" s="406">
        <v>139.5</v>
      </c>
      <c r="T18" s="406">
        <v>157.19999999999999</v>
      </c>
      <c r="U18" s="411">
        <v>5.41</v>
      </c>
      <c r="V18" s="407">
        <v>9.1999999999999993</v>
      </c>
      <c r="W18" s="406">
        <v>311</v>
      </c>
      <c r="X18" s="411">
        <v>48.98</v>
      </c>
      <c r="Y18" s="411">
        <v>74.66</v>
      </c>
      <c r="Z18" s="407">
        <v>3.2</v>
      </c>
      <c r="AA18" s="411">
        <v>33.67</v>
      </c>
      <c r="AB18" s="411">
        <v>8.1</v>
      </c>
      <c r="AC18" s="400">
        <v>10.8</v>
      </c>
      <c r="AD18" s="398">
        <v>1</v>
      </c>
      <c r="AE18" s="398">
        <v>1</v>
      </c>
      <c r="AF18" s="399" t="s">
        <v>616</v>
      </c>
      <c r="AG18" s="398">
        <v>1</v>
      </c>
      <c r="AH18" s="398">
        <v>1</v>
      </c>
      <c r="AI18" s="400" t="s">
        <v>616</v>
      </c>
      <c r="AJ18" s="398"/>
    </row>
    <row r="19" spans="1:36" s="45" customFormat="1" ht="15.75" customHeight="1">
      <c r="A19" s="33" t="s">
        <v>955</v>
      </c>
      <c r="B19" s="34">
        <v>28.1</v>
      </c>
      <c r="C19" s="21">
        <v>131</v>
      </c>
      <c r="D19" s="21">
        <v>128</v>
      </c>
      <c r="E19" s="36">
        <v>6.9</v>
      </c>
      <c r="F19" s="36">
        <v>10.9</v>
      </c>
      <c r="G19" s="21">
        <v>8</v>
      </c>
      <c r="H19" s="37">
        <v>35.94</v>
      </c>
      <c r="I19" s="21">
        <v>109.2</v>
      </c>
      <c r="J19" s="21">
        <v>93.2</v>
      </c>
      <c r="K19" s="21" t="s">
        <v>632</v>
      </c>
      <c r="L19" s="35">
        <v>62</v>
      </c>
      <c r="M19" s="38">
        <v>70</v>
      </c>
      <c r="N19" s="39">
        <v>0.747</v>
      </c>
      <c r="O19" s="40">
        <v>26.46</v>
      </c>
      <c r="P19" s="33" t="s">
        <v>956</v>
      </c>
      <c r="Q19" s="44">
        <v>19</v>
      </c>
      <c r="R19" s="35">
        <v>1099</v>
      </c>
      <c r="S19" s="36">
        <v>167.7</v>
      </c>
      <c r="T19" s="36">
        <v>190.9</v>
      </c>
      <c r="U19" s="40">
        <v>5.53</v>
      </c>
      <c r="V19" s="41">
        <v>10.53</v>
      </c>
      <c r="W19" s="36">
        <v>381.4</v>
      </c>
      <c r="X19" s="40">
        <v>59.6</v>
      </c>
      <c r="Y19" s="40">
        <v>90.86</v>
      </c>
      <c r="Z19" s="41">
        <v>3.26</v>
      </c>
      <c r="AA19" s="40">
        <v>38.03</v>
      </c>
      <c r="AB19" s="40">
        <v>13.33</v>
      </c>
      <c r="AC19" s="42">
        <v>13.74</v>
      </c>
      <c r="AD19" s="21">
        <v>1</v>
      </c>
      <c r="AE19" s="21">
        <v>1</v>
      </c>
      <c r="AF19" s="43" t="s">
        <v>616</v>
      </c>
      <c r="AG19" s="21">
        <v>1</v>
      </c>
      <c r="AH19" s="21">
        <v>1</v>
      </c>
      <c r="AI19" s="42" t="s">
        <v>616</v>
      </c>
      <c r="AJ19" s="21"/>
    </row>
    <row r="20" spans="1:36" s="45" customFormat="1" ht="13.5" customHeight="1">
      <c r="A20" s="33"/>
      <c r="B20" s="34"/>
      <c r="C20" s="21"/>
      <c r="D20" s="21"/>
      <c r="E20" s="36"/>
      <c r="F20" s="36"/>
      <c r="G20" s="21"/>
      <c r="H20" s="37"/>
      <c r="I20" s="21"/>
      <c r="J20" s="21"/>
      <c r="K20" s="21"/>
      <c r="L20" s="35"/>
      <c r="M20" s="38"/>
      <c r="N20" s="39"/>
      <c r="O20" s="40"/>
      <c r="P20" s="33"/>
      <c r="Q20" s="44"/>
      <c r="R20" s="35"/>
      <c r="S20" s="36"/>
      <c r="T20" s="36"/>
      <c r="U20" s="40"/>
      <c r="V20" s="41"/>
      <c r="W20" s="36"/>
      <c r="X20" s="40"/>
      <c r="Y20" s="40"/>
      <c r="Z20" s="41"/>
      <c r="AA20" s="40"/>
      <c r="AB20" s="40"/>
      <c r="AC20" s="42"/>
      <c r="AD20" s="21"/>
      <c r="AE20" s="21"/>
      <c r="AF20" s="43"/>
      <c r="AG20" s="21"/>
      <c r="AH20" s="21"/>
      <c r="AI20" s="42"/>
      <c r="AJ20" s="21"/>
    </row>
    <row r="21" spans="1:36" s="442" customFormat="1" ht="13.5" customHeight="1">
      <c r="A21" s="404" t="s">
        <v>957</v>
      </c>
      <c r="B21" s="405">
        <v>13.5</v>
      </c>
      <c r="C21" s="398">
        <v>150</v>
      </c>
      <c r="D21" s="398">
        <v>100</v>
      </c>
      <c r="E21" s="406">
        <v>4.3</v>
      </c>
      <c r="F21" s="406">
        <v>5.5</v>
      </c>
      <c r="G21" s="398">
        <v>6</v>
      </c>
      <c r="H21" s="468">
        <v>17.309999999999999</v>
      </c>
      <c r="I21" s="398">
        <v>139</v>
      </c>
      <c r="J21" s="398">
        <v>127</v>
      </c>
      <c r="K21" s="398" t="s">
        <v>616</v>
      </c>
      <c r="L21" s="408" t="s">
        <v>616</v>
      </c>
      <c r="M21" s="409" t="s">
        <v>616</v>
      </c>
      <c r="N21" s="410">
        <v>0.68100000000000005</v>
      </c>
      <c r="O21" s="411">
        <v>50.11</v>
      </c>
      <c r="P21" s="404" t="s">
        <v>958</v>
      </c>
      <c r="Q21" s="409">
        <v>9</v>
      </c>
      <c r="R21" s="406">
        <v>685.5</v>
      </c>
      <c r="S21" s="411">
        <v>91.4</v>
      </c>
      <c r="T21" s="406">
        <v>102.4</v>
      </c>
      <c r="U21" s="411">
        <v>6.29</v>
      </c>
      <c r="V21" s="407">
        <v>7.21</v>
      </c>
      <c r="W21" s="411">
        <v>91.8</v>
      </c>
      <c r="X21" s="411">
        <v>18.36</v>
      </c>
      <c r="Y21" s="411">
        <v>28.26</v>
      </c>
      <c r="Z21" s="407">
        <v>2.2999999999999998</v>
      </c>
      <c r="AA21" s="411">
        <v>22.35</v>
      </c>
      <c r="AB21" s="411">
        <v>1.74</v>
      </c>
      <c r="AC21" s="400">
        <v>4.79</v>
      </c>
      <c r="AD21" s="398">
        <v>1</v>
      </c>
      <c r="AE21" s="398">
        <v>3</v>
      </c>
      <c r="AF21" s="399" t="s">
        <v>616</v>
      </c>
      <c r="AG21" s="398">
        <v>1</v>
      </c>
      <c r="AH21" s="398">
        <v>3</v>
      </c>
      <c r="AI21" s="400" t="s">
        <v>616</v>
      </c>
      <c r="AJ21" s="398"/>
    </row>
    <row r="22" spans="1:36" s="30" customFormat="1" ht="13.5" customHeight="1">
      <c r="A22" s="33" t="s">
        <v>959</v>
      </c>
      <c r="B22" s="34">
        <v>18</v>
      </c>
      <c r="C22" s="21">
        <v>153</v>
      </c>
      <c r="D22" s="21">
        <v>102</v>
      </c>
      <c r="E22" s="36">
        <v>5.8</v>
      </c>
      <c r="F22" s="36">
        <v>7.1</v>
      </c>
      <c r="G22" s="21">
        <v>6</v>
      </c>
      <c r="H22" s="37">
        <v>23.28</v>
      </c>
      <c r="I22" s="21">
        <v>138.4</v>
      </c>
      <c r="J22" s="21">
        <v>126.4</v>
      </c>
      <c r="K22" s="21" t="s">
        <v>616</v>
      </c>
      <c r="L22" s="35" t="s">
        <v>616</v>
      </c>
      <c r="M22" s="38" t="s">
        <v>616</v>
      </c>
      <c r="N22" s="39">
        <v>0.69199999999999995</v>
      </c>
      <c r="O22" s="40">
        <v>37.86</v>
      </c>
      <c r="P22" s="33" t="s">
        <v>960</v>
      </c>
      <c r="Q22" s="44">
        <v>12</v>
      </c>
      <c r="R22" s="36">
        <v>915.9</v>
      </c>
      <c r="S22" s="36">
        <v>122.1</v>
      </c>
      <c r="T22" s="36">
        <v>138.6</v>
      </c>
      <c r="U22" s="40">
        <v>6.33</v>
      </c>
      <c r="V22" s="41">
        <v>9.69</v>
      </c>
      <c r="W22" s="36">
        <v>125.9</v>
      </c>
      <c r="X22" s="40">
        <v>25.37</v>
      </c>
      <c r="Y22" s="40">
        <v>39.29</v>
      </c>
      <c r="Z22" s="41">
        <v>2.36</v>
      </c>
      <c r="AA22" s="40">
        <v>27.47</v>
      </c>
      <c r="AB22" s="40">
        <v>3.86</v>
      </c>
      <c r="AC22" s="42">
        <v>6.68</v>
      </c>
      <c r="AD22" s="21">
        <v>1</v>
      </c>
      <c r="AE22" s="21">
        <v>1</v>
      </c>
      <c r="AF22" s="43" t="s">
        <v>616</v>
      </c>
      <c r="AG22" s="21">
        <v>1</v>
      </c>
      <c r="AH22" s="21">
        <v>1</v>
      </c>
      <c r="AI22" s="42" t="s">
        <v>616</v>
      </c>
      <c r="AJ22" s="21"/>
    </row>
    <row r="23" spans="1:36" s="443" customFormat="1" ht="13.5" customHeight="1">
      <c r="A23" s="404" t="s">
        <v>961</v>
      </c>
      <c r="B23" s="405">
        <v>24</v>
      </c>
      <c r="C23" s="398">
        <v>160</v>
      </c>
      <c r="D23" s="398">
        <v>102</v>
      </c>
      <c r="E23" s="406">
        <v>6.6</v>
      </c>
      <c r="F23" s="406">
        <v>10.3</v>
      </c>
      <c r="G23" s="398">
        <v>6</v>
      </c>
      <c r="H23" s="468">
        <v>30.52</v>
      </c>
      <c r="I23" s="398">
        <v>139.4</v>
      </c>
      <c r="J23" s="398">
        <v>127.4</v>
      </c>
      <c r="K23" s="398" t="s">
        <v>616</v>
      </c>
      <c r="L23" s="408" t="s">
        <v>616</v>
      </c>
      <c r="M23" s="409" t="s">
        <v>616</v>
      </c>
      <c r="N23" s="410">
        <v>0.70399999999999996</v>
      </c>
      <c r="O23" s="411">
        <v>29.4</v>
      </c>
      <c r="P23" s="404" t="s">
        <v>962</v>
      </c>
      <c r="Q23" s="409">
        <v>16</v>
      </c>
      <c r="R23" s="408">
        <v>1342</v>
      </c>
      <c r="S23" s="406">
        <v>167.8</v>
      </c>
      <c r="T23" s="406">
        <v>191.5</v>
      </c>
      <c r="U23" s="411">
        <v>6.63</v>
      </c>
      <c r="V23" s="407">
        <v>11.43</v>
      </c>
      <c r="W23" s="406">
        <v>182.6</v>
      </c>
      <c r="X23" s="411">
        <v>35.799999999999997</v>
      </c>
      <c r="Y23" s="411">
        <v>55.24</v>
      </c>
      <c r="Z23" s="407">
        <v>2.4500000000000002</v>
      </c>
      <c r="AA23" s="411">
        <v>34.229999999999997</v>
      </c>
      <c r="AB23" s="411">
        <v>9.35</v>
      </c>
      <c r="AC23" s="400">
        <v>10.210000000000001</v>
      </c>
      <c r="AD23" s="398">
        <v>1</v>
      </c>
      <c r="AE23" s="398">
        <v>1</v>
      </c>
      <c r="AF23" s="399" t="s">
        <v>616</v>
      </c>
      <c r="AG23" s="398">
        <v>1</v>
      </c>
      <c r="AH23" s="398">
        <v>1</v>
      </c>
      <c r="AI23" s="400" t="s">
        <v>616</v>
      </c>
      <c r="AJ23" s="398"/>
    </row>
    <row r="24" spans="1:36" s="46" customFormat="1" ht="13.5" customHeight="1">
      <c r="A24" s="33"/>
      <c r="B24" s="34"/>
      <c r="C24" s="21"/>
      <c r="D24" s="21"/>
      <c r="E24" s="36"/>
      <c r="F24" s="36"/>
      <c r="G24" s="21"/>
      <c r="H24" s="37"/>
      <c r="I24" s="21"/>
      <c r="J24" s="21"/>
      <c r="K24" s="21"/>
      <c r="L24" s="35"/>
      <c r="M24" s="38"/>
      <c r="N24" s="39"/>
      <c r="O24" s="40"/>
      <c r="P24" s="33"/>
      <c r="Q24" s="44"/>
      <c r="R24" s="35"/>
      <c r="S24" s="36"/>
      <c r="T24" s="36"/>
      <c r="U24" s="40"/>
      <c r="V24" s="41"/>
      <c r="W24" s="40"/>
      <c r="X24" s="40"/>
      <c r="Y24" s="40"/>
      <c r="Z24" s="41"/>
      <c r="AA24" s="40"/>
      <c r="AB24" s="40"/>
      <c r="AC24" s="42"/>
      <c r="AD24" s="21"/>
      <c r="AE24" s="21"/>
      <c r="AF24" s="43"/>
      <c r="AG24" s="21"/>
      <c r="AH24" s="21"/>
      <c r="AI24" s="42"/>
      <c r="AJ24" s="21"/>
    </row>
    <row r="25" spans="1:36" s="443" customFormat="1" ht="13.5" customHeight="1">
      <c r="A25" s="404" t="s">
        <v>963</v>
      </c>
      <c r="B25" s="405">
        <v>22.5</v>
      </c>
      <c r="C25" s="398">
        <v>152</v>
      </c>
      <c r="D25" s="398">
        <v>152</v>
      </c>
      <c r="E25" s="406">
        <v>5.8</v>
      </c>
      <c r="F25" s="406">
        <v>6.6</v>
      </c>
      <c r="G25" s="398">
        <v>6</v>
      </c>
      <c r="H25" s="468">
        <v>28.48</v>
      </c>
      <c r="I25" s="398">
        <v>138.80000000000001</v>
      </c>
      <c r="J25" s="398">
        <v>126.8</v>
      </c>
      <c r="K25" s="398" t="s">
        <v>639</v>
      </c>
      <c r="L25" s="408">
        <v>70</v>
      </c>
      <c r="M25" s="409">
        <v>82</v>
      </c>
      <c r="N25" s="410">
        <v>0.89</v>
      </c>
      <c r="O25" s="411">
        <v>39.81</v>
      </c>
      <c r="P25" s="404" t="s">
        <v>964</v>
      </c>
      <c r="Q25" s="409">
        <v>15</v>
      </c>
      <c r="R25" s="408">
        <v>1206</v>
      </c>
      <c r="S25" s="406">
        <v>158.6</v>
      </c>
      <c r="T25" s="406">
        <v>176.1</v>
      </c>
      <c r="U25" s="411">
        <v>6.51</v>
      </c>
      <c r="V25" s="407">
        <v>9.59</v>
      </c>
      <c r="W25" s="406">
        <v>386.6</v>
      </c>
      <c r="X25" s="411">
        <v>50.87</v>
      </c>
      <c r="Y25" s="411">
        <v>77.56</v>
      </c>
      <c r="Z25" s="407">
        <v>3.68</v>
      </c>
      <c r="AA25" s="411">
        <v>26.07</v>
      </c>
      <c r="AB25" s="411">
        <v>4.34</v>
      </c>
      <c r="AC25" s="400">
        <v>20.420000000000002</v>
      </c>
      <c r="AD25" s="398">
        <v>3</v>
      </c>
      <c r="AE25" s="398">
        <v>3</v>
      </c>
      <c r="AF25" s="399" t="s">
        <v>616</v>
      </c>
      <c r="AG25" s="398">
        <v>3</v>
      </c>
      <c r="AH25" s="398">
        <v>3</v>
      </c>
      <c r="AI25" s="400" t="s">
        <v>616</v>
      </c>
      <c r="AJ25" s="398"/>
    </row>
    <row r="26" spans="1:36" s="46" customFormat="1" ht="13.5" customHeight="1">
      <c r="A26" s="33" t="s">
        <v>965</v>
      </c>
      <c r="B26" s="34">
        <v>29.8</v>
      </c>
      <c r="C26" s="21">
        <v>157</v>
      </c>
      <c r="D26" s="21">
        <v>153</v>
      </c>
      <c r="E26" s="36">
        <v>6.6</v>
      </c>
      <c r="F26" s="36">
        <v>9.3000000000000007</v>
      </c>
      <c r="G26" s="21">
        <v>6</v>
      </c>
      <c r="H26" s="37">
        <v>37.9</v>
      </c>
      <c r="I26" s="21">
        <v>138.4</v>
      </c>
      <c r="J26" s="21">
        <v>126.4</v>
      </c>
      <c r="K26" s="21" t="s">
        <v>639</v>
      </c>
      <c r="L26" s="35">
        <v>72</v>
      </c>
      <c r="M26" s="38">
        <v>84</v>
      </c>
      <c r="N26" s="39">
        <v>0.90200000000000002</v>
      </c>
      <c r="O26" s="40">
        <v>30.33</v>
      </c>
      <c r="P26" s="33" t="s">
        <v>966</v>
      </c>
      <c r="Q26" s="44">
        <v>20</v>
      </c>
      <c r="R26" s="35">
        <v>1714</v>
      </c>
      <c r="S26" s="36">
        <v>218.4</v>
      </c>
      <c r="T26" s="36">
        <v>243.9</v>
      </c>
      <c r="U26" s="40">
        <v>6.73</v>
      </c>
      <c r="V26" s="41">
        <v>11.17</v>
      </c>
      <c r="W26" s="36">
        <v>555.5</v>
      </c>
      <c r="X26" s="40">
        <v>72.62</v>
      </c>
      <c r="Y26" s="36">
        <v>110.5</v>
      </c>
      <c r="Z26" s="41">
        <v>3.83</v>
      </c>
      <c r="AA26" s="40">
        <v>32.229999999999997</v>
      </c>
      <c r="AB26" s="40">
        <v>10.16</v>
      </c>
      <c r="AC26" s="42">
        <v>30.28</v>
      </c>
      <c r="AD26" s="21">
        <v>1</v>
      </c>
      <c r="AE26" s="21">
        <v>2</v>
      </c>
      <c r="AF26" s="43" t="s">
        <v>616</v>
      </c>
      <c r="AG26" s="21">
        <v>1</v>
      </c>
      <c r="AH26" s="21">
        <v>2</v>
      </c>
      <c r="AI26" s="42" t="s">
        <v>616</v>
      </c>
      <c r="AJ26" s="21"/>
    </row>
    <row r="27" spans="1:36" s="443" customFormat="1" ht="13.5" customHeight="1">
      <c r="A27" s="404" t="s">
        <v>967</v>
      </c>
      <c r="B27" s="405">
        <v>37.1</v>
      </c>
      <c r="C27" s="398">
        <v>162</v>
      </c>
      <c r="D27" s="398">
        <v>154</v>
      </c>
      <c r="E27" s="406">
        <v>8.1</v>
      </c>
      <c r="F27" s="406">
        <v>11.6</v>
      </c>
      <c r="G27" s="398">
        <v>6</v>
      </c>
      <c r="H27" s="468">
        <v>47.32</v>
      </c>
      <c r="I27" s="398">
        <v>138.80000000000001</v>
      </c>
      <c r="J27" s="398">
        <v>126.8</v>
      </c>
      <c r="K27" s="398" t="s">
        <v>639</v>
      </c>
      <c r="L27" s="408">
        <v>74</v>
      </c>
      <c r="M27" s="409">
        <v>84</v>
      </c>
      <c r="N27" s="410">
        <v>0.91300000000000003</v>
      </c>
      <c r="O27" s="411">
        <v>24.59</v>
      </c>
      <c r="P27" s="404" t="s">
        <v>968</v>
      </c>
      <c r="Q27" s="409">
        <v>25</v>
      </c>
      <c r="R27" s="408">
        <v>2220</v>
      </c>
      <c r="S27" s="406">
        <v>274.10000000000002</v>
      </c>
      <c r="T27" s="406">
        <v>309.89999999999998</v>
      </c>
      <c r="U27" s="411">
        <v>6.85</v>
      </c>
      <c r="V27" s="407">
        <v>13.93</v>
      </c>
      <c r="W27" s="406">
        <v>706.8</v>
      </c>
      <c r="X27" s="411">
        <v>91.79</v>
      </c>
      <c r="Y27" s="406">
        <v>140</v>
      </c>
      <c r="Z27" s="407">
        <v>3.86</v>
      </c>
      <c r="AA27" s="411">
        <v>38.36</v>
      </c>
      <c r="AB27" s="411">
        <v>19.510000000000002</v>
      </c>
      <c r="AC27" s="400">
        <v>39.93</v>
      </c>
      <c r="AD27" s="398">
        <v>1</v>
      </c>
      <c r="AE27" s="398">
        <v>1</v>
      </c>
      <c r="AF27" s="399" t="s">
        <v>616</v>
      </c>
      <c r="AG27" s="398">
        <v>1</v>
      </c>
      <c r="AH27" s="398">
        <v>1</v>
      </c>
      <c r="AI27" s="400" t="s">
        <v>616</v>
      </c>
      <c r="AJ27" s="398"/>
    </row>
    <row r="28" spans="1:36" s="46" customFormat="1" ht="13.5" customHeight="1">
      <c r="A28" s="33"/>
      <c r="B28" s="34"/>
      <c r="C28" s="21"/>
      <c r="D28" s="21"/>
      <c r="E28" s="36"/>
      <c r="F28" s="36"/>
      <c r="G28" s="21"/>
      <c r="H28" s="37"/>
      <c r="I28" s="21"/>
      <c r="J28" s="21"/>
      <c r="K28" s="21"/>
      <c r="L28" s="35"/>
      <c r="M28" s="38"/>
      <c r="N28" s="39"/>
      <c r="O28" s="40"/>
      <c r="P28" s="33"/>
      <c r="Q28" s="44"/>
      <c r="R28" s="35"/>
      <c r="S28" s="36"/>
      <c r="T28" s="36"/>
      <c r="U28" s="40"/>
      <c r="V28" s="41"/>
      <c r="W28" s="36"/>
      <c r="X28" s="40"/>
      <c r="Y28" s="40"/>
      <c r="Z28" s="41"/>
      <c r="AA28" s="40"/>
      <c r="AB28" s="40"/>
      <c r="AC28" s="42"/>
      <c r="AD28" s="21"/>
      <c r="AE28" s="21"/>
      <c r="AF28" s="43"/>
      <c r="AG28" s="21"/>
      <c r="AH28" s="21"/>
      <c r="AI28" s="42"/>
      <c r="AJ28" s="21"/>
    </row>
    <row r="29" spans="1:36" s="443" customFormat="1" ht="13.5" customHeight="1">
      <c r="A29" s="404" t="s">
        <v>969</v>
      </c>
      <c r="B29" s="405">
        <v>15</v>
      </c>
      <c r="C29" s="398">
        <v>200</v>
      </c>
      <c r="D29" s="398">
        <v>100</v>
      </c>
      <c r="E29" s="406">
        <v>4.3</v>
      </c>
      <c r="F29" s="406">
        <v>5.2</v>
      </c>
      <c r="G29" s="398">
        <v>8</v>
      </c>
      <c r="H29" s="468">
        <v>19.14</v>
      </c>
      <c r="I29" s="398">
        <v>189.6</v>
      </c>
      <c r="J29" s="398">
        <v>173.6</v>
      </c>
      <c r="K29" s="398" t="s">
        <v>616</v>
      </c>
      <c r="L29" s="408" t="s">
        <v>616</v>
      </c>
      <c r="M29" s="409" t="s">
        <v>616</v>
      </c>
      <c r="N29" s="410">
        <v>0.77800000000000002</v>
      </c>
      <c r="O29" s="411">
        <v>51.76</v>
      </c>
      <c r="P29" s="404" t="s">
        <v>970</v>
      </c>
      <c r="Q29" s="409">
        <v>10</v>
      </c>
      <c r="R29" s="408">
        <v>1280</v>
      </c>
      <c r="S29" s="406">
        <v>128</v>
      </c>
      <c r="T29" s="406">
        <v>145.19999999999999</v>
      </c>
      <c r="U29" s="411">
        <v>8.18</v>
      </c>
      <c r="V29" s="407">
        <v>9.8000000000000007</v>
      </c>
      <c r="W29" s="411">
        <v>86.89</v>
      </c>
      <c r="X29" s="411">
        <v>17.38</v>
      </c>
      <c r="Y29" s="411">
        <v>27.1</v>
      </c>
      <c r="Z29" s="407">
        <v>2.13</v>
      </c>
      <c r="AA29" s="411">
        <v>24.09</v>
      </c>
      <c r="AB29" s="411">
        <v>1.93</v>
      </c>
      <c r="AC29" s="400">
        <v>8.2200000000000006</v>
      </c>
      <c r="AD29" s="398">
        <v>1</v>
      </c>
      <c r="AE29" s="398">
        <v>3</v>
      </c>
      <c r="AF29" s="399" t="s">
        <v>616</v>
      </c>
      <c r="AG29" s="398">
        <v>3</v>
      </c>
      <c r="AH29" s="398">
        <v>4</v>
      </c>
      <c r="AI29" s="400" t="s">
        <v>616</v>
      </c>
      <c r="AJ29" s="398"/>
    </row>
    <row r="30" spans="1:36" s="46" customFormat="1" ht="13.5" customHeight="1">
      <c r="A30" s="33" t="s">
        <v>971</v>
      </c>
      <c r="B30" s="34">
        <v>19.3</v>
      </c>
      <c r="C30" s="21">
        <v>203</v>
      </c>
      <c r="D30" s="21">
        <v>102</v>
      </c>
      <c r="E30" s="36">
        <v>5.8</v>
      </c>
      <c r="F30" s="36">
        <v>6.5</v>
      </c>
      <c r="G30" s="21">
        <v>8</v>
      </c>
      <c r="H30" s="37">
        <v>24.91</v>
      </c>
      <c r="I30" s="21">
        <v>190</v>
      </c>
      <c r="J30" s="21">
        <v>174</v>
      </c>
      <c r="K30" s="21" t="s">
        <v>616</v>
      </c>
      <c r="L30" s="35" t="s">
        <v>616</v>
      </c>
      <c r="M30" s="38" t="s">
        <v>616</v>
      </c>
      <c r="N30" s="39">
        <v>0.78900000000000003</v>
      </c>
      <c r="O30" s="40">
        <v>40.340000000000003</v>
      </c>
      <c r="P30" s="33" t="s">
        <v>972</v>
      </c>
      <c r="Q30" s="44">
        <v>13</v>
      </c>
      <c r="R30" s="35">
        <v>1662</v>
      </c>
      <c r="S30" s="36">
        <v>163.69999999999999</v>
      </c>
      <c r="T30" s="36">
        <v>188.1</v>
      </c>
      <c r="U30" s="40">
        <v>8.17</v>
      </c>
      <c r="V30" s="41">
        <v>13.06</v>
      </c>
      <c r="W30" s="36">
        <v>115.4</v>
      </c>
      <c r="X30" s="40">
        <v>22.63</v>
      </c>
      <c r="Y30" s="40">
        <v>35.69</v>
      </c>
      <c r="Z30" s="41">
        <v>2.15</v>
      </c>
      <c r="AA30" s="40">
        <v>28.21</v>
      </c>
      <c r="AB30" s="40">
        <v>3.99</v>
      </c>
      <c r="AC30" s="42">
        <v>11.1</v>
      </c>
      <c r="AD30" s="21">
        <v>1</v>
      </c>
      <c r="AE30" s="21">
        <v>1</v>
      </c>
      <c r="AF30" s="43" t="s">
        <v>616</v>
      </c>
      <c r="AG30" s="21">
        <v>1</v>
      </c>
      <c r="AH30" s="21">
        <v>2</v>
      </c>
      <c r="AI30" s="42" t="s">
        <v>616</v>
      </c>
      <c r="AJ30" s="21"/>
    </row>
    <row r="31" spans="1:36" s="443" customFormat="1" ht="13.5" customHeight="1">
      <c r="A31" s="404" t="s">
        <v>973</v>
      </c>
      <c r="B31" s="405">
        <v>22.5</v>
      </c>
      <c r="C31" s="398">
        <v>206</v>
      </c>
      <c r="D31" s="398">
        <v>102</v>
      </c>
      <c r="E31" s="406">
        <v>6.2</v>
      </c>
      <c r="F31" s="406">
        <v>8</v>
      </c>
      <c r="G31" s="398">
        <v>8</v>
      </c>
      <c r="H31" s="468">
        <v>28.69</v>
      </c>
      <c r="I31" s="398">
        <v>190</v>
      </c>
      <c r="J31" s="398">
        <v>174</v>
      </c>
      <c r="K31" s="398" t="s">
        <v>616</v>
      </c>
      <c r="L31" s="408" t="s">
        <v>616</v>
      </c>
      <c r="M31" s="409" t="s">
        <v>616</v>
      </c>
      <c r="N31" s="410">
        <v>0.79400000000000004</v>
      </c>
      <c r="O31" s="411">
        <v>35.25</v>
      </c>
      <c r="P31" s="404" t="s">
        <v>974</v>
      </c>
      <c r="Q31" s="409">
        <v>15</v>
      </c>
      <c r="R31" s="408">
        <v>2004</v>
      </c>
      <c r="S31" s="406">
        <v>194.5</v>
      </c>
      <c r="T31" s="406">
        <v>222.8</v>
      </c>
      <c r="U31" s="411">
        <v>8.36</v>
      </c>
      <c r="V31" s="407">
        <v>14.14</v>
      </c>
      <c r="W31" s="406">
        <v>142</v>
      </c>
      <c r="X31" s="411">
        <v>27.85</v>
      </c>
      <c r="Y31" s="411">
        <v>43.72</v>
      </c>
      <c r="Z31" s="407">
        <v>2.2200000000000002</v>
      </c>
      <c r="AA31" s="411">
        <v>31.59</v>
      </c>
      <c r="AB31" s="411">
        <v>5.97</v>
      </c>
      <c r="AC31" s="400">
        <v>13.87</v>
      </c>
      <c r="AD31" s="398">
        <v>1</v>
      </c>
      <c r="AE31" s="398">
        <v>1</v>
      </c>
      <c r="AF31" s="399" t="s">
        <v>616</v>
      </c>
      <c r="AG31" s="398">
        <v>1</v>
      </c>
      <c r="AH31" s="398">
        <v>2</v>
      </c>
      <c r="AI31" s="400" t="s">
        <v>616</v>
      </c>
      <c r="AJ31" s="398"/>
    </row>
    <row r="32" spans="1:36" s="46" customFormat="1" ht="13.5" customHeight="1">
      <c r="A32" s="33"/>
      <c r="B32" s="34"/>
      <c r="C32" s="21"/>
      <c r="D32" s="21"/>
      <c r="E32" s="36"/>
      <c r="F32" s="36"/>
      <c r="G32" s="21"/>
      <c r="H32" s="37"/>
      <c r="I32" s="21"/>
      <c r="J32" s="21"/>
      <c r="K32" s="21"/>
      <c r="L32" s="35"/>
      <c r="M32" s="38"/>
      <c r="N32" s="39"/>
      <c r="O32" s="40"/>
      <c r="P32" s="33"/>
      <c r="Q32" s="44"/>
      <c r="R32" s="36"/>
      <c r="S32" s="36"/>
      <c r="T32" s="36"/>
      <c r="U32" s="40"/>
      <c r="V32" s="41"/>
      <c r="W32" s="36"/>
      <c r="X32" s="40"/>
      <c r="Y32" s="40"/>
      <c r="Z32" s="41"/>
      <c r="AA32" s="40"/>
      <c r="AB32" s="40"/>
      <c r="AC32" s="42"/>
      <c r="AD32" s="21"/>
      <c r="AE32" s="21"/>
      <c r="AF32" s="43"/>
      <c r="AG32" s="21"/>
      <c r="AH32" s="21"/>
      <c r="AI32" s="42"/>
      <c r="AJ32" s="21"/>
    </row>
    <row r="33" spans="1:36" s="443" customFormat="1" ht="13.5" customHeight="1">
      <c r="A33" s="404" t="s">
        <v>975</v>
      </c>
      <c r="B33" s="405">
        <v>21</v>
      </c>
      <c r="C33" s="398">
        <v>203</v>
      </c>
      <c r="D33" s="398">
        <v>133</v>
      </c>
      <c r="E33" s="406">
        <v>5</v>
      </c>
      <c r="F33" s="406">
        <v>6.4</v>
      </c>
      <c r="G33" s="398">
        <v>8</v>
      </c>
      <c r="H33" s="468">
        <v>27.08</v>
      </c>
      <c r="I33" s="398">
        <v>190.2</v>
      </c>
      <c r="J33" s="398">
        <v>174.2</v>
      </c>
      <c r="K33" s="398" t="s">
        <v>632</v>
      </c>
      <c r="L33" s="408">
        <v>62</v>
      </c>
      <c r="M33" s="409">
        <v>76</v>
      </c>
      <c r="N33" s="410">
        <v>0.91400000000000003</v>
      </c>
      <c r="O33" s="411">
        <v>43</v>
      </c>
      <c r="P33" s="404" t="s">
        <v>976</v>
      </c>
      <c r="Q33" s="409">
        <v>14</v>
      </c>
      <c r="R33" s="408">
        <v>1980</v>
      </c>
      <c r="S33" s="406">
        <v>195.1</v>
      </c>
      <c r="T33" s="406">
        <v>217.7</v>
      </c>
      <c r="U33" s="411">
        <v>8.5500000000000007</v>
      </c>
      <c r="V33" s="407">
        <v>11.4</v>
      </c>
      <c r="W33" s="406">
        <v>251.3</v>
      </c>
      <c r="X33" s="411">
        <v>37.78</v>
      </c>
      <c r="Y33" s="411">
        <v>58.03</v>
      </c>
      <c r="Z33" s="407">
        <v>3.05</v>
      </c>
      <c r="AA33" s="411">
        <v>27.17</v>
      </c>
      <c r="AB33" s="411">
        <v>3.74</v>
      </c>
      <c r="AC33" s="400">
        <v>24.25</v>
      </c>
      <c r="AD33" s="398">
        <v>2</v>
      </c>
      <c r="AE33" s="398">
        <v>3</v>
      </c>
      <c r="AF33" s="399" t="s">
        <v>616</v>
      </c>
      <c r="AG33" s="398">
        <v>2</v>
      </c>
      <c r="AH33" s="398">
        <v>4</v>
      </c>
      <c r="AI33" s="400" t="s">
        <v>616</v>
      </c>
      <c r="AJ33" s="398"/>
    </row>
    <row r="34" spans="1:36" s="46" customFormat="1" ht="13.5" customHeight="1">
      <c r="A34" s="33" t="s">
        <v>977</v>
      </c>
      <c r="B34" s="34">
        <v>26.6</v>
      </c>
      <c r="C34" s="21">
        <v>207</v>
      </c>
      <c r="D34" s="21">
        <v>133</v>
      </c>
      <c r="E34" s="36">
        <v>5.8</v>
      </c>
      <c r="F34" s="36">
        <v>8.4</v>
      </c>
      <c r="G34" s="21">
        <v>8</v>
      </c>
      <c r="H34" s="37">
        <v>34</v>
      </c>
      <c r="I34" s="21">
        <v>190.2</v>
      </c>
      <c r="J34" s="21">
        <v>174.2</v>
      </c>
      <c r="K34" s="21" t="s">
        <v>632</v>
      </c>
      <c r="L34" s="35">
        <v>62</v>
      </c>
      <c r="M34" s="38">
        <v>76</v>
      </c>
      <c r="N34" s="39">
        <v>0.92100000000000004</v>
      </c>
      <c r="O34" s="40">
        <v>34.49</v>
      </c>
      <c r="P34" s="33" t="s">
        <v>978</v>
      </c>
      <c r="Q34" s="44">
        <v>18</v>
      </c>
      <c r="R34" s="35">
        <v>2587</v>
      </c>
      <c r="S34" s="36">
        <v>250</v>
      </c>
      <c r="T34" s="36">
        <v>279.8</v>
      </c>
      <c r="U34" s="40">
        <v>8.7200000000000006</v>
      </c>
      <c r="V34" s="41">
        <v>13.49</v>
      </c>
      <c r="W34" s="36">
        <v>329.8</v>
      </c>
      <c r="X34" s="40">
        <v>49.6</v>
      </c>
      <c r="Y34" s="40">
        <v>76.17</v>
      </c>
      <c r="Z34" s="41">
        <v>3.11</v>
      </c>
      <c r="AA34" s="40">
        <v>32.01</v>
      </c>
      <c r="AB34" s="40">
        <v>7.35</v>
      </c>
      <c r="AC34" s="42">
        <v>32.479999999999997</v>
      </c>
      <c r="AD34" s="21">
        <v>1</v>
      </c>
      <c r="AE34" s="21">
        <v>1</v>
      </c>
      <c r="AF34" s="43" t="s">
        <v>616</v>
      </c>
      <c r="AG34" s="21">
        <v>1</v>
      </c>
      <c r="AH34" s="21">
        <v>2</v>
      </c>
      <c r="AI34" s="42" t="s">
        <v>616</v>
      </c>
      <c r="AJ34" s="21"/>
    </row>
    <row r="35" spans="1:36" s="443" customFormat="1" ht="13.5" customHeight="1">
      <c r="A35" s="404" t="s">
        <v>979</v>
      </c>
      <c r="B35" s="405">
        <v>31.3</v>
      </c>
      <c r="C35" s="398">
        <v>210</v>
      </c>
      <c r="D35" s="398">
        <v>134</v>
      </c>
      <c r="E35" s="406">
        <v>6.4</v>
      </c>
      <c r="F35" s="406">
        <v>10.199999999999999</v>
      </c>
      <c r="G35" s="398">
        <v>8</v>
      </c>
      <c r="H35" s="468">
        <v>39.92</v>
      </c>
      <c r="I35" s="398">
        <v>189.6</v>
      </c>
      <c r="J35" s="398">
        <v>173.6</v>
      </c>
      <c r="K35" s="398" t="s">
        <v>632</v>
      </c>
      <c r="L35" s="408">
        <v>64</v>
      </c>
      <c r="M35" s="409">
        <v>76</v>
      </c>
      <c r="N35" s="410">
        <v>0.93</v>
      </c>
      <c r="O35" s="411">
        <v>29.66</v>
      </c>
      <c r="P35" s="404" t="s">
        <v>980</v>
      </c>
      <c r="Q35" s="409">
        <v>21</v>
      </c>
      <c r="R35" s="408">
        <v>3139</v>
      </c>
      <c r="S35" s="406">
        <v>298.89999999999998</v>
      </c>
      <c r="T35" s="406">
        <v>335.3</v>
      </c>
      <c r="U35" s="411">
        <v>8.8699999999999992</v>
      </c>
      <c r="V35" s="407">
        <v>14.87</v>
      </c>
      <c r="W35" s="406">
        <v>409.6</v>
      </c>
      <c r="X35" s="411">
        <v>61.13</v>
      </c>
      <c r="Y35" s="411">
        <v>93.76</v>
      </c>
      <c r="Z35" s="407">
        <v>3.2</v>
      </c>
      <c r="AA35" s="411">
        <v>36.119999999999997</v>
      </c>
      <c r="AB35" s="411">
        <v>12.04</v>
      </c>
      <c r="AC35" s="400">
        <v>40.82</v>
      </c>
      <c r="AD35" s="398">
        <v>1</v>
      </c>
      <c r="AE35" s="398">
        <v>1</v>
      </c>
      <c r="AF35" s="399" t="s">
        <v>616</v>
      </c>
      <c r="AG35" s="398">
        <v>1</v>
      </c>
      <c r="AH35" s="398">
        <v>2</v>
      </c>
      <c r="AI35" s="400" t="s">
        <v>616</v>
      </c>
      <c r="AJ35" s="398"/>
    </row>
    <row r="36" spans="1:36" s="46" customFormat="1" ht="13.5" customHeight="1">
      <c r="A36" s="33"/>
      <c r="B36" s="34"/>
      <c r="C36" s="21"/>
      <c r="D36" s="21"/>
      <c r="E36" s="36"/>
      <c r="F36" s="36"/>
      <c r="G36" s="21"/>
      <c r="H36" s="37"/>
      <c r="I36" s="21"/>
      <c r="J36" s="21"/>
      <c r="K36" s="21"/>
      <c r="L36" s="35"/>
      <c r="M36" s="38"/>
      <c r="N36" s="39"/>
      <c r="O36" s="40"/>
      <c r="P36" s="33"/>
      <c r="Q36" s="44"/>
      <c r="R36" s="35"/>
      <c r="S36" s="36"/>
      <c r="T36" s="36"/>
      <c r="U36" s="40"/>
      <c r="V36" s="41"/>
      <c r="W36" s="36"/>
      <c r="X36" s="40"/>
      <c r="Y36" s="36"/>
      <c r="Z36" s="41"/>
      <c r="AA36" s="40"/>
      <c r="AB36" s="40"/>
      <c r="AC36" s="42"/>
      <c r="AD36" s="21"/>
      <c r="AE36" s="21"/>
      <c r="AF36" s="43"/>
      <c r="AG36" s="21"/>
      <c r="AH36" s="21"/>
      <c r="AI36" s="42"/>
      <c r="AJ36" s="21"/>
    </row>
    <row r="37" spans="1:36" s="443" customFormat="1" ht="13.5" customHeight="1">
      <c r="A37" s="404" t="s">
        <v>981</v>
      </c>
      <c r="B37" s="405">
        <v>35.9</v>
      </c>
      <c r="C37" s="398">
        <v>201</v>
      </c>
      <c r="D37" s="398">
        <v>165</v>
      </c>
      <c r="E37" s="406">
        <v>6.2</v>
      </c>
      <c r="F37" s="406">
        <v>10.199999999999999</v>
      </c>
      <c r="G37" s="398">
        <v>10</v>
      </c>
      <c r="H37" s="468">
        <v>45.75</v>
      </c>
      <c r="I37" s="398">
        <v>180.6</v>
      </c>
      <c r="J37" s="398">
        <v>160.6</v>
      </c>
      <c r="K37" s="398" t="s">
        <v>639</v>
      </c>
      <c r="L37" s="408">
        <v>78</v>
      </c>
      <c r="M37" s="409">
        <v>96</v>
      </c>
      <c r="N37" s="411">
        <v>1.03</v>
      </c>
      <c r="O37" s="411">
        <v>28.75</v>
      </c>
      <c r="P37" s="404" t="s">
        <v>982</v>
      </c>
      <c r="Q37" s="409">
        <v>24</v>
      </c>
      <c r="R37" s="408">
        <v>3438</v>
      </c>
      <c r="S37" s="406">
        <v>342.1</v>
      </c>
      <c r="T37" s="406">
        <v>379.4</v>
      </c>
      <c r="U37" s="411">
        <v>8.67</v>
      </c>
      <c r="V37" s="407">
        <v>14.77</v>
      </c>
      <c r="W37" s="406">
        <v>764.3</v>
      </c>
      <c r="X37" s="411">
        <v>92.64</v>
      </c>
      <c r="Y37" s="406">
        <v>141.1</v>
      </c>
      <c r="Z37" s="407">
        <v>4.09</v>
      </c>
      <c r="AA37" s="411">
        <v>38.340000000000003</v>
      </c>
      <c r="AB37" s="411">
        <v>14.56</v>
      </c>
      <c r="AC37" s="400">
        <v>69.5</v>
      </c>
      <c r="AD37" s="398">
        <v>1</v>
      </c>
      <c r="AE37" s="398">
        <v>1</v>
      </c>
      <c r="AF37" s="399" t="s">
        <v>616</v>
      </c>
      <c r="AG37" s="398">
        <v>1</v>
      </c>
      <c r="AH37" s="398">
        <v>1</v>
      </c>
      <c r="AI37" s="400" t="s">
        <v>616</v>
      </c>
      <c r="AJ37" s="398"/>
    </row>
    <row r="38" spans="1:36" s="46" customFormat="1" ht="13.5" customHeight="1">
      <c r="A38" s="33" t="s">
        <v>983</v>
      </c>
      <c r="B38" s="34">
        <v>41.7</v>
      </c>
      <c r="C38" s="21">
        <v>205</v>
      </c>
      <c r="D38" s="21">
        <v>166</v>
      </c>
      <c r="E38" s="36">
        <v>7.2</v>
      </c>
      <c r="F38" s="36">
        <v>11.8</v>
      </c>
      <c r="G38" s="21">
        <v>10</v>
      </c>
      <c r="H38" s="37">
        <v>53.17</v>
      </c>
      <c r="I38" s="21">
        <v>181.4</v>
      </c>
      <c r="J38" s="21">
        <v>161.4</v>
      </c>
      <c r="K38" s="21" t="s">
        <v>639</v>
      </c>
      <c r="L38" s="35">
        <v>80</v>
      </c>
      <c r="M38" s="38">
        <v>96</v>
      </c>
      <c r="N38" s="40">
        <v>1.04</v>
      </c>
      <c r="O38" s="40">
        <v>24.97</v>
      </c>
      <c r="P38" s="33" t="s">
        <v>984</v>
      </c>
      <c r="Q38" s="44">
        <v>28</v>
      </c>
      <c r="R38" s="35">
        <v>4088</v>
      </c>
      <c r="S38" s="36">
        <v>398.8</v>
      </c>
      <c r="T38" s="36">
        <v>445.6</v>
      </c>
      <c r="U38" s="40">
        <v>8.77</v>
      </c>
      <c r="V38" s="41">
        <v>17.21</v>
      </c>
      <c r="W38" s="36">
        <v>900.5</v>
      </c>
      <c r="X38" s="36">
        <v>108.5</v>
      </c>
      <c r="Y38" s="36">
        <v>165.5</v>
      </c>
      <c r="Z38" s="41">
        <v>4.12</v>
      </c>
      <c r="AA38" s="40">
        <v>42.56</v>
      </c>
      <c r="AB38" s="40">
        <v>22.39</v>
      </c>
      <c r="AC38" s="42">
        <v>83.95</v>
      </c>
      <c r="AD38" s="21">
        <v>1</v>
      </c>
      <c r="AE38" s="21">
        <v>1</v>
      </c>
      <c r="AF38" s="43" t="s">
        <v>616</v>
      </c>
      <c r="AG38" s="21">
        <v>1</v>
      </c>
      <c r="AH38" s="21">
        <v>1</v>
      </c>
      <c r="AI38" s="42" t="s">
        <v>616</v>
      </c>
      <c r="AJ38" s="21"/>
    </row>
    <row r="39" spans="1:36" s="46" customFormat="1" ht="13.5" customHeight="1">
      <c r="A39" s="33"/>
      <c r="B39" s="34"/>
      <c r="C39" s="21"/>
      <c r="D39" s="21"/>
      <c r="E39" s="36"/>
      <c r="F39" s="36"/>
      <c r="G39" s="21"/>
      <c r="H39" s="37"/>
      <c r="I39" s="21"/>
      <c r="J39" s="21"/>
      <c r="K39" s="21"/>
      <c r="L39" s="35"/>
      <c r="M39" s="38"/>
      <c r="N39" s="40"/>
      <c r="O39" s="40"/>
      <c r="P39" s="33"/>
      <c r="Q39" s="44"/>
      <c r="R39" s="35"/>
      <c r="S39" s="36"/>
      <c r="T39" s="36"/>
      <c r="U39" s="40"/>
      <c r="V39" s="41"/>
      <c r="W39" s="36"/>
      <c r="X39" s="36"/>
      <c r="Y39" s="36"/>
      <c r="Z39" s="41"/>
      <c r="AA39" s="40"/>
      <c r="AB39" s="40"/>
      <c r="AC39" s="42"/>
      <c r="AD39" s="21"/>
      <c r="AE39" s="21"/>
      <c r="AF39" s="43"/>
      <c r="AG39" s="21"/>
      <c r="AH39" s="21"/>
      <c r="AI39" s="42"/>
      <c r="AJ39" s="21"/>
    </row>
    <row r="40" spans="1:36" s="443" customFormat="1" ht="13.5" customHeight="1">
      <c r="A40" s="404" t="s">
        <v>985</v>
      </c>
      <c r="B40" s="405">
        <v>46.1</v>
      </c>
      <c r="C40" s="398">
        <v>203</v>
      </c>
      <c r="D40" s="398">
        <v>203</v>
      </c>
      <c r="E40" s="406">
        <v>7.2</v>
      </c>
      <c r="F40" s="406">
        <v>11</v>
      </c>
      <c r="G40" s="398">
        <v>10</v>
      </c>
      <c r="H40" s="468">
        <v>58.62</v>
      </c>
      <c r="I40" s="398">
        <v>181</v>
      </c>
      <c r="J40" s="398">
        <v>161</v>
      </c>
      <c r="K40" s="398" t="s">
        <v>656</v>
      </c>
      <c r="L40" s="408">
        <v>94</v>
      </c>
      <c r="M40" s="409">
        <v>110</v>
      </c>
      <c r="N40" s="411">
        <v>1.19</v>
      </c>
      <c r="O40" s="411">
        <v>25.78</v>
      </c>
      <c r="P40" s="404" t="s">
        <v>986</v>
      </c>
      <c r="Q40" s="409">
        <v>31</v>
      </c>
      <c r="R40" s="408">
        <v>4545</v>
      </c>
      <c r="S40" s="406">
        <v>447.8</v>
      </c>
      <c r="T40" s="406">
        <v>495.6</v>
      </c>
      <c r="U40" s="411">
        <v>8.81</v>
      </c>
      <c r="V40" s="407">
        <v>16.96</v>
      </c>
      <c r="W40" s="408">
        <v>1535</v>
      </c>
      <c r="X40" s="406">
        <v>151.19999999999999</v>
      </c>
      <c r="Y40" s="406">
        <v>229.5</v>
      </c>
      <c r="Z40" s="407">
        <v>5.12</v>
      </c>
      <c r="AA40" s="411">
        <v>40.96</v>
      </c>
      <c r="AB40" s="411">
        <v>22.27</v>
      </c>
      <c r="AC40" s="400">
        <v>141.30000000000001</v>
      </c>
      <c r="AD40" s="398">
        <v>1</v>
      </c>
      <c r="AE40" s="398">
        <v>3</v>
      </c>
      <c r="AF40" s="399" t="s">
        <v>616</v>
      </c>
      <c r="AG40" s="398">
        <v>1</v>
      </c>
      <c r="AH40" s="398">
        <v>3</v>
      </c>
      <c r="AI40" s="400" t="s">
        <v>616</v>
      </c>
      <c r="AJ40" s="398"/>
    </row>
    <row r="41" spans="1:36" s="46" customFormat="1" ht="13.5" customHeight="1">
      <c r="A41" s="33" t="s">
        <v>987</v>
      </c>
      <c r="B41" s="34">
        <v>52</v>
      </c>
      <c r="C41" s="21">
        <v>206</v>
      </c>
      <c r="D41" s="21">
        <v>204</v>
      </c>
      <c r="E41" s="36">
        <v>7.9</v>
      </c>
      <c r="F41" s="36">
        <v>12.6</v>
      </c>
      <c r="G41" s="21">
        <v>10</v>
      </c>
      <c r="H41" s="37">
        <v>66.5</v>
      </c>
      <c r="I41" s="21">
        <v>180.8</v>
      </c>
      <c r="J41" s="21">
        <v>160.80000000000001</v>
      </c>
      <c r="K41" s="21" t="s">
        <v>656</v>
      </c>
      <c r="L41" s="35">
        <v>94</v>
      </c>
      <c r="M41" s="38">
        <v>110</v>
      </c>
      <c r="N41" s="40">
        <v>1.2</v>
      </c>
      <c r="O41" s="40">
        <v>22.89</v>
      </c>
      <c r="P41" s="33" t="s">
        <v>988</v>
      </c>
      <c r="Q41" s="44">
        <v>35</v>
      </c>
      <c r="R41" s="35">
        <v>5268</v>
      </c>
      <c r="S41" s="36">
        <v>511.5</v>
      </c>
      <c r="T41" s="36">
        <v>569</v>
      </c>
      <c r="U41" s="40">
        <v>8.9</v>
      </c>
      <c r="V41" s="41">
        <v>18.600000000000001</v>
      </c>
      <c r="W41" s="35">
        <v>1784</v>
      </c>
      <c r="X41" s="36">
        <v>174.9</v>
      </c>
      <c r="Y41" s="36">
        <v>265.5</v>
      </c>
      <c r="Z41" s="41">
        <v>5.18</v>
      </c>
      <c r="AA41" s="40">
        <v>44.79</v>
      </c>
      <c r="AB41" s="40">
        <v>32.409999999999997</v>
      </c>
      <c r="AC41" s="42">
        <v>166.7</v>
      </c>
      <c r="AD41" s="21">
        <v>1</v>
      </c>
      <c r="AE41" s="21">
        <v>1</v>
      </c>
      <c r="AF41" s="43" t="s">
        <v>616</v>
      </c>
      <c r="AG41" s="21">
        <v>1</v>
      </c>
      <c r="AH41" s="21">
        <v>1</v>
      </c>
      <c r="AI41" s="42" t="s">
        <v>616</v>
      </c>
      <c r="AJ41" s="21"/>
    </row>
    <row r="42" spans="1:36" s="443" customFormat="1" ht="13.5" customHeight="1">
      <c r="A42" s="404" t="s">
        <v>989</v>
      </c>
      <c r="B42" s="405">
        <v>59</v>
      </c>
      <c r="C42" s="398">
        <v>210</v>
      </c>
      <c r="D42" s="398">
        <v>205</v>
      </c>
      <c r="E42" s="406">
        <v>9.1</v>
      </c>
      <c r="F42" s="406">
        <v>14.2</v>
      </c>
      <c r="G42" s="398">
        <v>10</v>
      </c>
      <c r="H42" s="468">
        <v>75.680000000000007</v>
      </c>
      <c r="I42" s="398">
        <v>181.6</v>
      </c>
      <c r="J42" s="398">
        <v>161.6</v>
      </c>
      <c r="K42" s="398" t="s">
        <v>656</v>
      </c>
      <c r="L42" s="408">
        <v>96</v>
      </c>
      <c r="M42" s="409">
        <v>112</v>
      </c>
      <c r="N42" s="411">
        <v>1.2</v>
      </c>
      <c r="O42" s="411">
        <v>20.28</v>
      </c>
      <c r="P42" s="404" t="s">
        <v>990</v>
      </c>
      <c r="Q42" s="409">
        <v>40</v>
      </c>
      <c r="R42" s="408">
        <v>6113</v>
      </c>
      <c r="S42" s="406">
        <v>582.20000000000005</v>
      </c>
      <c r="T42" s="406">
        <v>652.9</v>
      </c>
      <c r="U42" s="411">
        <v>8.99</v>
      </c>
      <c r="V42" s="407">
        <v>21.59</v>
      </c>
      <c r="W42" s="408">
        <v>2040</v>
      </c>
      <c r="X42" s="406">
        <v>199.1</v>
      </c>
      <c r="Y42" s="406">
        <v>302.8</v>
      </c>
      <c r="Z42" s="407">
        <v>5.19</v>
      </c>
      <c r="AA42" s="411">
        <v>49.26</v>
      </c>
      <c r="AB42" s="411">
        <v>46.86</v>
      </c>
      <c r="AC42" s="400">
        <v>195.4</v>
      </c>
      <c r="AD42" s="398">
        <v>1</v>
      </c>
      <c r="AE42" s="398">
        <v>1</v>
      </c>
      <c r="AF42" s="399" t="s">
        <v>616</v>
      </c>
      <c r="AG42" s="398">
        <v>1</v>
      </c>
      <c r="AH42" s="398">
        <v>1</v>
      </c>
      <c r="AI42" s="400" t="s">
        <v>616</v>
      </c>
      <c r="AJ42" s="398"/>
    </row>
    <row r="43" spans="1:36" s="46" customFormat="1" ht="13.5" customHeight="1">
      <c r="A43" s="33" t="s">
        <v>991</v>
      </c>
      <c r="B43" s="34">
        <v>71</v>
      </c>
      <c r="C43" s="21">
        <v>216</v>
      </c>
      <c r="D43" s="21">
        <v>206</v>
      </c>
      <c r="E43" s="36">
        <v>10.199999999999999</v>
      </c>
      <c r="F43" s="36">
        <v>17.399999999999999</v>
      </c>
      <c r="G43" s="21">
        <v>10</v>
      </c>
      <c r="H43" s="37">
        <v>90.96</v>
      </c>
      <c r="I43" s="21">
        <v>181.2</v>
      </c>
      <c r="J43" s="21">
        <v>161.19999999999999</v>
      </c>
      <c r="K43" s="21" t="s">
        <v>656</v>
      </c>
      <c r="L43" s="35">
        <v>98</v>
      </c>
      <c r="M43" s="38">
        <v>112</v>
      </c>
      <c r="N43" s="40">
        <v>1.22</v>
      </c>
      <c r="O43" s="40">
        <v>17.07</v>
      </c>
      <c r="P43" s="33" t="s">
        <v>992</v>
      </c>
      <c r="Q43" s="44">
        <v>48</v>
      </c>
      <c r="R43" s="35">
        <v>7658</v>
      </c>
      <c r="S43" s="36">
        <v>709</v>
      </c>
      <c r="T43" s="36">
        <v>802.8</v>
      </c>
      <c r="U43" s="40">
        <v>9.18</v>
      </c>
      <c r="V43" s="41">
        <v>24.52</v>
      </c>
      <c r="W43" s="35">
        <v>2537</v>
      </c>
      <c r="X43" s="36">
        <v>246.3</v>
      </c>
      <c r="Y43" s="36">
        <v>374.5</v>
      </c>
      <c r="Z43" s="41">
        <v>5.28</v>
      </c>
      <c r="AA43" s="40">
        <v>56.68</v>
      </c>
      <c r="AB43" s="40">
        <v>82.02</v>
      </c>
      <c r="AC43" s="42">
        <v>250</v>
      </c>
      <c r="AD43" s="21">
        <v>1</v>
      </c>
      <c r="AE43" s="21">
        <v>1</v>
      </c>
      <c r="AF43" s="43" t="s">
        <v>616</v>
      </c>
      <c r="AG43" s="21">
        <v>1</v>
      </c>
      <c r="AH43" s="21">
        <v>1</v>
      </c>
      <c r="AI43" s="42" t="s">
        <v>616</v>
      </c>
      <c r="AJ43" s="21"/>
    </row>
    <row r="44" spans="1:36" s="443" customFormat="1" ht="13.5" customHeight="1">
      <c r="A44" s="404" t="s">
        <v>993</v>
      </c>
      <c r="B44" s="405">
        <v>86</v>
      </c>
      <c r="C44" s="398">
        <v>222</v>
      </c>
      <c r="D44" s="398">
        <v>209</v>
      </c>
      <c r="E44" s="406">
        <v>13</v>
      </c>
      <c r="F44" s="406">
        <v>20.6</v>
      </c>
      <c r="G44" s="398">
        <v>10</v>
      </c>
      <c r="H44" s="470">
        <v>110.4</v>
      </c>
      <c r="I44" s="398">
        <v>180.8</v>
      </c>
      <c r="J44" s="398">
        <v>160.80000000000001</v>
      </c>
      <c r="K44" s="398" t="s">
        <v>656</v>
      </c>
      <c r="L44" s="408">
        <v>100</v>
      </c>
      <c r="M44" s="409">
        <v>116</v>
      </c>
      <c r="N44" s="411">
        <v>1.24</v>
      </c>
      <c r="O44" s="411">
        <v>14.28</v>
      </c>
      <c r="P44" s="404" t="s">
        <v>994</v>
      </c>
      <c r="Q44" s="409">
        <v>58</v>
      </c>
      <c r="R44" s="408">
        <v>9467</v>
      </c>
      <c r="S44" s="406">
        <v>852.9</v>
      </c>
      <c r="T44" s="406">
        <v>980.5</v>
      </c>
      <c r="U44" s="411">
        <v>9.26</v>
      </c>
      <c r="V44" s="407">
        <v>31.06</v>
      </c>
      <c r="W44" s="408">
        <v>3138</v>
      </c>
      <c r="X44" s="406">
        <v>300.3</v>
      </c>
      <c r="Y44" s="406">
        <v>458.2</v>
      </c>
      <c r="Z44" s="407">
        <v>5.33</v>
      </c>
      <c r="AA44" s="411">
        <v>65.87</v>
      </c>
      <c r="AB44" s="398">
        <v>140.80000000000001</v>
      </c>
      <c r="AC44" s="400">
        <v>317.8</v>
      </c>
      <c r="AD44" s="398">
        <v>1</v>
      </c>
      <c r="AE44" s="398">
        <v>1</v>
      </c>
      <c r="AF44" s="399" t="s">
        <v>616</v>
      </c>
      <c r="AG44" s="398">
        <v>1</v>
      </c>
      <c r="AH44" s="398">
        <v>1</v>
      </c>
      <c r="AI44" s="400" t="s">
        <v>616</v>
      </c>
      <c r="AJ44" s="398"/>
    </row>
    <row r="45" spans="1:36" s="46" customFormat="1" ht="13.5" customHeight="1">
      <c r="A45" s="33" t="s">
        <v>995</v>
      </c>
      <c r="B45" s="44">
        <v>100</v>
      </c>
      <c r="C45" s="21">
        <v>229</v>
      </c>
      <c r="D45" s="21">
        <v>210</v>
      </c>
      <c r="E45" s="36">
        <v>14.5</v>
      </c>
      <c r="F45" s="36">
        <v>23.7</v>
      </c>
      <c r="G45" s="21">
        <v>10</v>
      </c>
      <c r="H45" s="47">
        <v>126.7</v>
      </c>
      <c r="I45" s="21">
        <v>181.6</v>
      </c>
      <c r="J45" s="21">
        <v>161.6</v>
      </c>
      <c r="K45" s="21" t="s">
        <v>656</v>
      </c>
      <c r="L45" s="35">
        <v>102</v>
      </c>
      <c r="M45" s="38">
        <v>116</v>
      </c>
      <c r="N45" s="40">
        <v>1.25</v>
      </c>
      <c r="O45" s="40">
        <v>12.59</v>
      </c>
      <c r="P45" s="33" t="s">
        <v>996</v>
      </c>
      <c r="Q45" s="44">
        <v>67</v>
      </c>
      <c r="R45" s="35">
        <v>11325</v>
      </c>
      <c r="S45" s="36">
        <v>989.1</v>
      </c>
      <c r="T45" s="35">
        <v>1149</v>
      </c>
      <c r="U45" s="40">
        <v>9.4499999999999993</v>
      </c>
      <c r="V45" s="41">
        <v>35.33</v>
      </c>
      <c r="W45" s="35">
        <v>3663</v>
      </c>
      <c r="X45" s="36">
        <v>348.9</v>
      </c>
      <c r="Y45" s="36">
        <v>532.9</v>
      </c>
      <c r="Z45" s="41">
        <v>5.38</v>
      </c>
      <c r="AA45" s="40">
        <v>73.599999999999994</v>
      </c>
      <c r="AB45" s="21">
        <v>211.3</v>
      </c>
      <c r="AC45" s="42">
        <v>385.5</v>
      </c>
      <c r="AD45" s="21">
        <v>1</v>
      </c>
      <c r="AE45" s="21">
        <v>1</v>
      </c>
      <c r="AF45" s="43" t="s">
        <v>616</v>
      </c>
      <c r="AG45" s="21">
        <v>1</v>
      </c>
      <c r="AH45" s="21">
        <v>1</v>
      </c>
      <c r="AI45" s="42" t="s">
        <v>616</v>
      </c>
      <c r="AJ45" s="21"/>
    </row>
    <row r="46" spans="1:36" s="46" customFormat="1" ht="13.5" customHeight="1">
      <c r="A46" s="33"/>
      <c r="B46" s="34"/>
      <c r="C46" s="21"/>
      <c r="D46" s="21"/>
      <c r="E46" s="36"/>
      <c r="F46" s="36"/>
      <c r="G46" s="21"/>
      <c r="H46" s="37"/>
      <c r="I46" s="21"/>
      <c r="J46" s="21"/>
      <c r="K46" s="21"/>
      <c r="L46" s="35"/>
      <c r="M46" s="38"/>
      <c r="N46" s="40"/>
      <c r="O46" s="40"/>
      <c r="P46" s="33"/>
      <c r="Q46" s="44"/>
      <c r="R46" s="35"/>
      <c r="S46" s="36"/>
      <c r="T46" s="36"/>
      <c r="U46" s="40"/>
      <c r="V46" s="41"/>
      <c r="W46" s="35"/>
      <c r="X46" s="36"/>
      <c r="Y46" s="36"/>
      <c r="Z46" s="41"/>
      <c r="AA46" s="40"/>
      <c r="AB46" s="21"/>
      <c r="AC46" s="42"/>
      <c r="AD46" s="21"/>
      <c r="AE46" s="21"/>
      <c r="AF46" s="43"/>
      <c r="AG46" s="21"/>
      <c r="AH46" s="21"/>
      <c r="AI46" s="42"/>
      <c r="AJ46" s="21"/>
    </row>
    <row r="47" spans="1:36" s="443" customFormat="1" ht="13.5" customHeight="1">
      <c r="A47" s="404" t="s">
        <v>997</v>
      </c>
      <c r="B47" s="405">
        <v>17.899999999999999</v>
      </c>
      <c r="C47" s="398">
        <v>251</v>
      </c>
      <c r="D47" s="398">
        <v>101</v>
      </c>
      <c r="E47" s="406">
        <v>4.8</v>
      </c>
      <c r="F47" s="406">
        <v>5.3</v>
      </c>
      <c r="G47" s="398">
        <v>8</v>
      </c>
      <c r="H47" s="468">
        <v>22.87</v>
      </c>
      <c r="I47" s="398">
        <v>240.4</v>
      </c>
      <c r="J47" s="398">
        <v>224.4</v>
      </c>
      <c r="K47" s="398" t="s">
        <v>616</v>
      </c>
      <c r="L47" s="408" t="s">
        <v>616</v>
      </c>
      <c r="M47" s="409" t="s">
        <v>616</v>
      </c>
      <c r="N47" s="410">
        <v>0.88300000000000001</v>
      </c>
      <c r="O47" s="411">
        <v>49.17</v>
      </c>
      <c r="P47" s="404" t="s">
        <v>998</v>
      </c>
      <c r="Q47" s="409">
        <v>12</v>
      </c>
      <c r="R47" s="408">
        <v>2252</v>
      </c>
      <c r="S47" s="406">
        <v>179.5</v>
      </c>
      <c r="T47" s="406">
        <v>207.8</v>
      </c>
      <c r="U47" s="411">
        <v>9.92</v>
      </c>
      <c r="V47" s="407">
        <v>13.26</v>
      </c>
      <c r="W47" s="411">
        <v>91.34</v>
      </c>
      <c r="X47" s="411">
        <v>18.09</v>
      </c>
      <c r="Y47" s="411">
        <v>28.67</v>
      </c>
      <c r="Z47" s="407">
        <v>2</v>
      </c>
      <c r="AA47" s="411">
        <v>24.8</v>
      </c>
      <c r="AB47" s="411">
        <v>2.5</v>
      </c>
      <c r="AC47" s="400">
        <v>13.74</v>
      </c>
      <c r="AD47" s="398">
        <v>1</v>
      </c>
      <c r="AE47" s="398">
        <v>3</v>
      </c>
      <c r="AF47" s="399" t="s">
        <v>616</v>
      </c>
      <c r="AG47" s="398">
        <v>4</v>
      </c>
      <c r="AH47" s="398">
        <v>4</v>
      </c>
      <c r="AI47" s="400" t="s">
        <v>616</v>
      </c>
      <c r="AJ47" s="398"/>
    </row>
    <row r="48" spans="1:36" s="46" customFormat="1" ht="13.5" customHeight="1">
      <c r="A48" s="33" t="s">
        <v>999</v>
      </c>
      <c r="B48" s="34">
        <v>22.3</v>
      </c>
      <c r="C48" s="21">
        <v>254</v>
      </c>
      <c r="D48" s="21">
        <v>102</v>
      </c>
      <c r="E48" s="36">
        <v>5.8</v>
      </c>
      <c r="F48" s="36">
        <v>6.9</v>
      </c>
      <c r="G48" s="21">
        <v>8</v>
      </c>
      <c r="H48" s="37">
        <v>28.65</v>
      </c>
      <c r="I48" s="21">
        <v>240.2</v>
      </c>
      <c r="J48" s="21">
        <v>224.2</v>
      </c>
      <c r="K48" s="21" t="s">
        <v>616</v>
      </c>
      <c r="L48" s="35" t="s">
        <v>616</v>
      </c>
      <c r="M48" s="38" t="s">
        <v>616</v>
      </c>
      <c r="N48" s="39">
        <v>0.89100000000000001</v>
      </c>
      <c r="O48" s="40">
        <v>39.590000000000003</v>
      </c>
      <c r="P48" s="33" t="s">
        <v>1000</v>
      </c>
      <c r="Q48" s="44">
        <v>15</v>
      </c>
      <c r="R48" s="35">
        <v>2901</v>
      </c>
      <c r="S48" s="36">
        <v>228.4</v>
      </c>
      <c r="T48" s="36">
        <v>264.60000000000002</v>
      </c>
      <c r="U48" s="40">
        <v>10.06</v>
      </c>
      <c r="V48" s="41">
        <v>16.079999999999998</v>
      </c>
      <c r="W48" s="36">
        <v>122.6</v>
      </c>
      <c r="X48" s="40">
        <v>24.03</v>
      </c>
      <c r="Y48" s="40">
        <v>38.200000000000003</v>
      </c>
      <c r="Z48" s="41">
        <v>2.0699999999999998</v>
      </c>
      <c r="AA48" s="40">
        <v>29.01</v>
      </c>
      <c r="AB48" s="40">
        <v>4.68</v>
      </c>
      <c r="AC48" s="42">
        <v>18.63</v>
      </c>
      <c r="AD48" s="21">
        <v>1</v>
      </c>
      <c r="AE48" s="21">
        <v>1</v>
      </c>
      <c r="AF48" s="43" t="s">
        <v>616</v>
      </c>
      <c r="AG48" s="21">
        <v>3</v>
      </c>
      <c r="AH48" s="21">
        <v>4</v>
      </c>
      <c r="AI48" s="42" t="s">
        <v>616</v>
      </c>
      <c r="AJ48" s="21"/>
    </row>
    <row r="49" spans="1:36" s="443" customFormat="1" ht="13.5" customHeight="1">
      <c r="A49" s="404" t="s">
        <v>1001</v>
      </c>
      <c r="B49" s="405">
        <v>25.3</v>
      </c>
      <c r="C49" s="398">
        <v>257</v>
      </c>
      <c r="D49" s="398">
        <v>102</v>
      </c>
      <c r="E49" s="406">
        <v>6.1</v>
      </c>
      <c r="F49" s="406">
        <v>8.4</v>
      </c>
      <c r="G49" s="398">
        <v>8</v>
      </c>
      <c r="H49" s="468">
        <v>32.340000000000003</v>
      </c>
      <c r="I49" s="398">
        <v>240.2</v>
      </c>
      <c r="J49" s="398">
        <v>224.2</v>
      </c>
      <c r="K49" s="398" t="s">
        <v>616</v>
      </c>
      <c r="L49" s="408" t="s">
        <v>616</v>
      </c>
      <c r="M49" s="409" t="s">
        <v>616</v>
      </c>
      <c r="N49" s="410">
        <v>0.89600000000000002</v>
      </c>
      <c r="O49" s="411">
        <v>35.299999999999997</v>
      </c>
      <c r="P49" s="404" t="s">
        <v>1002</v>
      </c>
      <c r="Q49" s="409">
        <v>17</v>
      </c>
      <c r="R49" s="408">
        <v>3430</v>
      </c>
      <c r="S49" s="406">
        <v>266.89999999999998</v>
      </c>
      <c r="T49" s="406">
        <v>307.5</v>
      </c>
      <c r="U49" s="411">
        <v>10.3</v>
      </c>
      <c r="V49" s="407">
        <v>17.059999999999999</v>
      </c>
      <c r="W49" s="406">
        <v>149.19999999999999</v>
      </c>
      <c r="X49" s="411">
        <v>29.25</v>
      </c>
      <c r="Y49" s="411">
        <v>46.2</v>
      </c>
      <c r="Z49" s="407">
        <v>2.15</v>
      </c>
      <c r="AA49" s="411">
        <v>32.270000000000003</v>
      </c>
      <c r="AB49" s="411">
        <v>6.77</v>
      </c>
      <c r="AC49" s="400">
        <v>22.95</v>
      </c>
      <c r="AD49" s="398">
        <v>1</v>
      </c>
      <c r="AE49" s="398">
        <v>1</v>
      </c>
      <c r="AF49" s="399" t="s">
        <v>616</v>
      </c>
      <c r="AG49" s="398">
        <v>2</v>
      </c>
      <c r="AH49" s="398">
        <v>4</v>
      </c>
      <c r="AI49" s="400" t="s">
        <v>616</v>
      </c>
      <c r="AJ49" s="398"/>
    </row>
    <row r="50" spans="1:36" s="46" customFormat="1" ht="13.5" customHeight="1">
      <c r="A50" s="33" t="s">
        <v>1003</v>
      </c>
      <c r="B50" s="34">
        <v>28.4</v>
      </c>
      <c r="C50" s="21">
        <v>260</v>
      </c>
      <c r="D50" s="21">
        <v>102</v>
      </c>
      <c r="E50" s="36">
        <v>6.4</v>
      </c>
      <c r="F50" s="36">
        <v>10</v>
      </c>
      <c r="G50" s="21">
        <v>8</v>
      </c>
      <c r="H50" s="37">
        <v>36.19</v>
      </c>
      <c r="I50" s="21">
        <v>240</v>
      </c>
      <c r="J50" s="21">
        <v>224</v>
      </c>
      <c r="K50" s="21" t="s">
        <v>616</v>
      </c>
      <c r="L50" s="35" t="s">
        <v>616</v>
      </c>
      <c r="M50" s="38" t="s">
        <v>616</v>
      </c>
      <c r="N50" s="39">
        <v>0.90200000000000002</v>
      </c>
      <c r="O50" s="40">
        <v>31.74</v>
      </c>
      <c r="P50" s="33" t="s">
        <v>1004</v>
      </c>
      <c r="Q50" s="44">
        <v>19</v>
      </c>
      <c r="R50" s="35">
        <v>3998</v>
      </c>
      <c r="S50" s="36">
        <v>307.5</v>
      </c>
      <c r="T50" s="36">
        <v>352.9</v>
      </c>
      <c r="U50" s="40">
        <v>10.51</v>
      </c>
      <c r="V50" s="41">
        <v>18.02</v>
      </c>
      <c r="W50" s="36">
        <v>177.5</v>
      </c>
      <c r="X50" s="40">
        <v>34.81</v>
      </c>
      <c r="Y50" s="40">
        <v>54.71</v>
      </c>
      <c r="Z50" s="41">
        <v>2.21</v>
      </c>
      <c r="AA50" s="40">
        <v>35.72</v>
      </c>
      <c r="AB50" s="40">
        <v>9.8000000000000007</v>
      </c>
      <c r="AC50" s="42">
        <v>27.64</v>
      </c>
      <c r="AD50" s="21">
        <v>1</v>
      </c>
      <c r="AE50" s="21">
        <v>1</v>
      </c>
      <c r="AF50" s="43" t="s">
        <v>616</v>
      </c>
      <c r="AG50" s="21">
        <v>2</v>
      </c>
      <c r="AH50" s="21">
        <v>4</v>
      </c>
      <c r="AI50" s="42" t="s">
        <v>616</v>
      </c>
      <c r="AJ50" s="21"/>
    </row>
    <row r="51" spans="1:36" s="46" customFormat="1" ht="13.5" customHeight="1">
      <c r="A51" s="33"/>
      <c r="B51" s="34"/>
      <c r="C51" s="21"/>
      <c r="D51" s="21"/>
      <c r="E51" s="36"/>
      <c r="F51" s="36"/>
      <c r="G51" s="21"/>
      <c r="H51" s="37"/>
      <c r="I51" s="21"/>
      <c r="J51" s="21"/>
      <c r="K51" s="21"/>
      <c r="L51" s="35"/>
      <c r="M51" s="38"/>
      <c r="N51" s="40"/>
      <c r="O51" s="40"/>
      <c r="P51" s="33"/>
      <c r="Q51" s="44"/>
      <c r="R51" s="36"/>
      <c r="S51" s="36"/>
      <c r="T51" s="36"/>
      <c r="U51" s="40"/>
      <c r="V51" s="41"/>
      <c r="W51" s="40"/>
      <c r="X51" s="40"/>
      <c r="Y51" s="40"/>
      <c r="Z51" s="41"/>
      <c r="AA51" s="40"/>
      <c r="AB51" s="40"/>
      <c r="AC51" s="42"/>
      <c r="AD51" s="21"/>
      <c r="AE51" s="21"/>
      <c r="AF51" s="43"/>
      <c r="AG51" s="21"/>
      <c r="AH51" s="21"/>
      <c r="AI51" s="42"/>
      <c r="AJ51" s="21"/>
    </row>
    <row r="52" spans="1:36" s="443" customFormat="1" ht="13.5" customHeight="1">
      <c r="A52" s="404" t="s">
        <v>1005</v>
      </c>
      <c r="B52" s="405">
        <v>24</v>
      </c>
      <c r="C52" s="398">
        <v>253</v>
      </c>
      <c r="D52" s="398">
        <v>145</v>
      </c>
      <c r="E52" s="406">
        <v>5</v>
      </c>
      <c r="F52" s="406">
        <v>6.4</v>
      </c>
      <c r="G52" s="398">
        <v>8</v>
      </c>
      <c r="H52" s="468">
        <v>31.12</v>
      </c>
      <c r="I52" s="398">
        <v>240.2</v>
      </c>
      <c r="J52" s="398">
        <v>224.2</v>
      </c>
      <c r="K52" s="398" t="s">
        <v>639</v>
      </c>
      <c r="L52" s="408">
        <v>72</v>
      </c>
      <c r="M52" s="409">
        <v>76</v>
      </c>
      <c r="N52" s="411">
        <v>1.06</v>
      </c>
      <c r="O52" s="411">
        <v>43.48</v>
      </c>
      <c r="P52" s="404" t="s">
        <v>1006</v>
      </c>
      <c r="Q52" s="409">
        <v>16</v>
      </c>
      <c r="R52" s="408">
        <v>3477</v>
      </c>
      <c r="S52" s="406">
        <v>274.8</v>
      </c>
      <c r="T52" s="406">
        <v>307.5</v>
      </c>
      <c r="U52" s="411">
        <v>10.57</v>
      </c>
      <c r="V52" s="407">
        <v>13.9</v>
      </c>
      <c r="W52" s="406">
        <v>325.60000000000002</v>
      </c>
      <c r="X52" s="411">
        <v>44.9</v>
      </c>
      <c r="Y52" s="411">
        <v>69.02</v>
      </c>
      <c r="Z52" s="407">
        <v>3.23</v>
      </c>
      <c r="AA52" s="411">
        <v>27.17</v>
      </c>
      <c r="AB52" s="411">
        <v>4.16</v>
      </c>
      <c r="AC52" s="400">
        <v>49.44</v>
      </c>
      <c r="AD52" s="398">
        <v>3</v>
      </c>
      <c r="AE52" s="398">
        <v>3</v>
      </c>
      <c r="AF52" s="399" t="s">
        <v>616</v>
      </c>
      <c r="AG52" s="398">
        <v>4</v>
      </c>
      <c r="AH52" s="398">
        <v>4</v>
      </c>
      <c r="AI52" s="400" t="s">
        <v>616</v>
      </c>
      <c r="AJ52" s="398"/>
    </row>
    <row r="53" spans="1:36" s="46" customFormat="1" ht="13.5" customHeight="1">
      <c r="A53" s="33" t="s">
        <v>1007</v>
      </c>
      <c r="B53" s="34">
        <v>32.700000000000003</v>
      </c>
      <c r="C53" s="21">
        <v>258</v>
      </c>
      <c r="D53" s="21">
        <v>146</v>
      </c>
      <c r="E53" s="36">
        <v>6.1</v>
      </c>
      <c r="F53" s="36">
        <v>9.1</v>
      </c>
      <c r="G53" s="21">
        <v>8</v>
      </c>
      <c r="H53" s="37">
        <v>41.75</v>
      </c>
      <c r="I53" s="21">
        <v>239.8</v>
      </c>
      <c r="J53" s="21">
        <v>223.8</v>
      </c>
      <c r="K53" s="21" t="s">
        <v>639</v>
      </c>
      <c r="L53" s="35">
        <v>72</v>
      </c>
      <c r="M53" s="38">
        <v>76</v>
      </c>
      <c r="N53" s="40">
        <v>1.07</v>
      </c>
      <c r="O53" s="40">
        <v>32.770000000000003</v>
      </c>
      <c r="P53" s="33" t="s">
        <v>1008</v>
      </c>
      <c r="Q53" s="44">
        <v>22</v>
      </c>
      <c r="R53" s="35">
        <v>4895</v>
      </c>
      <c r="S53" s="36">
        <v>379.4</v>
      </c>
      <c r="T53" s="36">
        <v>424.9</v>
      </c>
      <c r="U53" s="40">
        <v>10.83</v>
      </c>
      <c r="V53" s="41">
        <v>17.190000000000001</v>
      </c>
      <c r="W53" s="36">
        <v>472.6</v>
      </c>
      <c r="X53" s="40">
        <v>64.739999999999995</v>
      </c>
      <c r="Y53" s="40">
        <v>99.48</v>
      </c>
      <c r="Z53" s="41">
        <v>3.36</v>
      </c>
      <c r="AA53" s="40">
        <v>33.67</v>
      </c>
      <c r="AB53" s="40">
        <v>10.050000000000001</v>
      </c>
      <c r="AC53" s="48">
        <v>73.099999999999994</v>
      </c>
      <c r="AD53" s="21">
        <v>1</v>
      </c>
      <c r="AE53" s="21">
        <v>1</v>
      </c>
      <c r="AF53" s="43" t="s">
        <v>616</v>
      </c>
      <c r="AG53" s="21">
        <v>2</v>
      </c>
      <c r="AH53" s="21">
        <v>4</v>
      </c>
      <c r="AI53" s="42" t="s">
        <v>616</v>
      </c>
      <c r="AJ53" s="21"/>
    </row>
    <row r="54" spans="1:36" s="443" customFormat="1" ht="13.5" customHeight="1">
      <c r="A54" s="404" t="s">
        <v>1009</v>
      </c>
      <c r="B54" s="405">
        <v>38.5</v>
      </c>
      <c r="C54" s="398">
        <v>262</v>
      </c>
      <c r="D54" s="398">
        <v>147</v>
      </c>
      <c r="E54" s="406">
        <v>6.6</v>
      </c>
      <c r="F54" s="406">
        <v>11.2</v>
      </c>
      <c r="G54" s="398">
        <v>8</v>
      </c>
      <c r="H54" s="468">
        <v>49.29</v>
      </c>
      <c r="I54" s="398">
        <v>239.6</v>
      </c>
      <c r="J54" s="398">
        <v>223.6</v>
      </c>
      <c r="K54" s="398" t="s">
        <v>639</v>
      </c>
      <c r="L54" s="408">
        <v>74</v>
      </c>
      <c r="M54" s="409">
        <v>78</v>
      </c>
      <c r="N54" s="411">
        <v>1.0900000000000001</v>
      </c>
      <c r="O54" s="411">
        <v>28.04</v>
      </c>
      <c r="P54" s="404" t="s">
        <v>1010</v>
      </c>
      <c r="Q54" s="409">
        <v>26</v>
      </c>
      <c r="R54" s="408">
        <v>6014</v>
      </c>
      <c r="S54" s="406">
        <v>459.1</v>
      </c>
      <c r="T54" s="406">
        <v>514.1</v>
      </c>
      <c r="U54" s="411">
        <v>11.05</v>
      </c>
      <c r="V54" s="407">
        <v>18.89</v>
      </c>
      <c r="W54" s="406">
        <v>593.70000000000005</v>
      </c>
      <c r="X54" s="411">
        <v>80.77</v>
      </c>
      <c r="Y54" s="406">
        <v>123.9</v>
      </c>
      <c r="Z54" s="407">
        <v>3.47</v>
      </c>
      <c r="AA54" s="411">
        <v>38.369999999999997</v>
      </c>
      <c r="AB54" s="411">
        <v>17.03</v>
      </c>
      <c r="AC54" s="400">
        <v>93.24</v>
      </c>
      <c r="AD54" s="398">
        <v>1</v>
      </c>
      <c r="AE54" s="398">
        <v>1</v>
      </c>
      <c r="AF54" s="399" t="s">
        <v>616</v>
      </c>
      <c r="AG54" s="398">
        <v>2</v>
      </c>
      <c r="AH54" s="398">
        <v>3</v>
      </c>
      <c r="AI54" s="400" t="s">
        <v>616</v>
      </c>
      <c r="AJ54" s="398"/>
    </row>
    <row r="55" spans="1:36" s="46" customFormat="1" ht="13.5" customHeight="1">
      <c r="A55" s="33" t="s">
        <v>1011</v>
      </c>
      <c r="B55" s="34">
        <v>44.8</v>
      </c>
      <c r="C55" s="21">
        <v>266</v>
      </c>
      <c r="D55" s="21">
        <v>148</v>
      </c>
      <c r="E55" s="36">
        <v>7.6</v>
      </c>
      <c r="F55" s="36">
        <v>13</v>
      </c>
      <c r="G55" s="21">
        <v>8</v>
      </c>
      <c r="H55" s="37">
        <v>57.32</v>
      </c>
      <c r="I55" s="21">
        <v>240</v>
      </c>
      <c r="J55" s="21">
        <v>224</v>
      </c>
      <c r="K55" s="21" t="s">
        <v>639</v>
      </c>
      <c r="L55" s="35">
        <v>74</v>
      </c>
      <c r="M55" s="38">
        <v>78</v>
      </c>
      <c r="N55" s="40">
        <v>1.1000000000000001</v>
      </c>
      <c r="O55" s="40">
        <v>24.34</v>
      </c>
      <c r="P55" s="33" t="s">
        <v>1012</v>
      </c>
      <c r="Q55" s="44">
        <v>30</v>
      </c>
      <c r="R55" s="35">
        <v>7118</v>
      </c>
      <c r="S55" s="36">
        <v>535.20000000000005</v>
      </c>
      <c r="T55" s="36">
        <v>603</v>
      </c>
      <c r="U55" s="40">
        <v>11.14</v>
      </c>
      <c r="V55" s="41">
        <v>21.91</v>
      </c>
      <c r="W55" s="36">
        <v>703.5</v>
      </c>
      <c r="X55" s="40">
        <v>95.06</v>
      </c>
      <c r="Y55" s="36">
        <v>146.19999999999999</v>
      </c>
      <c r="Z55" s="41">
        <v>3.5</v>
      </c>
      <c r="AA55" s="40">
        <v>42.99</v>
      </c>
      <c r="AB55" s="40">
        <v>26.45</v>
      </c>
      <c r="AC55" s="42">
        <v>112.4</v>
      </c>
      <c r="AD55" s="21">
        <v>1</v>
      </c>
      <c r="AE55" s="21">
        <v>1</v>
      </c>
      <c r="AF55" s="43" t="s">
        <v>616</v>
      </c>
      <c r="AG55" s="21">
        <v>1</v>
      </c>
      <c r="AH55" s="21">
        <v>2</v>
      </c>
      <c r="AI55" s="42" t="s">
        <v>616</v>
      </c>
      <c r="AJ55" s="21"/>
    </row>
    <row r="56" spans="1:36" s="46" customFormat="1" ht="13.5" customHeight="1">
      <c r="A56" s="33"/>
      <c r="B56" s="34"/>
      <c r="C56" s="21"/>
      <c r="D56" s="21"/>
      <c r="E56" s="36"/>
      <c r="F56" s="36"/>
      <c r="G56" s="21"/>
      <c r="H56" s="37"/>
      <c r="I56" s="21"/>
      <c r="J56" s="21"/>
      <c r="K56" s="21"/>
      <c r="L56" s="35"/>
      <c r="M56" s="38"/>
      <c r="N56" s="40"/>
      <c r="O56" s="40"/>
      <c r="P56" s="33"/>
      <c r="Q56" s="44"/>
      <c r="R56" s="35"/>
      <c r="S56" s="36"/>
      <c r="T56" s="36"/>
      <c r="U56" s="40"/>
      <c r="V56" s="41"/>
      <c r="W56" s="36"/>
      <c r="X56" s="40"/>
      <c r="Y56" s="36"/>
      <c r="Z56" s="41"/>
      <c r="AA56" s="40"/>
      <c r="AB56" s="40"/>
      <c r="AC56" s="42"/>
      <c r="AD56" s="21"/>
      <c r="AE56" s="21"/>
      <c r="AF56" s="43"/>
      <c r="AG56" s="21"/>
      <c r="AH56" s="21"/>
      <c r="AI56" s="42"/>
      <c r="AJ56" s="21"/>
    </row>
    <row r="57" spans="1:36" s="443" customFormat="1" ht="13.5" customHeight="1">
      <c r="A57" s="404" t="s">
        <v>1013</v>
      </c>
      <c r="B57" s="405">
        <v>73</v>
      </c>
      <c r="C57" s="398">
        <v>253</v>
      </c>
      <c r="D57" s="398">
        <v>254</v>
      </c>
      <c r="E57" s="406">
        <v>8.6</v>
      </c>
      <c r="F57" s="406">
        <v>14.2</v>
      </c>
      <c r="G57" s="398">
        <v>13</v>
      </c>
      <c r="H57" s="468">
        <v>92.99</v>
      </c>
      <c r="I57" s="398">
        <v>224.6</v>
      </c>
      <c r="J57" s="398">
        <v>198.6</v>
      </c>
      <c r="K57" s="398" t="s">
        <v>667</v>
      </c>
      <c r="L57" s="408">
        <v>102</v>
      </c>
      <c r="M57" s="409">
        <v>148</v>
      </c>
      <c r="N57" s="411">
        <v>1.48</v>
      </c>
      <c r="O57" s="411">
        <v>20.309999999999999</v>
      </c>
      <c r="P57" s="404" t="s">
        <v>1014</v>
      </c>
      <c r="Q57" s="409">
        <v>49</v>
      </c>
      <c r="R57" s="408">
        <v>11290</v>
      </c>
      <c r="S57" s="406">
        <v>892.1</v>
      </c>
      <c r="T57" s="406">
        <v>986.1</v>
      </c>
      <c r="U57" s="411">
        <v>11.02</v>
      </c>
      <c r="V57" s="407">
        <v>25.78</v>
      </c>
      <c r="W57" s="408">
        <v>3880</v>
      </c>
      <c r="X57" s="406">
        <v>305.5</v>
      </c>
      <c r="Y57" s="406">
        <v>463.3</v>
      </c>
      <c r="Z57" s="407">
        <v>6.46</v>
      </c>
      <c r="AA57" s="411">
        <v>52.27</v>
      </c>
      <c r="AB57" s="411">
        <v>57.94</v>
      </c>
      <c r="AC57" s="400">
        <v>552.9</v>
      </c>
      <c r="AD57" s="398">
        <v>1</v>
      </c>
      <c r="AE57" s="398">
        <v>2</v>
      </c>
      <c r="AF57" s="399">
        <v>3</v>
      </c>
      <c r="AG57" s="398">
        <v>1</v>
      </c>
      <c r="AH57" s="398">
        <v>2</v>
      </c>
      <c r="AI57" s="400">
        <v>3</v>
      </c>
      <c r="AJ57" s="398" t="s">
        <v>661</v>
      </c>
    </row>
    <row r="58" spans="1:36" s="46" customFormat="1" ht="13.5" customHeight="1">
      <c r="A58" s="33" t="s">
        <v>1015</v>
      </c>
      <c r="B58" s="34">
        <v>80</v>
      </c>
      <c r="C58" s="21">
        <v>256</v>
      </c>
      <c r="D58" s="21">
        <v>255</v>
      </c>
      <c r="E58" s="36">
        <v>9.4</v>
      </c>
      <c r="F58" s="36">
        <v>15.6</v>
      </c>
      <c r="G58" s="21">
        <v>13</v>
      </c>
      <c r="H58" s="47">
        <v>102.1</v>
      </c>
      <c r="I58" s="21">
        <v>224.8</v>
      </c>
      <c r="J58" s="21">
        <v>198.8</v>
      </c>
      <c r="K58" s="21" t="s">
        <v>667</v>
      </c>
      <c r="L58" s="35">
        <v>102</v>
      </c>
      <c r="M58" s="38">
        <v>150</v>
      </c>
      <c r="N58" s="40">
        <v>1.49</v>
      </c>
      <c r="O58" s="40">
        <v>18.59</v>
      </c>
      <c r="P58" s="33" t="s">
        <v>1016</v>
      </c>
      <c r="Q58" s="44">
        <v>54</v>
      </c>
      <c r="R58" s="35">
        <v>12570</v>
      </c>
      <c r="S58" s="36">
        <v>982.4</v>
      </c>
      <c r="T58" s="35">
        <v>1091</v>
      </c>
      <c r="U58" s="40">
        <v>11.1</v>
      </c>
      <c r="V58" s="41">
        <v>28.1</v>
      </c>
      <c r="W58" s="35">
        <v>4314</v>
      </c>
      <c r="X58" s="36">
        <v>338.3</v>
      </c>
      <c r="Y58" s="36">
        <v>513.29999999999995</v>
      </c>
      <c r="Z58" s="41">
        <v>6.5</v>
      </c>
      <c r="AA58" s="40">
        <v>55.83</v>
      </c>
      <c r="AB58" s="40">
        <v>76.150000000000006</v>
      </c>
      <c r="AC58" s="42">
        <v>622.9</v>
      </c>
      <c r="AD58" s="21">
        <v>1</v>
      </c>
      <c r="AE58" s="21">
        <v>2</v>
      </c>
      <c r="AF58" s="43">
        <v>3</v>
      </c>
      <c r="AG58" s="21">
        <v>1</v>
      </c>
      <c r="AH58" s="21">
        <v>2</v>
      </c>
      <c r="AI58" s="42">
        <v>3</v>
      </c>
      <c r="AJ58" s="21" t="s">
        <v>661</v>
      </c>
    </row>
    <row r="59" spans="1:36" s="443" customFormat="1" ht="13.5" customHeight="1">
      <c r="A59" s="404" t="s">
        <v>1017</v>
      </c>
      <c r="B59" s="405">
        <v>89</v>
      </c>
      <c r="C59" s="398">
        <v>260</v>
      </c>
      <c r="D59" s="398">
        <v>256</v>
      </c>
      <c r="E59" s="406">
        <v>10.7</v>
      </c>
      <c r="F59" s="406">
        <v>17.3</v>
      </c>
      <c r="G59" s="398">
        <v>13</v>
      </c>
      <c r="H59" s="470">
        <v>114.1</v>
      </c>
      <c r="I59" s="398">
        <v>225.4</v>
      </c>
      <c r="J59" s="398">
        <v>199.4</v>
      </c>
      <c r="K59" s="398" t="s">
        <v>667</v>
      </c>
      <c r="L59" s="408">
        <v>104</v>
      </c>
      <c r="M59" s="409">
        <v>150</v>
      </c>
      <c r="N59" s="411">
        <v>1.5</v>
      </c>
      <c r="O59" s="411">
        <v>16.75</v>
      </c>
      <c r="P59" s="404" t="s">
        <v>1018</v>
      </c>
      <c r="Q59" s="409">
        <v>60</v>
      </c>
      <c r="R59" s="408">
        <v>14260</v>
      </c>
      <c r="S59" s="408">
        <v>1097</v>
      </c>
      <c r="T59" s="408">
        <v>1226</v>
      </c>
      <c r="U59" s="411">
        <v>11.18</v>
      </c>
      <c r="V59" s="407">
        <v>31.84</v>
      </c>
      <c r="W59" s="408">
        <v>4841</v>
      </c>
      <c r="X59" s="406">
        <v>378.2</v>
      </c>
      <c r="Y59" s="406">
        <v>574.5</v>
      </c>
      <c r="Z59" s="407">
        <v>6.51</v>
      </c>
      <c r="AA59" s="411">
        <v>60.5</v>
      </c>
      <c r="AB59" s="406">
        <v>104.4</v>
      </c>
      <c r="AC59" s="400">
        <v>712.4</v>
      </c>
      <c r="AD59" s="398">
        <v>1</v>
      </c>
      <c r="AE59" s="398">
        <v>1</v>
      </c>
      <c r="AF59" s="399">
        <v>2</v>
      </c>
      <c r="AG59" s="398">
        <v>1</v>
      </c>
      <c r="AH59" s="398">
        <v>1</v>
      </c>
      <c r="AI59" s="400">
        <v>2</v>
      </c>
      <c r="AJ59" s="398" t="s">
        <v>661</v>
      </c>
    </row>
    <row r="60" spans="1:36" s="46" customFormat="1" ht="13.5" customHeight="1">
      <c r="A60" s="33" t="s">
        <v>1019</v>
      </c>
      <c r="B60" s="44">
        <v>101</v>
      </c>
      <c r="C60" s="21">
        <v>264</v>
      </c>
      <c r="D60" s="21">
        <v>257</v>
      </c>
      <c r="E60" s="36">
        <v>11.9</v>
      </c>
      <c r="F60" s="36">
        <v>19.600000000000001</v>
      </c>
      <c r="G60" s="21">
        <v>13</v>
      </c>
      <c r="H60" s="47">
        <v>129</v>
      </c>
      <c r="I60" s="21">
        <v>224.8</v>
      </c>
      <c r="J60" s="21">
        <v>198.8</v>
      </c>
      <c r="K60" s="21" t="s">
        <v>667</v>
      </c>
      <c r="L60" s="35">
        <v>106</v>
      </c>
      <c r="M60" s="38">
        <v>152</v>
      </c>
      <c r="N60" s="40">
        <v>1.51</v>
      </c>
      <c r="O60" s="40">
        <v>14.91</v>
      </c>
      <c r="P60" s="33" t="s">
        <v>1020</v>
      </c>
      <c r="Q60" s="44">
        <v>68</v>
      </c>
      <c r="R60" s="35">
        <v>16380</v>
      </c>
      <c r="S60" s="35">
        <v>1241</v>
      </c>
      <c r="T60" s="35">
        <v>1398</v>
      </c>
      <c r="U60" s="40">
        <v>11.27</v>
      </c>
      <c r="V60" s="41">
        <v>35.729999999999997</v>
      </c>
      <c r="W60" s="35">
        <v>5549</v>
      </c>
      <c r="X60" s="36">
        <v>431.9</v>
      </c>
      <c r="Y60" s="36">
        <v>656.6</v>
      </c>
      <c r="Z60" s="41">
        <v>6.56</v>
      </c>
      <c r="AA60" s="40">
        <v>66.37</v>
      </c>
      <c r="AB60" s="36">
        <v>150.30000000000001</v>
      </c>
      <c r="AC60" s="42">
        <v>828</v>
      </c>
      <c r="AD60" s="21">
        <v>1</v>
      </c>
      <c r="AE60" s="21">
        <v>1</v>
      </c>
      <c r="AF60" s="43">
        <v>1</v>
      </c>
      <c r="AG60" s="21">
        <v>1</v>
      </c>
      <c r="AH60" s="21">
        <v>1</v>
      </c>
      <c r="AI60" s="42">
        <v>1</v>
      </c>
      <c r="AJ60" s="21" t="s">
        <v>661</v>
      </c>
    </row>
    <row r="61" spans="1:36" s="443" customFormat="1" ht="13.5" customHeight="1">
      <c r="A61" s="404" t="s">
        <v>1021</v>
      </c>
      <c r="B61" s="409">
        <v>115</v>
      </c>
      <c r="C61" s="398">
        <v>269</v>
      </c>
      <c r="D61" s="398">
        <v>259</v>
      </c>
      <c r="E61" s="406">
        <v>13.5</v>
      </c>
      <c r="F61" s="406">
        <v>22.1</v>
      </c>
      <c r="G61" s="398">
        <v>13</v>
      </c>
      <c r="H61" s="470">
        <v>146.19999999999999</v>
      </c>
      <c r="I61" s="398">
        <v>224.8</v>
      </c>
      <c r="J61" s="398">
        <v>198.8</v>
      </c>
      <c r="K61" s="398" t="s">
        <v>667</v>
      </c>
      <c r="L61" s="408">
        <v>106</v>
      </c>
      <c r="M61" s="409">
        <v>154</v>
      </c>
      <c r="N61" s="411">
        <v>1.52</v>
      </c>
      <c r="O61" s="411">
        <v>13.29</v>
      </c>
      <c r="P61" s="404" t="s">
        <v>1022</v>
      </c>
      <c r="Q61" s="409">
        <v>77</v>
      </c>
      <c r="R61" s="408">
        <v>18940</v>
      </c>
      <c r="S61" s="408">
        <v>1408</v>
      </c>
      <c r="T61" s="408">
        <v>1599</v>
      </c>
      <c r="U61" s="411">
        <v>11.38</v>
      </c>
      <c r="V61" s="407">
        <v>40.43</v>
      </c>
      <c r="W61" s="408">
        <v>6405</v>
      </c>
      <c r="X61" s="406">
        <v>494.6</v>
      </c>
      <c r="Y61" s="406">
        <v>752.8</v>
      </c>
      <c r="Z61" s="407">
        <v>6.62</v>
      </c>
      <c r="AA61" s="411">
        <v>72.89</v>
      </c>
      <c r="AB61" s="406">
        <v>215.3</v>
      </c>
      <c r="AC61" s="400">
        <v>975.3</v>
      </c>
      <c r="AD61" s="398">
        <v>1</v>
      </c>
      <c r="AE61" s="398">
        <v>1</v>
      </c>
      <c r="AF61" s="399">
        <v>1</v>
      </c>
      <c r="AG61" s="398">
        <v>1</v>
      </c>
      <c r="AH61" s="398">
        <v>1</v>
      </c>
      <c r="AI61" s="400">
        <v>1</v>
      </c>
      <c r="AJ61" s="398" t="s">
        <v>661</v>
      </c>
    </row>
    <row r="62" spans="1:36" s="46" customFormat="1" ht="13.5" customHeight="1">
      <c r="A62" s="33" t="s">
        <v>1023</v>
      </c>
      <c r="B62" s="44">
        <v>131</v>
      </c>
      <c r="C62" s="21">
        <v>275</v>
      </c>
      <c r="D62" s="21">
        <v>261</v>
      </c>
      <c r="E62" s="36">
        <v>15.4</v>
      </c>
      <c r="F62" s="36">
        <v>25.1</v>
      </c>
      <c r="G62" s="21">
        <v>13</v>
      </c>
      <c r="H62" s="47">
        <v>167</v>
      </c>
      <c r="I62" s="21">
        <v>224.8</v>
      </c>
      <c r="J62" s="21">
        <v>198.8</v>
      </c>
      <c r="K62" s="21" t="s">
        <v>667</v>
      </c>
      <c r="L62" s="35">
        <v>108</v>
      </c>
      <c r="M62" s="38">
        <v>156</v>
      </c>
      <c r="N62" s="40">
        <v>1.54</v>
      </c>
      <c r="O62" s="40">
        <v>11.75</v>
      </c>
      <c r="P62" s="33" t="s">
        <v>1024</v>
      </c>
      <c r="Q62" s="44">
        <v>88</v>
      </c>
      <c r="R62" s="35">
        <v>22150</v>
      </c>
      <c r="S62" s="35">
        <v>1611</v>
      </c>
      <c r="T62" s="35">
        <v>1847</v>
      </c>
      <c r="U62" s="40">
        <v>11.52</v>
      </c>
      <c r="V62" s="41">
        <v>46.39</v>
      </c>
      <c r="W62" s="35">
        <v>7446</v>
      </c>
      <c r="X62" s="36">
        <v>570.6</v>
      </c>
      <c r="Y62" s="36">
        <v>869.7</v>
      </c>
      <c r="Z62" s="41">
        <v>6.68</v>
      </c>
      <c r="AA62" s="40">
        <v>80.8</v>
      </c>
      <c r="AB62" s="36">
        <v>315.89999999999998</v>
      </c>
      <c r="AC62" s="42">
        <v>1161</v>
      </c>
      <c r="AD62" s="21">
        <v>1</v>
      </c>
      <c r="AE62" s="21">
        <v>1</v>
      </c>
      <c r="AF62" s="43">
        <v>1</v>
      </c>
      <c r="AG62" s="21">
        <v>1</v>
      </c>
      <c r="AH62" s="21">
        <v>1</v>
      </c>
      <c r="AI62" s="42">
        <v>1</v>
      </c>
      <c r="AJ62" s="21" t="s">
        <v>661</v>
      </c>
    </row>
    <row r="63" spans="1:36" s="443" customFormat="1" ht="13.5" customHeight="1">
      <c r="A63" s="404" t="s">
        <v>1025</v>
      </c>
      <c r="B63" s="409">
        <v>149</v>
      </c>
      <c r="C63" s="398">
        <v>282</v>
      </c>
      <c r="D63" s="398">
        <v>263</v>
      </c>
      <c r="E63" s="406">
        <v>17.3</v>
      </c>
      <c r="F63" s="406">
        <v>28.4</v>
      </c>
      <c r="G63" s="398">
        <v>13</v>
      </c>
      <c r="H63" s="470">
        <v>189.7</v>
      </c>
      <c r="I63" s="398">
        <v>225.2</v>
      </c>
      <c r="J63" s="398">
        <v>199.2</v>
      </c>
      <c r="K63" s="398" t="s">
        <v>667</v>
      </c>
      <c r="L63" s="408">
        <v>110</v>
      </c>
      <c r="M63" s="409">
        <v>158</v>
      </c>
      <c r="N63" s="411">
        <v>1.56</v>
      </c>
      <c r="O63" s="411">
        <v>10.47</v>
      </c>
      <c r="P63" s="404" t="s">
        <v>1026</v>
      </c>
      <c r="Q63" s="409">
        <v>100</v>
      </c>
      <c r="R63" s="408">
        <v>25940</v>
      </c>
      <c r="S63" s="408">
        <v>1840</v>
      </c>
      <c r="T63" s="408">
        <v>2129</v>
      </c>
      <c r="U63" s="411">
        <v>11.69</v>
      </c>
      <c r="V63" s="407">
        <v>52.63</v>
      </c>
      <c r="W63" s="408">
        <v>8622</v>
      </c>
      <c r="X63" s="406">
        <v>655.7</v>
      </c>
      <c r="Y63" s="408">
        <v>1001</v>
      </c>
      <c r="Z63" s="407">
        <v>6.74</v>
      </c>
      <c r="AA63" s="411">
        <v>89.3</v>
      </c>
      <c r="AB63" s="406">
        <v>456.5</v>
      </c>
      <c r="AC63" s="400">
        <v>1384</v>
      </c>
      <c r="AD63" s="398">
        <v>1</v>
      </c>
      <c r="AE63" s="398">
        <v>1</v>
      </c>
      <c r="AF63" s="399">
        <v>1</v>
      </c>
      <c r="AG63" s="398">
        <v>1</v>
      </c>
      <c r="AH63" s="398">
        <v>1</v>
      </c>
      <c r="AI63" s="400">
        <v>1</v>
      </c>
      <c r="AJ63" s="398" t="s">
        <v>661</v>
      </c>
    </row>
    <row r="64" spans="1:36" s="46" customFormat="1" ht="13.5" customHeight="1">
      <c r="A64" s="33" t="s">
        <v>1027</v>
      </c>
      <c r="B64" s="44">
        <v>167</v>
      </c>
      <c r="C64" s="21">
        <v>289</v>
      </c>
      <c r="D64" s="21">
        <v>265</v>
      </c>
      <c r="E64" s="36">
        <v>19.2</v>
      </c>
      <c r="F64" s="36">
        <v>31.8</v>
      </c>
      <c r="G64" s="21">
        <v>13</v>
      </c>
      <c r="H64" s="47">
        <v>213.2</v>
      </c>
      <c r="I64" s="21">
        <v>225.4</v>
      </c>
      <c r="J64" s="21">
        <v>199.4</v>
      </c>
      <c r="K64" s="21" t="s">
        <v>667</v>
      </c>
      <c r="L64" s="35">
        <v>112</v>
      </c>
      <c r="M64" s="38">
        <v>160</v>
      </c>
      <c r="N64" s="40">
        <v>1.58</v>
      </c>
      <c r="O64" s="40">
        <v>9.42</v>
      </c>
      <c r="P64" s="33" t="s">
        <v>1028</v>
      </c>
      <c r="Q64" s="44">
        <v>112</v>
      </c>
      <c r="R64" s="35">
        <v>30020</v>
      </c>
      <c r="S64" s="35">
        <v>2078</v>
      </c>
      <c r="T64" s="35">
        <v>2427</v>
      </c>
      <c r="U64" s="40">
        <v>11.87</v>
      </c>
      <c r="V64" s="41">
        <v>59.05</v>
      </c>
      <c r="W64" s="35">
        <v>9879</v>
      </c>
      <c r="X64" s="36">
        <v>745.6</v>
      </c>
      <c r="Y64" s="35">
        <v>1139</v>
      </c>
      <c r="Z64" s="41">
        <v>6.81</v>
      </c>
      <c r="AA64" s="40">
        <v>98.01</v>
      </c>
      <c r="AB64" s="36">
        <v>639.29999999999995</v>
      </c>
      <c r="AC64" s="42">
        <v>1631</v>
      </c>
      <c r="AD64" s="21">
        <v>1</v>
      </c>
      <c r="AE64" s="21">
        <v>1</v>
      </c>
      <c r="AF64" s="43">
        <v>1</v>
      </c>
      <c r="AG64" s="21">
        <v>1</v>
      </c>
      <c r="AH64" s="21">
        <v>1</v>
      </c>
      <c r="AI64" s="42">
        <v>1</v>
      </c>
      <c r="AJ64" s="21" t="s">
        <v>661</v>
      </c>
    </row>
    <row r="65" spans="1:36" s="46" customFormat="1" ht="13.5" customHeight="1">
      <c r="A65" s="33"/>
      <c r="B65" s="34"/>
      <c r="C65" s="21"/>
      <c r="D65" s="21"/>
      <c r="E65" s="36"/>
      <c r="F65" s="36"/>
      <c r="G65" s="21"/>
      <c r="H65" s="37"/>
      <c r="I65" s="21"/>
      <c r="J65" s="21"/>
      <c r="K65" s="21"/>
      <c r="L65" s="35"/>
      <c r="M65" s="38"/>
      <c r="N65" s="40"/>
      <c r="O65" s="40"/>
      <c r="P65" s="33"/>
      <c r="Q65" s="44"/>
      <c r="R65" s="35"/>
      <c r="S65" s="36"/>
      <c r="T65" s="36"/>
      <c r="U65" s="40"/>
      <c r="V65" s="41"/>
      <c r="W65" s="36"/>
      <c r="X65" s="40"/>
      <c r="Y65" s="40"/>
      <c r="Z65" s="41"/>
      <c r="AA65" s="40"/>
      <c r="AB65" s="21"/>
      <c r="AC65" s="42"/>
      <c r="AD65" s="21"/>
      <c r="AE65" s="21"/>
      <c r="AF65" s="43"/>
      <c r="AG65" s="21"/>
      <c r="AH65" s="21"/>
      <c r="AI65" s="42"/>
      <c r="AJ65" s="21"/>
    </row>
    <row r="66" spans="1:36" s="443" customFormat="1" ht="13.5" customHeight="1">
      <c r="A66" s="404" t="s">
        <v>1029</v>
      </c>
      <c r="B66" s="405">
        <v>21</v>
      </c>
      <c r="C66" s="398">
        <v>303</v>
      </c>
      <c r="D66" s="398">
        <v>101</v>
      </c>
      <c r="E66" s="406">
        <v>5.0999999999999996</v>
      </c>
      <c r="F66" s="406">
        <v>5.7</v>
      </c>
      <c r="G66" s="398">
        <v>8</v>
      </c>
      <c r="H66" s="468">
        <v>26.88</v>
      </c>
      <c r="I66" s="398">
        <v>291.60000000000002</v>
      </c>
      <c r="J66" s="398">
        <v>275.60000000000002</v>
      </c>
      <c r="K66" s="398" t="s">
        <v>616</v>
      </c>
      <c r="L66" s="408" t="s">
        <v>616</v>
      </c>
      <c r="M66" s="409" t="s">
        <v>616</v>
      </c>
      <c r="N66" s="411">
        <v>0.98599999999999999</v>
      </c>
      <c r="O66" s="411">
        <v>46.74</v>
      </c>
      <c r="P66" s="404" t="s">
        <v>1030</v>
      </c>
      <c r="Q66" s="409">
        <v>14</v>
      </c>
      <c r="R66" s="408">
        <v>3708</v>
      </c>
      <c r="S66" s="406">
        <v>244.8</v>
      </c>
      <c r="T66" s="406">
        <v>287.10000000000002</v>
      </c>
      <c r="U66" s="411">
        <v>11.75</v>
      </c>
      <c r="V66" s="407">
        <v>16.559999999999999</v>
      </c>
      <c r="W66" s="411">
        <v>98.31</v>
      </c>
      <c r="X66" s="411">
        <v>19.47</v>
      </c>
      <c r="Y66" s="411">
        <v>31.19</v>
      </c>
      <c r="Z66" s="407">
        <v>1.91</v>
      </c>
      <c r="AA66" s="411">
        <v>25.85</v>
      </c>
      <c r="AB66" s="411">
        <v>3.17</v>
      </c>
      <c r="AC66" s="400">
        <v>21.63</v>
      </c>
      <c r="AD66" s="398">
        <v>1</v>
      </c>
      <c r="AE66" s="398">
        <v>2</v>
      </c>
      <c r="AF66" s="399" t="s">
        <v>616</v>
      </c>
      <c r="AG66" s="398">
        <v>4</v>
      </c>
      <c r="AH66" s="398">
        <v>4</v>
      </c>
      <c r="AI66" s="400" t="s">
        <v>616</v>
      </c>
      <c r="AJ66" s="398"/>
    </row>
    <row r="67" spans="1:36" s="46" customFormat="1" ht="13.5" customHeight="1">
      <c r="A67" s="33" t="s">
        <v>1031</v>
      </c>
      <c r="B67" s="34">
        <v>23.8</v>
      </c>
      <c r="C67" s="21">
        <v>305</v>
      </c>
      <c r="D67" s="21">
        <v>101</v>
      </c>
      <c r="E67" s="36">
        <v>5.6</v>
      </c>
      <c r="F67" s="36">
        <v>6.7</v>
      </c>
      <c r="G67" s="21">
        <v>8</v>
      </c>
      <c r="H67" s="37">
        <v>30.38</v>
      </c>
      <c r="I67" s="21">
        <v>291.60000000000002</v>
      </c>
      <c r="J67" s="21">
        <v>275.60000000000002</v>
      </c>
      <c r="K67" s="21" t="s">
        <v>616</v>
      </c>
      <c r="L67" s="35" t="s">
        <v>616</v>
      </c>
      <c r="M67" s="38" t="s">
        <v>616</v>
      </c>
      <c r="N67" s="40">
        <v>0.98899999999999999</v>
      </c>
      <c r="O67" s="40">
        <v>41.47</v>
      </c>
      <c r="P67" s="33" t="s">
        <v>1032</v>
      </c>
      <c r="Q67" s="44">
        <v>16</v>
      </c>
      <c r="R67" s="35">
        <v>4280</v>
      </c>
      <c r="S67" s="36">
        <v>280.7</v>
      </c>
      <c r="T67" s="36">
        <v>328.6</v>
      </c>
      <c r="U67" s="40">
        <v>11.87</v>
      </c>
      <c r="V67" s="41">
        <v>18.3</v>
      </c>
      <c r="W67" s="36">
        <v>115.6</v>
      </c>
      <c r="X67" s="40">
        <v>22.89</v>
      </c>
      <c r="Y67" s="40">
        <v>36.700000000000003</v>
      </c>
      <c r="Z67" s="41">
        <v>1.95</v>
      </c>
      <c r="AA67" s="40">
        <v>28.36</v>
      </c>
      <c r="AB67" s="40">
        <v>4.5</v>
      </c>
      <c r="AC67" s="42">
        <v>25.59</v>
      </c>
      <c r="AD67" s="21">
        <v>1</v>
      </c>
      <c r="AE67" s="21">
        <v>1</v>
      </c>
      <c r="AF67" s="43" t="s">
        <v>616</v>
      </c>
      <c r="AG67" s="21">
        <v>4</v>
      </c>
      <c r="AH67" s="21">
        <v>4</v>
      </c>
      <c r="AI67" s="42" t="s">
        <v>616</v>
      </c>
      <c r="AJ67" s="21"/>
    </row>
    <row r="68" spans="1:36" s="443" customFormat="1" ht="13.5" customHeight="1">
      <c r="A68" s="404" t="s">
        <v>1033</v>
      </c>
      <c r="B68" s="405">
        <v>28.3</v>
      </c>
      <c r="C68" s="398">
        <v>309</v>
      </c>
      <c r="D68" s="398">
        <v>102</v>
      </c>
      <c r="E68" s="406">
        <v>6</v>
      </c>
      <c r="F68" s="406">
        <v>8.9</v>
      </c>
      <c r="G68" s="398">
        <v>8</v>
      </c>
      <c r="H68" s="468">
        <v>36.090000000000003</v>
      </c>
      <c r="I68" s="398">
        <v>291.2</v>
      </c>
      <c r="J68" s="398">
        <v>275.2</v>
      </c>
      <c r="K68" s="398" t="s">
        <v>616</v>
      </c>
      <c r="L68" s="408" t="s">
        <v>616</v>
      </c>
      <c r="M68" s="409" t="s">
        <v>616</v>
      </c>
      <c r="N68" s="411">
        <v>1</v>
      </c>
      <c r="O68" s="411">
        <v>35.31</v>
      </c>
      <c r="P68" s="404" t="s">
        <v>1034</v>
      </c>
      <c r="Q68" s="409">
        <v>19</v>
      </c>
      <c r="R68" s="408">
        <v>5431</v>
      </c>
      <c r="S68" s="406">
        <v>351.5</v>
      </c>
      <c r="T68" s="406">
        <v>406.9</v>
      </c>
      <c r="U68" s="411">
        <v>12.27</v>
      </c>
      <c r="V68" s="407">
        <v>19.89</v>
      </c>
      <c r="W68" s="406">
        <v>158.1</v>
      </c>
      <c r="X68" s="411">
        <v>30.99</v>
      </c>
      <c r="Y68" s="411">
        <v>49.15</v>
      </c>
      <c r="Z68" s="407">
        <v>2.09</v>
      </c>
      <c r="AA68" s="411">
        <v>33.14</v>
      </c>
      <c r="AB68" s="411">
        <v>7.72</v>
      </c>
      <c r="AC68" s="471">
        <v>35.44</v>
      </c>
      <c r="AD68" s="398">
        <v>1</v>
      </c>
      <c r="AE68" s="398">
        <v>1</v>
      </c>
      <c r="AF68" s="399" t="s">
        <v>616</v>
      </c>
      <c r="AG68" s="398">
        <v>4</v>
      </c>
      <c r="AH68" s="398">
        <v>4</v>
      </c>
      <c r="AI68" s="400" t="s">
        <v>616</v>
      </c>
      <c r="AJ68" s="398"/>
    </row>
    <row r="69" spans="1:36" s="46" customFormat="1" ht="13.5" customHeight="1">
      <c r="A69" s="33" t="s">
        <v>1035</v>
      </c>
      <c r="B69" s="34">
        <v>32.700000000000003</v>
      </c>
      <c r="C69" s="21">
        <v>313</v>
      </c>
      <c r="D69" s="21">
        <v>102</v>
      </c>
      <c r="E69" s="36">
        <v>6.6</v>
      </c>
      <c r="F69" s="36">
        <v>10.8</v>
      </c>
      <c r="G69" s="21">
        <v>8</v>
      </c>
      <c r="H69" s="37">
        <v>41.81</v>
      </c>
      <c r="I69" s="21">
        <v>291.39999999999998</v>
      </c>
      <c r="J69" s="21">
        <v>275.39999999999998</v>
      </c>
      <c r="K69" s="21" t="s">
        <v>616</v>
      </c>
      <c r="L69" s="35" t="s">
        <v>616</v>
      </c>
      <c r="M69" s="38" t="s">
        <v>616</v>
      </c>
      <c r="N69" s="40">
        <v>1.01</v>
      </c>
      <c r="O69" s="40">
        <v>30.68</v>
      </c>
      <c r="P69" s="33" t="s">
        <v>1036</v>
      </c>
      <c r="Q69" s="44">
        <v>22</v>
      </c>
      <c r="R69" s="35">
        <v>6507</v>
      </c>
      <c r="S69" s="36">
        <v>415.8</v>
      </c>
      <c r="T69" s="36">
        <v>480.9</v>
      </c>
      <c r="U69" s="40">
        <v>12.47</v>
      </c>
      <c r="V69" s="41">
        <v>22.22</v>
      </c>
      <c r="W69" s="36">
        <v>191.9</v>
      </c>
      <c r="X69" s="40">
        <v>37.619999999999997</v>
      </c>
      <c r="Y69" s="40">
        <v>59.63</v>
      </c>
      <c r="Z69" s="41">
        <v>2.14</v>
      </c>
      <c r="AA69" s="40">
        <v>37.57</v>
      </c>
      <c r="AB69" s="40">
        <v>12.36</v>
      </c>
      <c r="AC69" s="48">
        <v>43.61</v>
      </c>
      <c r="AD69" s="21">
        <v>1</v>
      </c>
      <c r="AE69" s="21">
        <v>1</v>
      </c>
      <c r="AF69" s="43" t="s">
        <v>616</v>
      </c>
      <c r="AG69" s="21">
        <v>3</v>
      </c>
      <c r="AH69" s="21">
        <v>4</v>
      </c>
      <c r="AI69" s="42" t="s">
        <v>616</v>
      </c>
      <c r="AJ69" s="21"/>
    </row>
    <row r="70" spans="1:36" s="46" customFormat="1" ht="13.5" customHeight="1">
      <c r="A70" s="33"/>
      <c r="B70" s="34"/>
      <c r="C70" s="21"/>
      <c r="D70" s="21"/>
      <c r="E70" s="36"/>
      <c r="F70" s="36"/>
      <c r="G70" s="21"/>
      <c r="H70" s="37"/>
      <c r="I70" s="21"/>
      <c r="J70" s="21"/>
      <c r="K70" s="21"/>
      <c r="L70" s="35"/>
      <c r="M70" s="38"/>
      <c r="N70" s="40"/>
      <c r="O70" s="40"/>
      <c r="P70" s="33"/>
      <c r="Q70" s="44"/>
      <c r="R70" s="35"/>
      <c r="S70" s="36"/>
      <c r="T70" s="36"/>
      <c r="U70" s="40"/>
      <c r="V70" s="41"/>
      <c r="W70" s="36"/>
      <c r="X70" s="40"/>
      <c r="Y70" s="36"/>
      <c r="Z70" s="41"/>
      <c r="AA70" s="40"/>
      <c r="AB70" s="40"/>
      <c r="AC70" s="42"/>
      <c r="AD70" s="21"/>
      <c r="AE70" s="21"/>
      <c r="AF70" s="43"/>
      <c r="AG70" s="21"/>
      <c r="AH70" s="21"/>
      <c r="AI70" s="42"/>
      <c r="AJ70" s="21"/>
    </row>
    <row r="71" spans="1:36" s="443" customFormat="1" ht="13.5" customHeight="1">
      <c r="A71" s="404" t="s">
        <v>1037</v>
      </c>
      <c r="B71" s="405">
        <v>31</v>
      </c>
      <c r="C71" s="398">
        <v>306</v>
      </c>
      <c r="D71" s="398">
        <v>164</v>
      </c>
      <c r="E71" s="406">
        <v>5</v>
      </c>
      <c r="F71" s="406">
        <v>7.4</v>
      </c>
      <c r="G71" s="398">
        <v>8</v>
      </c>
      <c r="H71" s="468">
        <v>39.380000000000003</v>
      </c>
      <c r="I71" s="398">
        <v>291.2</v>
      </c>
      <c r="J71" s="398">
        <v>275.2</v>
      </c>
      <c r="K71" s="398" t="s">
        <v>689</v>
      </c>
      <c r="L71" s="408">
        <v>78</v>
      </c>
      <c r="M71" s="409">
        <v>82</v>
      </c>
      <c r="N71" s="411">
        <v>1.24</v>
      </c>
      <c r="O71" s="411">
        <v>40.25</v>
      </c>
      <c r="P71" s="404" t="s">
        <v>1038</v>
      </c>
      <c r="Q71" s="409">
        <v>21</v>
      </c>
      <c r="R71" s="408">
        <v>6554</v>
      </c>
      <c r="S71" s="406">
        <v>428.4</v>
      </c>
      <c r="T71" s="406">
        <v>476.3</v>
      </c>
      <c r="U71" s="411">
        <v>12.9</v>
      </c>
      <c r="V71" s="407">
        <v>16.66</v>
      </c>
      <c r="W71" s="406">
        <v>544.4</v>
      </c>
      <c r="X71" s="411">
        <v>66.39</v>
      </c>
      <c r="Y71" s="406">
        <v>101.6</v>
      </c>
      <c r="Z71" s="407">
        <v>3.72</v>
      </c>
      <c r="AA71" s="411">
        <v>29.17</v>
      </c>
      <c r="AB71" s="411">
        <v>6.25</v>
      </c>
      <c r="AC71" s="400">
        <v>121.3</v>
      </c>
      <c r="AD71" s="398">
        <v>3</v>
      </c>
      <c r="AE71" s="398">
        <v>3</v>
      </c>
      <c r="AF71" s="399" t="s">
        <v>616</v>
      </c>
      <c r="AG71" s="398">
        <v>4</v>
      </c>
      <c r="AH71" s="398">
        <v>4</v>
      </c>
      <c r="AI71" s="400" t="s">
        <v>616</v>
      </c>
      <c r="AJ71" s="398"/>
    </row>
    <row r="72" spans="1:36" s="46" customFormat="1" ht="13.5" customHeight="1">
      <c r="A72" s="33" t="s">
        <v>1039</v>
      </c>
      <c r="B72" s="34">
        <v>38.700000000000003</v>
      </c>
      <c r="C72" s="21">
        <v>310</v>
      </c>
      <c r="D72" s="21">
        <v>165</v>
      </c>
      <c r="E72" s="36">
        <v>5.8</v>
      </c>
      <c r="F72" s="36">
        <v>9.6999999999999993</v>
      </c>
      <c r="G72" s="21">
        <v>8</v>
      </c>
      <c r="H72" s="37">
        <v>49.53</v>
      </c>
      <c r="I72" s="21">
        <v>290.60000000000002</v>
      </c>
      <c r="J72" s="21">
        <v>274.60000000000002</v>
      </c>
      <c r="K72" s="21" t="s">
        <v>689</v>
      </c>
      <c r="L72" s="35">
        <v>80</v>
      </c>
      <c r="M72" s="38">
        <v>84</v>
      </c>
      <c r="N72" s="40">
        <v>1.25</v>
      </c>
      <c r="O72" s="40">
        <v>32.270000000000003</v>
      </c>
      <c r="P72" s="33" t="s">
        <v>1040</v>
      </c>
      <c r="Q72" s="44">
        <v>26</v>
      </c>
      <c r="R72" s="35">
        <v>8527</v>
      </c>
      <c r="S72" s="36">
        <v>550.1</v>
      </c>
      <c r="T72" s="36">
        <v>611.79999999999995</v>
      </c>
      <c r="U72" s="40">
        <v>13.12</v>
      </c>
      <c r="V72" s="41">
        <v>19.64</v>
      </c>
      <c r="W72" s="36">
        <v>726.8</v>
      </c>
      <c r="X72" s="40">
        <v>88.1</v>
      </c>
      <c r="Y72" s="36">
        <v>134.80000000000001</v>
      </c>
      <c r="Z72" s="41">
        <v>3.83</v>
      </c>
      <c r="AA72" s="40">
        <v>34.61</v>
      </c>
      <c r="AB72" s="40">
        <v>12.76</v>
      </c>
      <c r="AC72" s="42">
        <v>163.69999999999999</v>
      </c>
      <c r="AD72" s="21">
        <v>1</v>
      </c>
      <c r="AE72" s="21">
        <v>2</v>
      </c>
      <c r="AF72" s="43" t="s">
        <v>616</v>
      </c>
      <c r="AG72" s="21">
        <v>4</v>
      </c>
      <c r="AH72" s="21">
        <v>4</v>
      </c>
      <c r="AI72" s="42" t="s">
        <v>616</v>
      </c>
      <c r="AJ72" s="21"/>
    </row>
    <row r="73" spans="1:36" s="443" customFormat="1" ht="13.5" customHeight="1">
      <c r="A73" s="404" t="s">
        <v>1041</v>
      </c>
      <c r="B73" s="405">
        <v>44.5</v>
      </c>
      <c r="C73" s="398">
        <v>313</v>
      </c>
      <c r="D73" s="398">
        <v>166</v>
      </c>
      <c r="E73" s="406">
        <v>6.6</v>
      </c>
      <c r="F73" s="406">
        <v>11.2</v>
      </c>
      <c r="G73" s="398">
        <v>8</v>
      </c>
      <c r="H73" s="468">
        <v>56.91</v>
      </c>
      <c r="I73" s="398">
        <v>290.60000000000002</v>
      </c>
      <c r="J73" s="398">
        <v>274.60000000000002</v>
      </c>
      <c r="K73" s="398" t="s">
        <v>689</v>
      </c>
      <c r="L73" s="408">
        <v>80</v>
      </c>
      <c r="M73" s="409">
        <v>84</v>
      </c>
      <c r="N73" s="411">
        <v>1.26</v>
      </c>
      <c r="O73" s="411">
        <v>28.27</v>
      </c>
      <c r="P73" s="404" t="s">
        <v>1042</v>
      </c>
      <c r="Q73" s="409">
        <v>30</v>
      </c>
      <c r="R73" s="408">
        <v>9934</v>
      </c>
      <c r="S73" s="406">
        <v>634.79999999999995</v>
      </c>
      <c r="T73" s="406">
        <v>708.3</v>
      </c>
      <c r="U73" s="411">
        <v>13.21</v>
      </c>
      <c r="V73" s="407">
        <v>22.26</v>
      </c>
      <c r="W73" s="406">
        <v>854.7</v>
      </c>
      <c r="X73" s="406">
        <v>103</v>
      </c>
      <c r="Y73" s="406">
        <v>157.80000000000001</v>
      </c>
      <c r="Z73" s="407">
        <v>3.88</v>
      </c>
      <c r="AA73" s="411">
        <v>38.369999999999997</v>
      </c>
      <c r="AB73" s="411">
        <v>19.3</v>
      </c>
      <c r="AC73" s="400">
        <v>194.4</v>
      </c>
      <c r="AD73" s="398">
        <v>1</v>
      </c>
      <c r="AE73" s="398">
        <v>1</v>
      </c>
      <c r="AF73" s="399" t="s">
        <v>616</v>
      </c>
      <c r="AG73" s="398">
        <v>3</v>
      </c>
      <c r="AH73" s="398">
        <v>4</v>
      </c>
      <c r="AI73" s="400" t="s">
        <v>616</v>
      </c>
      <c r="AJ73" s="398"/>
    </row>
    <row r="74" spans="1:36" s="46" customFormat="1" ht="13.5" customHeight="1">
      <c r="A74" s="33" t="s">
        <v>1043</v>
      </c>
      <c r="B74" s="34">
        <v>52</v>
      </c>
      <c r="C74" s="21">
        <v>317</v>
      </c>
      <c r="D74" s="21">
        <v>167</v>
      </c>
      <c r="E74" s="36">
        <v>7.6</v>
      </c>
      <c r="F74" s="36">
        <v>13.2</v>
      </c>
      <c r="G74" s="21">
        <v>8</v>
      </c>
      <c r="H74" s="37">
        <v>66.78</v>
      </c>
      <c r="I74" s="21">
        <v>290.60000000000002</v>
      </c>
      <c r="J74" s="21">
        <v>274.60000000000002</v>
      </c>
      <c r="K74" s="21" t="s">
        <v>689</v>
      </c>
      <c r="L74" s="35">
        <v>82</v>
      </c>
      <c r="M74" s="38">
        <v>86</v>
      </c>
      <c r="N74" s="40">
        <v>1.27</v>
      </c>
      <c r="O74" s="40">
        <v>24.28</v>
      </c>
      <c r="P74" s="33" t="s">
        <v>1044</v>
      </c>
      <c r="Q74" s="44">
        <v>35</v>
      </c>
      <c r="R74" s="35">
        <v>11851</v>
      </c>
      <c r="S74" s="36">
        <v>747.7</v>
      </c>
      <c r="T74" s="36">
        <v>838.5</v>
      </c>
      <c r="U74" s="40">
        <v>13.32</v>
      </c>
      <c r="V74" s="41">
        <v>25.81</v>
      </c>
      <c r="W74" s="35">
        <v>1026</v>
      </c>
      <c r="X74" s="36">
        <v>122.9</v>
      </c>
      <c r="Y74" s="36">
        <v>188.6</v>
      </c>
      <c r="Z74" s="41">
        <v>3.92</v>
      </c>
      <c r="AA74" s="40">
        <v>43.39</v>
      </c>
      <c r="AB74" s="40">
        <v>31.1</v>
      </c>
      <c r="AC74" s="42">
        <v>236.4</v>
      </c>
      <c r="AD74" s="21">
        <v>1</v>
      </c>
      <c r="AE74" s="21">
        <v>1</v>
      </c>
      <c r="AF74" s="43" t="s">
        <v>616</v>
      </c>
      <c r="AG74" s="21">
        <v>2</v>
      </c>
      <c r="AH74" s="21">
        <v>4</v>
      </c>
      <c r="AI74" s="42" t="s">
        <v>616</v>
      </c>
      <c r="AJ74" s="21"/>
    </row>
    <row r="75" spans="1:36" s="46" customFormat="1" ht="13.5" customHeight="1">
      <c r="A75" s="33"/>
      <c r="B75" s="34"/>
      <c r="C75" s="21"/>
      <c r="D75" s="21"/>
      <c r="E75" s="36"/>
      <c r="F75" s="36"/>
      <c r="G75" s="21"/>
      <c r="H75" s="47"/>
      <c r="I75" s="21"/>
      <c r="J75" s="21"/>
      <c r="K75" s="21"/>
      <c r="L75" s="35"/>
      <c r="M75" s="38"/>
      <c r="N75" s="40"/>
      <c r="O75" s="40"/>
      <c r="P75" s="33"/>
      <c r="Q75" s="44"/>
      <c r="R75" s="35"/>
      <c r="S75" s="35"/>
      <c r="T75" s="35"/>
      <c r="U75" s="40"/>
      <c r="V75" s="41"/>
      <c r="W75" s="35"/>
      <c r="X75" s="36"/>
      <c r="Y75" s="36"/>
      <c r="Z75" s="41"/>
      <c r="AA75" s="40"/>
      <c r="AB75" s="40"/>
      <c r="AC75" s="42"/>
      <c r="AD75" s="21"/>
      <c r="AE75" s="21"/>
      <c r="AF75" s="43"/>
      <c r="AG75" s="21"/>
      <c r="AH75" s="21"/>
      <c r="AI75" s="42"/>
      <c r="AJ75" s="21"/>
    </row>
    <row r="76" spans="1:36" s="443" customFormat="1" ht="13.5" customHeight="1">
      <c r="A76" s="404" t="s">
        <v>1045</v>
      </c>
      <c r="B76" s="405">
        <v>97</v>
      </c>
      <c r="C76" s="398">
        <v>308</v>
      </c>
      <c r="D76" s="398">
        <v>305</v>
      </c>
      <c r="E76" s="406">
        <v>9.9</v>
      </c>
      <c r="F76" s="406">
        <v>15.4</v>
      </c>
      <c r="G76" s="398">
        <v>15</v>
      </c>
      <c r="H76" s="470">
        <v>123.3</v>
      </c>
      <c r="I76" s="398">
        <v>277.2</v>
      </c>
      <c r="J76" s="398">
        <v>247.2</v>
      </c>
      <c r="K76" s="398" t="s">
        <v>667</v>
      </c>
      <c r="L76" s="408">
        <v>102</v>
      </c>
      <c r="M76" s="409">
        <v>200</v>
      </c>
      <c r="N76" s="411">
        <v>1.79</v>
      </c>
      <c r="O76" s="411">
        <v>18.5</v>
      </c>
      <c r="P76" s="404" t="s">
        <v>1046</v>
      </c>
      <c r="Q76" s="409">
        <v>65</v>
      </c>
      <c r="R76" s="408">
        <v>22240</v>
      </c>
      <c r="S76" s="408">
        <v>1444</v>
      </c>
      <c r="T76" s="408">
        <v>1591</v>
      </c>
      <c r="U76" s="411">
        <v>13.43</v>
      </c>
      <c r="V76" s="407">
        <v>35.520000000000003</v>
      </c>
      <c r="W76" s="408">
        <v>7286</v>
      </c>
      <c r="X76" s="406">
        <v>477.8</v>
      </c>
      <c r="Y76" s="406">
        <v>724.7</v>
      </c>
      <c r="Z76" s="407">
        <v>7.69</v>
      </c>
      <c r="AA76" s="411">
        <v>58.27</v>
      </c>
      <c r="AB76" s="411">
        <v>91.5</v>
      </c>
      <c r="AC76" s="400">
        <v>1559</v>
      </c>
      <c r="AD76" s="398">
        <v>1</v>
      </c>
      <c r="AE76" s="398">
        <v>3</v>
      </c>
      <c r="AF76" s="399">
        <v>3</v>
      </c>
      <c r="AG76" s="398">
        <v>1</v>
      </c>
      <c r="AH76" s="398">
        <v>3</v>
      </c>
      <c r="AI76" s="400">
        <v>3</v>
      </c>
      <c r="AJ76" s="398" t="s">
        <v>661</v>
      </c>
    </row>
    <row r="77" spans="1:36" s="46" customFormat="1" ht="13.5" customHeight="1">
      <c r="A77" s="33" t="s">
        <v>1047</v>
      </c>
      <c r="B77" s="44">
        <v>107</v>
      </c>
      <c r="C77" s="21">
        <v>311</v>
      </c>
      <c r="D77" s="21">
        <v>306</v>
      </c>
      <c r="E77" s="36">
        <v>10.9</v>
      </c>
      <c r="F77" s="36">
        <v>17</v>
      </c>
      <c r="G77" s="21">
        <v>15</v>
      </c>
      <c r="H77" s="47">
        <v>136.19999999999999</v>
      </c>
      <c r="I77" s="21">
        <v>277</v>
      </c>
      <c r="J77" s="21">
        <v>247</v>
      </c>
      <c r="K77" s="21" t="s">
        <v>667</v>
      </c>
      <c r="L77" s="35">
        <v>104</v>
      </c>
      <c r="M77" s="38">
        <v>200</v>
      </c>
      <c r="N77" s="40">
        <v>1.8</v>
      </c>
      <c r="O77" s="40">
        <v>16.829999999999998</v>
      </c>
      <c r="P77" s="33" t="s">
        <v>1048</v>
      </c>
      <c r="Q77" s="44">
        <v>72</v>
      </c>
      <c r="R77" s="35">
        <v>24790</v>
      </c>
      <c r="S77" s="35">
        <v>1594</v>
      </c>
      <c r="T77" s="35">
        <v>1765</v>
      </c>
      <c r="U77" s="40">
        <v>13.49</v>
      </c>
      <c r="V77" s="41">
        <v>39.08</v>
      </c>
      <c r="W77" s="35">
        <v>8123</v>
      </c>
      <c r="X77" s="36">
        <v>530.9</v>
      </c>
      <c r="Y77" s="36">
        <v>805.8</v>
      </c>
      <c r="Z77" s="41">
        <v>7.72</v>
      </c>
      <c r="AA77" s="40">
        <v>62.47</v>
      </c>
      <c r="AB77" s="36">
        <v>122.1</v>
      </c>
      <c r="AC77" s="42">
        <v>1754</v>
      </c>
      <c r="AD77" s="21">
        <v>1</v>
      </c>
      <c r="AE77" s="21">
        <v>3</v>
      </c>
      <c r="AF77" s="43">
        <v>3</v>
      </c>
      <c r="AG77" s="21">
        <v>1</v>
      </c>
      <c r="AH77" s="21">
        <v>3</v>
      </c>
      <c r="AI77" s="42">
        <v>3</v>
      </c>
      <c r="AJ77" s="21" t="s">
        <v>661</v>
      </c>
    </row>
    <row r="78" spans="1:36" s="443" customFormat="1" ht="13.5" customHeight="1">
      <c r="A78" s="404" t="s">
        <v>1049</v>
      </c>
      <c r="B78" s="409">
        <v>117</v>
      </c>
      <c r="C78" s="398">
        <v>314</v>
      </c>
      <c r="D78" s="398">
        <v>307</v>
      </c>
      <c r="E78" s="406">
        <v>11.9</v>
      </c>
      <c r="F78" s="406">
        <v>18.7</v>
      </c>
      <c r="G78" s="398">
        <v>15</v>
      </c>
      <c r="H78" s="470">
        <v>149.69999999999999</v>
      </c>
      <c r="I78" s="398">
        <v>276.60000000000002</v>
      </c>
      <c r="J78" s="398">
        <v>246.6</v>
      </c>
      <c r="K78" s="398" t="s">
        <v>667</v>
      </c>
      <c r="L78" s="408">
        <v>106</v>
      </c>
      <c r="M78" s="409">
        <v>202</v>
      </c>
      <c r="N78" s="411">
        <v>1.81</v>
      </c>
      <c r="O78" s="411">
        <v>15.38</v>
      </c>
      <c r="P78" s="404" t="s">
        <v>1050</v>
      </c>
      <c r="Q78" s="409">
        <v>79</v>
      </c>
      <c r="R78" s="408">
        <v>27510</v>
      </c>
      <c r="S78" s="408">
        <v>1753</v>
      </c>
      <c r="T78" s="408">
        <v>1949</v>
      </c>
      <c r="U78" s="411">
        <v>13.56</v>
      </c>
      <c r="V78" s="407">
        <v>42.68</v>
      </c>
      <c r="W78" s="408">
        <v>9024</v>
      </c>
      <c r="X78" s="406">
        <v>587.9</v>
      </c>
      <c r="Y78" s="406">
        <v>892.8</v>
      </c>
      <c r="Z78" s="407">
        <v>7.76</v>
      </c>
      <c r="AA78" s="411">
        <v>66.87</v>
      </c>
      <c r="AB78" s="406">
        <v>161.1</v>
      </c>
      <c r="AC78" s="400">
        <v>1966</v>
      </c>
      <c r="AD78" s="398">
        <v>1</v>
      </c>
      <c r="AE78" s="398">
        <v>2</v>
      </c>
      <c r="AF78" s="399">
        <v>3</v>
      </c>
      <c r="AG78" s="398">
        <v>1</v>
      </c>
      <c r="AH78" s="398">
        <v>2</v>
      </c>
      <c r="AI78" s="400">
        <v>3</v>
      </c>
      <c r="AJ78" s="398" t="s">
        <v>661</v>
      </c>
    </row>
    <row r="79" spans="1:36" s="46" customFormat="1" ht="13.5" customHeight="1">
      <c r="A79" s="33" t="s">
        <v>1051</v>
      </c>
      <c r="B79" s="44">
        <v>129</v>
      </c>
      <c r="C79" s="21">
        <v>318</v>
      </c>
      <c r="D79" s="21">
        <v>308</v>
      </c>
      <c r="E79" s="36">
        <v>13.1</v>
      </c>
      <c r="F79" s="36">
        <v>20.6</v>
      </c>
      <c r="G79" s="21">
        <v>15</v>
      </c>
      <c r="H79" s="47">
        <v>165.1</v>
      </c>
      <c r="I79" s="21">
        <v>276.8</v>
      </c>
      <c r="J79" s="21">
        <v>246.8</v>
      </c>
      <c r="K79" s="21" t="s">
        <v>667</v>
      </c>
      <c r="L79" s="35">
        <v>106</v>
      </c>
      <c r="M79" s="38">
        <v>202</v>
      </c>
      <c r="N79" s="40">
        <v>1.82</v>
      </c>
      <c r="O79" s="40">
        <v>14.01</v>
      </c>
      <c r="P79" s="33" t="s">
        <v>1052</v>
      </c>
      <c r="Q79" s="44">
        <v>87</v>
      </c>
      <c r="R79" s="35">
        <v>30770</v>
      </c>
      <c r="S79" s="35">
        <v>1935</v>
      </c>
      <c r="T79" s="35">
        <v>2164</v>
      </c>
      <c r="U79" s="40">
        <v>13.65</v>
      </c>
      <c r="V79" s="41">
        <v>47.07</v>
      </c>
      <c r="W79" s="35">
        <v>10040</v>
      </c>
      <c r="X79" s="36">
        <v>651.9</v>
      </c>
      <c r="Y79" s="36">
        <v>990.9</v>
      </c>
      <c r="Z79" s="41">
        <v>7.8</v>
      </c>
      <c r="AA79" s="40">
        <v>71.87</v>
      </c>
      <c r="AB79" s="36">
        <v>214.5</v>
      </c>
      <c r="AC79" s="42">
        <v>2218</v>
      </c>
      <c r="AD79" s="21">
        <v>1</v>
      </c>
      <c r="AE79" s="21">
        <v>1</v>
      </c>
      <c r="AF79" s="43">
        <v>2</v>
      </c>
      <c r="AG79" s="21">
        <v>1</v>
      </c>
      <c r="AH79" s="21">
        <v>1</v>
      </c>
      <c r="AI79" s="42">
        <v>2</v>
      </c>
      <c r="AJ79" s="21" t="s">
        <v>661</v>
      </c>
    </row>
    <row r="80" spans="1:36" s="443" customFormat="1" ht="13.5" customHeight="1">
      <c r="A80" s="404" t="s">
        <v>1053</v>
      </c>
      <c r="B80" s="409">
        <v>143</v>
      </c>
      <c r="C80" s="398">
        <v>323</v>
      </c>
      <c r="D80" s="398">
        <v>309</v>
      </c>
      <c r="E80" s="406">
        <v>14</v>
      </c>
      <c r="F80" s="406">
        <v>22.9</v>
      </c>
      <c r="G80" s="398">
        <v>15</v>
      </c>
      <c r="H80" s="470">
        <v>182.3</v>
      </c>
      <c r="I80" s="398">
        <v>277.2</v>
      </c>
      <c r="J80" s="398">
        <v>247.2</v>
      </c>
      <c r="K80" s="398" t="s">
        <v>667</v>
      </c>
      <c r="L80" s="408">
        <v>108</v>
      </c>
      <c r="M80" s="409">
        <v>204</v>
      </c>
      <c r="N80" s="411">
        <v>1.83</v>
      </c>
      <c r="O80" s="411">
        <v>12.78</v>
      </c>
      <c r="P80" s="404" t="s">
        <v>1054</v>
      </c>
      <c r="Q80" s="409">
        <v>96</v>
      </c>
      <c r="R80" s="408">
        <v>34760</v>
      </c>
      <c r="S80" s="408">
        <v>2153</v>
      </c>
      <c r="T80" s="408">
        <v>2419</v>
      </c>
      <c r="U80" s="411">
        <v>13.81</v>
      </c>
      <c r="V80" s="407">
        <v>50.82</v>
      </c>
      <c r="W80" s="408">
        <v>11270</v>
      </c>
      <c r="X80" s="406">
        <v>729.4</v>
      </c>
      <c r="Y80" s="408">
        <v>1109</v>
      </c>
      <c r="Z80" s="407">
        <v>7.86</v>
      </c>
      <c r="AA80" s="411">
        <v>77.37</v>
      </c>
      <c r="AB80" s="406">
        <v>288.3</v>
      </c>
      <c r="AC80" s="400">
        <v>2535</v>
      </c>
      <c r="AD80" s="398">
        <v>1</v>
      </c>
      <c r="AE80" s="398">
        <v>1</v>
      </c>
      <c r="AF80" s="399">
        <v>1</v>
      </c>
      <c r="AG80" s="398">
        <v>1</v>
      </c>
      <c r="AH80" s="398">
        <v>1</v>
      </c>
      <c r="AI80" s="400">
        <v>1</v>
      </c>
      <c r="AJ80" s="398" t="s">
        <v>661</v>
      </c>
    </row>
    <row r="81" spans="1:36" s="46" customFormat="1" ht="13.5" customHeight="1">
      <c r="A81" s="33" t="s">
        <v>1055</v>
      </c>
      <c r="B81" s="44">
        <v>158</v>
      </c>
      <c r="C81" s="21">
        <v>327</v>
      </c>
      <c r="D81" s="21">
        <v>310</v>
      </c>
      <c r="E81" s="36">
        <v>15.5</v>
      </c>
      <c r="F81" s="36">
        <v>25.1</v>
      </c>
      <c r="G81" s="21">
        <v>15</v>
      </c>
      <c r="H81" s="47">
        <v>200.5</v>
      </c>
      <c r="I81" s="21">
        <v>276.8</v>
      </c>
      <c r="J81" s="21">
        <v>246.8</v>
      </c>
      <c r="K81" s="21" t="s">
        <v>667</v>
      </c>
      <c r="L81" s="35">
        <v>108</v>
      </c>
      <c r="M81" s="38">
        <v>204</v>
      </c>
      <c r="N81" s="40">
        <v>1.84</v>
      </c>
      <c r="O81" s="40">
        <v>11.68</v>
      </c>
      <c r="P81" s="33" t="s">
        <v>1056</v>
      </c>
      <c r="Q81" s="44">
        <v>106</v>
      </c>
      <c r="R81" s="35">
        <v>38630</v>
      </c>
      <c r="S81" s="35">
        <v>2363</v>
      </c>
      <c r="T81" s="35">
        <v>2672</v>
      </c>
      <c r="U81" s="40">
        <v>13.88</v>
      </c>
      <c r="V81" s="41">
        <v>56.26</v>
      </c>
      <c r="W81" s="35">
        <v>12470</v>
      </c>
      <c r="X81" s="36">
        <v>804.8</v>
      </c>
      <c r="Y81" s="35">
        <v>1225</v>
      </c>
      <c r="Z81" s="41">
        <v>7.89</v>
      </c>
      <c r="AA81" s="40">
        <v>83.27</v>
      </c>
      <c r="AB81" s="36">
        <v>380.3</v>
      </c>
      <c r="AC81" s="42">
        <v>2840</v>
      </c>
      <c r="AD81" s="21">
        <v>1</v>
      </c>
      <c r="AE81" s="21">
        <v>1</v>
      </c>
      <c r="AF81" s="43">
        <v>1</v>
      </c>
      <c r="AG81" s="21">
        <v>1</v>
      </c>
      <c r="AH81" s="21">
        <v>1</v>
      </c>
      <c r="AI81" s="42">
        <v>1</v>
      </c>
      <c r="AJ81" s="21" t="s">
        <v>661</v>
      </c>
    </row>
    <row r="82" spans="1:36" s="443" customFormat="1" ht="13.5" customHeight="1">
      <c r="A82" s="404" t="s">
        <v>1057</v>
      </c>
      <c r="B82" s="409">
        <v>179</v>
      </c>
      <c r="C82" s="398">
        <v>333</v>
      </c>
      <c r="D82" s="398">
        <v>313</v>
      </c>
      <c r="E82" s="406">
        <v>18</v>
      </c>
      <c r="F82" s="406">
        <v>28.1</v>
      </c>
      <c r="G82" s="398">
        <v>15</v>
      </c>
      <c r="H82" s="470">
        <v>227.7</v>
      </c>
      <c r="I82" s="398">
        <v>276.8</v>
      </c>
      <c r="J82" s="398">
        <v>246.8</v>
      </c>
      <c r="K82" s="398" t="s">
        <v>667</v>
      </c>
      <c r="L82" s="408">
        <v>112</v>
      </c>
      <c r="M82" s="409">
        <v>208</v>
      </c>
      <c r="N82" s="411">
        <v>1.86</v>
      </c>
      <c r="O82" s="411">
        <v>10.39</v>
      </c>
      <c r="P82" s="404" t="s">
        <v>1058</v>
      </c>
      <c r="Q82" s="409">
        <v>120</v>
      </c>
      <c r="R82" s="408">
        <v>44530</v>
      </c>
      <c r="S82" s="408">
        <v>2675</v>
      </c>
      <c r="T82" s="408">
        <v>3053</v>
      </c>
      <c r="U82" s="411">
        <v>13.99</v>
      </c>
      <c r="V82" s="407">
        <v>65.239999999999995</v>
      </c>
      <c r="W82" s="408">
        <v>14380</v>
      </c>
      <c r="X82" s="406">
        <v>918.7</v>
      </c>
      <c r="Y82" s="408">
        <v>1401</v>
      </c>
      <c r="Z82" s="407">
        <v>7.95</v>
      </c>
      <c r="AA82" s="411">
        <v>91.77</v>
      </c>
      <c r="AB82" s="406">
        <v>543.70000000000005</v>
      </c>
      <c r="AC82" s="400">
        <v>3338</v>
      </c>
      <c r="AD82" s="398">
        <v>1</v>
      </c>
      <c r="AE82" s="398">
        <v>1</v>
      </c>
      <c r="AF82" s="399">
        <v>1</v>
      </c>
      <c r="AG82" s="398">
        <v>1</v>
      </c>
      <c r="AH82" s="398">
        <v>1</v>
      </c>
      <c r="AI82" s="400">
        <v>1</v>
      </c>
      <c r="AJ82" s="398" t="s">
        <v>661</v>
      </c>
    </row>
    <row r="83" spans="1:36" s="46" customFormat="1" ht="13.5" customHeight="1">
      <c r="A83" s="33" t="s">
        <v>1059</v>
      </c>
      <c r="B83" s="44">
        <v>202</v>
      </c>
      <c r="C83" s="21">
        <v>341</v>
      </c>
      <c r="D83" s="21">
        <v>315</v>
      </c>
      <c r="E83" s="36">
        <v>20.100000000000001</v>
      </c>
      <c r="F83" s="36">
        <v>31.8</v>
      </c>
      <c r="G83" s="21">
        <v>15</v>
      </c>
      <c r="H83" s="47">
        <v>258</v>
      </c>
      <c r="I83" s="21">
        <v>277.39999999999998</v>
      </c>
      <c r="J83" s="21">
        <v>247.4</v>
      </c>
      <c r="K83" s="21" t="s">
        <v>667</v>
      </c>
      <c r="L83" s="35">
        <v>114</v>
      </c>
      <c r="M83" s="38">
        <v>210</v>
      </c>
      <c r="N83" s="40">
        <v>1.88</v>
      </c>
      <c r="O83" s="40">
        <v>9.26</v>
      </c>
      <c r="P83" s="33" t="s">
        <v>1060</v>
      </c>
      <c r="Q83" s="44">
        <v>136</v>
      </c>
      <c r="R83" s="35">
        <v>51982</v>
      </c>
      <c r="S83" s="35">
        <v>3049</v>
      </c>
      <c r="T83" s="35">
        <v>3510</v>
      </c>
      <c r="U83" s="40">
        <v>14.19</v>
      </c>
      <c r="V83" s="41">
        <v>73.62</v>
      </c>
      <c r="W83" s="35">
        <v>16588</v>
      </c>
      <c r="X83" s="35">
        <v>1053</v>
      </c>
      <c r="Y83" s="35">
        <v>1608</v>
      </c>
      <c r="Z83" s="41">
        <v>8.02</v>
      </c>
      <c r="AA83" s="36">
        <v>101.3</v>
      </c>
      <c r="AB83" s="36">
        <v>782.7</v>
      </c>
      <c r="AC83" s="42">
        <v>3959</v>
      </c>
      <c r="AD83" s="21">
        <v>1</v>
      </c>
      <c r="AE83" s="21">
        <v>1</v>
      </c>
      <c r="AF83" s="43">
        <v>1</v>
      </c>
      <c r="AG83" s="21">
        <v>1</v>
      </c>
      <c r="AH83" s="21">
        <v>1</v>
      </c>
      <c r="AI83" s="42">
        <v>1</v>
      </c>
      <c r="AJ83" s="21" t="s">
        <v>661</v>
      </c>
    </row>
    <row r="84" spans="1:36" s="443" customFormat="1" ht="13.5" customHeight="1">
      <c r="A84" s="404" t="s">
        <v>1061</v>
      </c>
      <c r="B84" s="409">
        <v>226</v>
      </c>
      <c r="C84" s="398">
        <v>348</v>
      </c>
      <c r="D84" s="398">
        <v>317</v>
      </c>
      <c r="E84" s="406">
        <v>22.1</v>
      </c>
      <c r="F84" s="406">
        <v>35.6</v>
      </c>
      <c r="G84" s="398">
        <v>15</v>
      </c>
      <c r="H84" s="470">
        <v>288.8</v>
      </c>
      <c r="I84" s="398">
        <v>276.8</v>
      </c>
      <c r="J84" s="398">
        <v>246.8</v>
      </c>
      <c r="K84" s="398" t="s">
        <v>667</v>
      </c>
      <c r="L84" s="408">
        <v>116</v>
      </c>
      <c r="M84" s="409">
        <v>212</v>
      </c>
      <c r="N84" s="411">
        <v>1.89</v>
      </c>
      <c r="O84" s="411">
        <v>8.35</v>
      </c>
      <c r="P84" s="404" t="s">
        <v>1062</v>
      </c>
      <c r="Q84" s="409">
        <v>152</v>
      </c>
      <c r="R84" s="408">
        <v>59560</v>
      </c>
      <c r="S84" s="408">
        <v>3423</v>
      </c>
      <c r="T84" s="408">
        <v>3975</v>
      </c>
      <c r="U84" s="411">
        <v>14.36</v>
      </c>
      <c r="V84" s="407">
        <v>81.650000000000006</v>
      </c>
      <c r="W84" s="408">
        <v>18930</v>
      </c>
      <c r="X84" s="408">
        <v>1194</v>
      </c>
      <c r="Y84" s="408">
        <v>1825</v>
      </c>
      <c r="Z84" s="407">
        <v>8.1</v>
      </c>
      <c r="AA84" s="406">
        <v>110.9</v>
      </c>
      <c r="AB84" s="408">
        <v>1089</v>
      </c>
      <c r="AC84" s="400">
        <v>4611</v>
      </c>
      <c r="AD84" s="398">
        <v>1</v>
      </c>
      <c r="AE84" s="398">
        <v>1</v>
      </c>
      <c r="AF84" s="399">
        <v>1</v>
      </c>
      <c r="AG84" s="398">
        <v>1</v>
      </c>
      <c r="AH84" s="398">
        <v>1</v>
      </c>
      <c r="AI84" s="400">
        <v>1</v>
      </c>
      <c r="AJ84" s="398" t="s">
        <v>661</v>
      </c>
    </row>
    <row r="85" spans="1:36" s="46" customFormat="1" ht="13.5" customHeight="1">
      <c r="A85" s="33" t="s">
        <v>1063</v>
      </c>
      <c r="B85" s="44">
        <v>253</v>
      </c>
      <c r="C85" s="21">
        <v>356</v>
      </c>
      <c r="D85" s="21">
        <v>319</v>
      </c>
      <c r="E85" s="36">
        <v>24.4</v>
      </c>
      <c r="F85" s="36">
        <v>39.6</v>
      </c>
      <c r="G85" s="21">
        <v>15</v>
      </c>
      <c r="H85" s="47">
        <v>322.10000000000002</v>
      </c>
      <c r="I85" s="21">
        <v>276.8</v>
      </c>
      <c r="J85" s="21">
        <v>246.8</v>
      </c>
      <c r="K85" s="21" t="s">
        <v>667</v>
      </c>
      <c r="L85" s="35">
        <v>118</v>
      </c>
      <c r="M85" s="38">
        <v>214</v>
      </c>
      <c r="N85" s="40">
        <v>1.91</v>
      </c>
      <c r="O85" s="40">
        <v>7.57</v>
      </c>
      <c r="P85" s="33" t="s">
        <v>1064</v>
      </c>
      <c r="Q85" s="44">
        <v>170</v>
      </c>
      <c r="R85" s="35">
        <v>68230</v>
      </c>
      <c r="S85" s="35">
        <v>3833</v>
      </c>
      <c r="T85" s="35">
        <v>4490</v>
      </c>
      <c r="U85" s="40">
        <v>14.55</v>
      </c>
      <c r="V85" s="41">
        <v>91.01</v>
      </c>
      <c r="W85" s="35">
        <v>21460</v>
      </c>
      <c r="X85" s="35">
        <v>1346</v>
      </c>
      <c r="Y85" s="35">
        <v>2059</v>
      </c>
      <c r="Z85" s="41">
        <v>8.16</v>
      </c>
      <c r="AA85" s="36">
        <v>121.2</v>
      </c>
      <c r="AB85" s="35">
        <v>1495</v>
      </c>
      <c r="AC85" s="42">
        <v>5362</v>
      </c>
      <c r="AD85" s="21">
        <v>1</v>
      </c>
      <c r="AE85" s="21">
        <v>1</v>
      </c>
      <c r="AF85" s="43">
        <v>1</v>
      </c>
      <c r="AG85" s="21">
        <v>1</v>
      </c>
      <c r="AH85" s="21">
        <v>1</v>
      </c>
      <c r="AI85" s="42">
        <v>1</v>
      </c>
      <c r="AJ85" s="21" t="s">
        <v>661</v>
      </c>
    </row>
    <row r="86" spans="1:36" s="443" customFormat="1" ht="13.5" customHeight="1">
      <c r="A86" s="404" t="s">
        <v>1065</v>
      </c>
      <c r="B86" s="409">
        <v>283</v>
      </c>
      <c r="C86" s="398">
        <v>365</v>
      </c>
      <c r="D86" s="398">
        <v>322</v>
      </c>
      <c r="E86" s="406">
        <v>26.9</v>
      </c>
      <c r="F86" s="406">
        <v>44.1</v>
      </c>
      <c r="G86" s="398">
        <v>15</v>
      </c>
      <c r="H86" s="470">
        <v>360.4</v>
      </c>
      <c r="I86" s="398">
        <v>276.8</v>
      </c>
      <c r="J86" s="398">
        <v>246.8</v>
      </c>
      <c r="K86" s="398" t="s">
        <v>667</v>
      </c>
      <c r="L86" s="408">
        <v>120</v>
      </c>
      <c r="M86" s="409">
        <v>216</v>
      </c>
      <c r="N86" s="411">
        <v>1.94</v>
      </c>
      <c r="O86" s="411">
        <v>6.85</v>
      </c>
      <c r="P86" s="404" t="s">
        <v>1066</v>
      </c>
      <c r="Q86" s="409">
        <v>190</v>
      </c>
      <c r="R86" s="408">
        <v>78680</v>
      </c>
      <c r="S86" s="408">
        <v>4311</v>
      </c>
      <c r="T86" s="408">
        <v>5098</v>
      </c>
      <c r="U86" s="411">
        <v>14.78</v>
      </c>
      <c r="V86" s="407">
        <v>101.5</v>
      </c>
      <c r="W86" s="408">
        <v>24590</v>
      </c>
      <c r="X86" s="408">
        <v>1527</v>
      </c>
      <c r="Y86" s="408">
        <v>2340</v>
      </c>
      <c r="Z86" s="407">
        <v>8.26</v>
      </c>
      <c r="AA86" s="406">
        <v>132.69999999999999</v>
      </c>
      <c r="AB86" s="408">
        <v>2062</v>
      </c>
      <c r="AC86" s="400">
        <v>6317</v>
      </c>
      <c r="AD86" s="398">
        <v>1</v>
      </c>
      <c r="AE86" s="398">
        <v>1</v>
      </c>
      <c r="AF86" s="399">
        <v>1</v>
      </c>
      <c r="AG86" s="398">
        <v>1</v>
      </c>
      <c r="AH86" s="398">
        <v>1</v>
      </c>
      <c r="AI86" s="400">
        <v>1</v>
      </c>
      <c r="AJ86" s="398" t="s">
        <v>661</v>
      </c>
    </row>
    <row r="87" spans="1:36" s="46" customFormat="1" ht="13.5" customHeight="1">
      <c r="A87" s="33" t="s">
        <v>1067</v>
      </c>
      <c r="B87" s="44">
        <v>313</v>
      </c>
      <c r="C87" s="21">
        <v>374</v>
      </c>
      <c r="D87" s="21">
        <v>325</v>
      </c>
      <c r="E87" s="36">
        <v>30</v>
      </c>
      <c r="F87" s="36">
        <v>48.3</v>
      </c>
      <c r="G87" s="21">
        <v>15</v>
      </c>
      <c r="H87" s="47">
        <v>399.1</v>
      </c>
      <c r="I87" s="21">
        <v>277.39999999999998</v>
      </c>
      <c r="J87" s="21">
        <v>247.4</v>
      </c>
      <c r="K87" s="21" t="s">
        <v>667</v>
      </c>
      <c r="L87" s="35">
        <v>124</v>
      </c>
      <c r="M87" s="38">
        <v>220</v>
      </c>
      <c r="N87" s="40">
        <v>1.96</v>
      </c>
      <c r="O87" s="40">
        <v>6.26</v>
      </c>
      <c r="P87" s="33" t="s">
        <v>1068</v>
      </c>
      <c r="Q87" s="44">
        <v>210</v>
      </c>
      <c r="R87" s="35">
        <v>89560</v>
      </c>
      <c r="S87" s="35">
        <v>4789</v>
      </c>
      <c r="T87" s="35">
        <v>5716</v>
      </c>
      <c r="U87" s="40">
        <v>14.98</v>
      </c>
      <c r="V87" s="41">
        <v>114.1</v>
      </c>
      <c r="W87" s="35">
        <v>27700</v>
      </c>
      <c r="X87" s="35">
        <v>1705</v>
      </c>
      <c r="Y87" s="35">
        <v>2617</v>
      </c>
      <c r="Z87" s="41">
        <v>8.33</v>
      </c>
      <c r="AA87" s="36">
        <v>144.19999999999999</v>
      </c>
      <c r="AB87" s="35">
        <v>2742</v>
      </c>
      <c r="AC87" s="42">
        <v>7329</v>
      </c>
      <c r="AD87" s="21">
        <v>1</v>
      </c>
      <c r="AE87" s="21">
        <v>1</v>
      </c>
      <c r="AF87" s="43">
        <v>1</v>
      </c>
      <c r="AG87" s="21">
        <v>1</v>
      </c>
      <c r="AH87" s="21">
        <v>1</v>
      </c>
      <c r="AI87" s="42">
        <v>1</v>
      </c>
      <c r="AJ87" s="21" t="s">
        <v>661</v>
      </c>
    </row>
    <row r="88" spans="1:36" s="443" customFormat="1" ht="13.5" customHeight="1">
      <c r="A88" s="404" t="s">
        <v>1069</v>
      </c>
      <c r="B88" s="409">
        <v>342</v>
      </c>
      <c r="C88" s="398">
        <v>382</v>
      </c>
      <c r="D88" s="398">
        <v>328</v>
      </c>
      <c r="E88" s="406">
        <v>32.6</v>
      </c>
      <c r="F88" s="406">
        <v>52.6</v>
      </c>
      <c r="G88" s="398">
        <v>15</v>
      </c>
      <c r="H88" s="470">
        <v>437.2</v>
      </c>
      <c r="I88" s="398">
        <v>276.8</v>
      </c>
      <c r="J88" s="398">
        <v>246.8</v>
      </c>
      <c r="K88" s="398" t="s">
        <v>667</v>
      </c>
      <c r="L88" s="408">
        <v>126</v>
      </c>
      <c r="M88" s="409">
        <v>222</v>
      </c>
      <c r="N88" s="411">
        <v>1.99</v>
      </c>
      <c r="O88" s="411">
        <v>5.78</v>
      </c>
      <c r="P88" s="404" t="s">
        <v>1070</v>
      </c>
      <c r="Q88" s="409">
        <v>230</v>
      </c>
      <c r="R88" s="408">
        <v>100510</v>
      </c>
      <c r="S88" s="408">
        <v>5262</v>
      </c>
      <c r="T88" s="408">
        <v>6334</v>
      </c>
      <c r="U88" s="411">
        <v>15.16</v>
      </c>
      <c r="V88" s="407">
        <v>125.1</v>
      </c>
      <c r="W88" s="408">
        <v>31020</v>
      </c>
      <c r="X88" s="408">
        <v>1892</v>
      </c>
      <c r="Y88" s="408">
        <v>2907</v>
      </c>
      <c r="Z88" s="407">
        <v>8.42</v>
      </c>
      <c r="AA88" s="406">
        <v>155.4</v>
      </c>
      <c r="AB88" s="408">
        <v>3552</v>
      </c>
      <c r="AC88" s="400">
        <v>8392</v>
      </c>
      <c r="AD88" s="398">
        <v>1</v>
      </c>
      <c r="AE88" s="398">
        <v>1</v>
      </c>
      <c r="AF88" s="399">
        <v>1</v>
      </c>
      <c r="AG88" s="398">
        <v>1</v>
      </c>
      <c r="AH88" s="398">
        <v>1</v>
      </c>
      <c r="AI88" s="400">
        <v>1</v>
      </c>
      <c r="AJ88" s="398" t="s">
        <v>661</v>
      </c>
    </row>
    <row r="89" spans="1:36" s="46" customFormat="1" ht="13.5" customHeight="1">
      <c r="A89" s="33"/>
      <c r="B89" s="44"/>
      <c r="C89" s="21"/>
      <c r="D89" s="21"/>
      <c r="E89" s="36"/>
      <c r="F89" s="36"/>
      <c r="G89" s="21"/>
      <c r="H89" s="47"/>
      <c r="I89" s="21"/>
      <c r="J89" s="21"/>
      <c r="K89" s="21"/>
      <c r="L89" s="35"/>
      <c r="M89" s="38"/>
      <c r="N89" s="40"/>
      <c r="O89" s="40"/>
      <c r="P89" s="33"/>
      <c r="Q89" s="44"/>
      <c r="R89" s="35"/>
      <c r="S89" s="35"/>
      <c r="T89" s="35"/>
      <c r="U89" s="40"/>
      <c r="V89" s="41"/>
      <c r="W89" s="35"/>
      <c r="X89" s="36"/>
      <c r="Y89" s="36"/>
      <c r="Z89" s="41"/>
      <c r="AA89" s="40"/>
      <c r="AB89" s="21"/>
      <c r="AC89" s="42"/>
      <c r="AD89" s="21"/>
      <c r="AE89" s="21"/>
      <c r="AF89" s="43"/>
      <c r="AG89" s="21"/>
      <c r="AH89" s="21"/>
      <c r="AI89" s="42"/>
      <c r="AJ89" s="21"/>
    </row>
    <row r="90" spans="1:36" s="443" customFormat="1" ht="13.5" customHeight="1">
      <c r="A90" s="404" t="s">
        <v>1071</v>
      </c>
      <c r="B90" s="405">
        <v>32.9</v>
      </c>
      <c r="C90" s="398">
        <v>349</v>
      </c>
      <c r="D90" s="398">
        <v>127</v>
      </c>
      <c r="E90" s="406">
        <v>5.8</v>
      </c>
      <c r="F90" s="406">
        <v>8.5</v>
      </c>
      <c r="G90" s="398">
        <v>10</v>
      </c>
      <c r="H90" s="468">
        <v>41.7</v>
      </c>
      <c r="I90" s="398">
        <v>332</v>
      </c>
      <c r="J90" s="398">
        <v>312</v>
      </c>
      <c r="K90" s="398" t="s">
        <v>632</v>
      </c>
      <c r="L90" s="408">
        <v>62</v>
      </c>
      <c r="M90" s="409">
        <v>70</v>
      </c>
      <c r="N90" s="411">
        <v>1.18</v>
      </c>
      <c r="O90" s="411">
        <v>35.96</v>
      </c>
      <c r="P90" s="404" t="s">
        <v>1072</v>
      </c>
      <c r="Q90" s="409">
        <v>22</v>
      </c>
      <c r="R90" s="408">
        <v>8258</v>
      </c>
      <c r="S90" s="406">
        <v>473.2</v>
      </c>
      <c r="T90" s="406">
        <v>541.5</v>
      </c>
      <c r="U90" s="411">
        <v>14.07</v>
      </c>
      <c r="V90" s="407">
        <v>22.31</v>
      </c>
      <c r="W90" s="406">
        <v>291</v>
      </c>
      <c r="X90" s="411">
        <v>45.82</v>
      </c>
      <c r="Y90" s="406">
        <v>71.8</v>
      </c>
      <c r="Z90" s="407">
        <v>2.64</v>
      </c>
      <c r="AA90" s="411">
        <v>34.520000000000003</v>
      </c>
      <c r="AB90" s="411">
        <v>8.65</v>
      </c>
      <c r="AC90" s="400">
        <v>84.11</v>
      </c>
      <c r="AD90" s="398">
        <v>1</v>
      </c>
      <c r="AE90" s="398">
        <v>1</v>
      </c>
      <c r="AF90" s="399" t="s">
        <v>616</v>
      </c>
      <c r="AG90" s="398">
        <v>4</v>
      </c>
      <c r="AH90" s="398">
        <v>4</v>
      </c>
      <c r="AI90" s="400" t="s">
        <v>616</v>
      </c>
      <c r="AJ90" s="398"/>
    </row>
    <row r="91" spans="1:36" s="46" customFormat="1" ht="13.5" customHeight="1">
      <c r="A91" s="33" t="s">
        <v>1073</v>
      </c>
      <c r="B91" s="34">
        <v>39</v>
      </c>
      <c r="C91" s="21">
        <v>353</v>
      </c>
      <c r="D91" s="21">
        <v>128</v>
      </c>
      <c r="E91" s="36">
        <v>6.5</v>
      </c>
      <c r="F91" s="36">
        <v>10.7</v>
      </c>
      <c r="G91" s="21">
        <v>10</v>
      </c>
      <c r="H91" s="37">
        <v>49.8</v>
      </c>
      <c r="I91" s="21">
        <v>331.6</v>
      </c>
      <c r="J91" s="21">
        <v>311.60000000000002</v>
      </c>
      <c r="K91" s="21" t="s">
        <v>632</v>
      </c>
      <c r="L91" s="35">
        <v>64</v>
      </c>
      <c r="M91" s="38">
        <v>70</v>
      </c>
      <c r="N91" s="40">
        <v>1.19</v>
      </c>
      <c r="O91" s="40">
        <v>30.38</v>
      </c>
      <c r="P91" s="33" t="s">
        <v>1074</v>
      </c>
      <c r="Q91" s="44">
        <v>26</v>
      </c>
      <c r="R91" s="35">
        <v>10231</v>
      </c>
      <c r="S91" s="36">
        <v>579.70000000000005</v>
      </c>
      <c r="T91" s="36">
        <v>661.5</v>
      </c>
      <c r="U91" s="40">
        <v>14.33</v>
      </c>
      <c r="V91" s="41">
        <v>25.25</v>
      </c>
      <c r="W91" s="36">
        <v>375</v>
      </c>
      <c r="X91" s="40">
        <v>58.6</v>
      </c>
      <c r="Y91" s="36">
        <v>91.6</v>
      </c>
      <c r="Z91" s="41">
        <v>2.74</v>
      </c>
      <c r="AA91" s="40">
        <v>39.619999999999997</v>
      </c>
      <c r="AB91" s="40">
        <v>15.04</v>
      </c>
      <c r="AC91" s="42">
        <v>109.6</v>
      </c>
      <c r="AD91" s="21">
        <v>1</v>
      </c>
      <c r="AE91" s="21">
        <v>1</v>
      </c>
      <c r="AF91" s="43" t="s">
        <v>616</v>
      </c>
      <c r="AG91" s="21">
        <v>4</v>
      </c>
      <c r="AH91" s="21">
        <v>4</v>
      </c>
      <c r="AI91" s="42" t="s">
        <v>616</v>
      </c>
      <c r="AJ91" s="21"/>
    </row>
    <row r="92" spans="1:36" s="46" customFormat="1" ht="13.5" customHeight="1">
      <c r="A92" s="33"/>
      <c r="B92" s="34"/>
      <c r="C92" s="21"/>
      <c r="D92" s="21"/>
      <c r="E92" s="36"/>
      <c r="F92" s="36"/>
      <c r="G92" s="21"/>
      <c r="H92" s="37"/>
      <c r="I92" s="21"/>
      <c r="J92" s="21"/>
      <c r="K92" s="21"/>
      <c r="L92" s="35"/>
      <c r="M92" s="38"/>
      <c r="N92" s="40"/>
      <c r="O92" s="40"/>
      <c r="P92" s="33"/>
      <c r="Q92" s="44"/>
      <c r="R92" s="35"/>
      <c r="S92" s="36"/>
      <c r="T92" s="36"/>
      <c r="U92" s="40"/>
      <c r="V92" s="41"/>
      <c r="W92" s="36"/>
      <c r="X92" s="40"/>
      <c r="Y92" s="36"/>
      <c r="Z92" s="41"/>
      <c r="AA92" s="40"/>
      <c r="AB92" s="40"/>
      <c r="AC92" s="42"/>
      <c r="AD92" s="21"/>
      <c r="AE92" s="21"/>
      <c r="AF92" s="43"/>
      <c r="AG92" s="21"/>
      <c r="AH92" s="21"/>
      <c r="AI92" s="42"/>
      <c r="AJ92" s="21"/>
    </row>
    <row r="93" spans="1:36" s="443" customFormat="1" ht="13.5" customHeight="1">
      <c r="A93" s="404" t="s">
        <v>1075</v>
      </c>
      <c r="B93" s="405">
        <v>44</v>
      </c>
      <c r="C93" s="398">
        <v>352</v>
      </c>
      <c r="D93" s="398">
        <v>171</v>
      </c>
      <c r="E93" s="406">
        <v>6.9</v>
      </c>
      <c r="F93" s="406">
        <v>9.8000000000000007</v>
      </c>
      <c r="G93" s="398">
        <v>10</v>
      </c>
      <c r="H93" s="468">
        <v>57.18</v>
      </c>
      <c r="I93" s="398">
        <v>332.4</v>
      </c>
      <c r="J93" s="398">
        <v>312.39999999999998</v>
      </c>
      <c r="K93" s="398" t="s">
        <v>649</v>
      </c>
      <c r="L93" s="408">
        <v>82</v>
      </c>
      <c r="M93" s="409">
        <v>84</v>
      </c>
      <c r="N93" s="411">
        <v>1.36</v>
      </c>
      <c r="O93" s="411">
        <v>30.24</v>
      </c>
      <c r="P93" s="404" t="s">
        <v>1076</v>
      </c>
      <c r="Q93" s="409">
        <v>30</v>
      </c>
      <c r="R93" s="408">
        <v>12140</v>
      </c>
      <c r="S93" s="406">
        <v>690.1</v>
      </c>
      <c r="T93" s="406">
        <v>777</v>
      </c>
      <c r="U93" s="411">
        <v>14.57</v>
      </c>
      <c r="V93" s="407">
        <v>26.29</v>
      </c>
      <c r="W93" s="406">
        <v>817.9</v>
      </c>
      <c r="X93" s="411">
        <v>95.66</v>
      </c>
      <c r="Y93" s="406">
        <v>147.69999999999999</v>
      </c>
      <c r="Z93" s="407">
        <v>3.78</v>
      </c>
      <c r="AA93" s="411">
        <v>38.18</v>
      </c>
      <c r="AB93" s="411">
        <v>16.100000000000001</v>
      </c>
      <c r="AC93" s="400">
        <v>239.1</v>
      </c>
      <c r="AD93" s="398">
        <v>1</v>
      </c>
      <c r="AE93" s="398">
        <v>2</v>
      </c>
      <c r="AF93" s="399" t="s">
        <v>616</v>
      </c>
      <c r="AG93" s="398">
        <v>4</v>
      </c>
      <c r="AH93" s="398">
        <v>4</v>
      </c>
      <c r="AI93" s="400" t="s">
        <v>616</v>
      </c>
      <c r="AJ93" s="398"/>
    </row>
    <row r="94" spans="1:36" s="46" customFormat="1" ht="13.5" customHeight="1">
      <c r="A94" s="33" t="s">
        <v>1077</v>
      </c>
      <c r="B94" s="34">
        <v>51</v>
      </c>
      <c r="C94" s="21">
        <v>355</v>
      </c>
      <c r="D94" s="21">
        <v>171</v>
      </c>
      <c r="E94" s="36">
        <v>7.2</v>
      </c>
      <c r="F94" s="36">
        <v>11.6</v>
      </c>
      <c r="G94" s="21">
        <v>10</v>
      </c>
      <c r="H94" s="37">
        <v>64.55</v>
      </c>
      <c r="I94" s="21">
        <v>331.8</v>
      </c>
      <c r="J94" s="21">
        <v>311.8</v>
      </c>
      <c r="K94" s="21" t="s">
        <v>649</v>
      </c>
      <c r="L94" s="35">
        <v>84</v>
      </c>
      <c r="M94" s="38">
        <v>84</v>
      </c>
      <c r="N94" s="40">
        <v>1.36</v>
      </c>
      <c r="O94" s="40">
        <v>26.88</v>
      </c>
      <c r="P94" s="33" t="s">
        <v>1078</v>
      </c>
      <c r="Q94" s="44">
        <v>34</v>
      </c>
      <c r="R94" s="35">
        <v>14130</v>
      </c>
      <c r="S94" s="36">
        <v>796.3</v>
      </c>
      <c r="T94" s="36">
        <v>894.5</v>
      </c>
      <c r="U94" s="40">
        <v>14.8</v>
      </c>
      <c r="V94" s="41">
        <v>28.04</v>
      </c>
      <c r="W94" s="36">
        <v>968.1</v>
      </c>
      <c r="X94" s="36">
        <v>113.2</v>
      </c>
      <c r="Y94" s="36">
        <v>174.4</v>
      </c>
      <c r="Z94" s="41">
        <v>3.87</v>
      </c>
      <c r="AA94" s="40">
        <v>42.16</v>
      </c>
      <c r="AB94" s="40">
        <v>23.92</v>
      </c>
      <c r="AC94" s="42">
        <v>285</v>
      </c>
      <c r="AD94" s="21">
        <v>1</v>
      </c>
      <c r="AE94" s="21">
        <v>1</v>
      </c>
      <c r="AF94" s="43" t="s">
        <v>616</v>
      </c>
      <c r="AG94" s="21">
        <v>4</v>
      </c>
      <c r="AH94" s="21">
        <v>4</v>
      </c>
      <c r="AI94" s="42" t="s">
        <v>616</v>
      </c>
      <c r="AJ94" s="21"/>
    </row>
    <row r="95" spans="1:36" s="443" customFormat="1" ht="13.5" customHeight="1">
      <c r="A95" s="404" t="s">
        <v>1079</v>
      </c>
      <c r="B95" s="405">
        <v>57.8</v>
      </c>
      <c r="C95" s="398">
        <v>358</v>
      </c>
      <c r="D95" s="398">
        <v>172</v>
      </c>
      <c r="E95" s="406">
        <v>7.9</v>
      </c>
      <c r="F95" s="406">
        <v>13.1</v>
      </c>
      <c r="G95" s="398">
        <v>10</v>
      </c>
      <c r="H95" s="468">
        <v>72.13</v>
      </c>
      <c r="I95" s="398">
        <v>331.8</v>
      </c>
      <c r="J95" s="398">
        <v>311.8</v>
      </c>
      <c r="K95" s="398" t="s">
        <v>649</v>
      </c>
      <c r="L95" s="408">
        <v>84</v>
      </c>
      <c r="M95" s="409">
        <v>84</v>
      </c>
      <c r="N95" s="411">
        <v>1.37</v>
      </c>
      <c r="O95" s="411">
        <v>24.21</v>
      </c>
      <c r="P95" s="404" t="s">
        <v>1080</v>
      </c>
      <c r="Q95" s="409">
        <v>38</v>
      </c>
      <c r="R95" s="408">
        <v>16040</v>
      </c>
      <c r="S95" s="406">
        <v>896.2</v>
      </c>
      <c r="T95" s="408">
        <v>1009</v>
      </c>
      <c r="U95" s="411">
        <v>14.91</v>
      </c>
      <c r="V95" s="407">
        <v>30.73</v>
      </c>
      <c r="W95" s="408">
        <v>1113</v>
      </c>
      <c r="X95" s="406">
        <v>129.4</v>
      </c>
      <c r="Y95" s="406">
        <v>199.5</v>
      </c>
      <c r="Z95" s="407">
        <v>3.93</v>
      </c>
      <c r="AA95" s="411">
        <v>45.82</v>
      </c>
      <c r="AB95" s="411">
        <v>33.46</v>
      </c>
      <c r="AC95" s="400">
        <v>330.4</v>
      </c>
      <c r="AD95" s="398">
        <v>1</v>
      </c>
      <c r="AE95" s="398">
        <v>1</v>
      </c>
      <c r="AF95" s="399" t="s">
        <v>616</v>
      </c>
      <c r="AG95" s="398">
        <v>3</v>
      </c>
      <c r="AH95" s="398">
        <v>4</v>
      </c>
      <c r="AI95" s="400" t="s">
        <v>616</v>
      </c>
      <c r="AJ95" s="398"/>
    </row>
    <row r="96" spans="1:36" s="46" customFormat="1" ht="13.5" customHeight="1">
      <c r="A96" s="33"/>
      <c r="B96" s="44"/>
      <c r="C96" s="21"/>
      <c r="D96" s="21"/>
      <c r="E96" s="36"/>
      <c r="F96" s="36"/>
      <c r="G96" s="21"/>
      <c r="H96" s="47"/>
      <c r="I96" s="21"/>
      <c r="J96" s="21"/>
      <c r="K96" s="21"/>
      <c r="L96" s="35"/>
      <c r="M96" s="38"/>
      <c r="N96" s="40"/>
      <c r="O96" s="40"/>
      <c r="P96" s="33"/>
      <c r="Q96" s="44"/>
      <c r="R96" s="35"/>
      <c r="S96" s="35"/>
      <c r="T96" s="35"/>
      <c r="U96" s="40"/>
      <c r="V96" s="41"/>
      <c r="W96" s="35"/>
      <c r="X96" s="36"/>
      <c r="Y96" s="35"/>
      <c r="Z96" s="41"/>
      <c r="AA96" s="36"/>
      <c r="AB96" s="21"/>
      <c r="AC96" s="42"/>
      <c r="AD96" s="21"/>
      <c r="AE96" s="21"/>
      <c r="AF96" s="43"/>
      <c r="AG96" s="21"/>
      <c r="AH96" s="21"/>
      <c r="AI96" s="42"/>
      <c r="AJ96" s="21"/>
    </row>
    <row r="97" spans="1:36" s="443" customFormat="1" ht="13.5" customHeight="1">
      <c r="A97" s="404" t="s">
        <v>1081</v>
      </c>
      <c r="B97" s="409">
        <v>134</v>
      </c>
      <c r="C97" s="398">
        <v>356</v>
      </c>
      <c r="D97" s="398">
        <v>369</v>
      </c>
      <c r="E97" s="406">
        <v>11.2</v>
      </c>
      <c r="F97" s="406">
        <v>18</v>
      </c>
      <c r="G97" s="398">
        <v>15</v>
      </c>
      <c r="H97" s="470">
        <v>170.6</v>
      </c>
      <c r="I97" s="398">
        <v>320</v>
      </c>
      <c r="J97" s="398">
        <v>290</v>
      </c>
      <c r="K97" s="398" t="s">
        <v>667</v>
      </c>
      <c r="L97" s="408">
        <v>100</v>
      </c>
      <c r="M97" s="409">
        <v>264</v>
      </c>
      <c r="N97" s="411">
        <v>2.14</v>
      </c>
      <c r="O97" s="411">
        <v>15.98</v>
      </c>
      <c r="P97" s="404" t="s">
        <v>1082</v>
      </c>
      <c r="Q97" s="409">
        <v>90</v>
      </c>
      <c r="R97" s="408">
        <v>41510</v>
      </c>
      <c r="S97" s="408">
        <v>2332</v>
      </c>
      <c r="T97" s="408">
        <v>2562</v>
      </c>
      <c r="U97" s="411">
        <v>15.6</v>
      </c>
      <c r="V97" s="407">
        <v>45.19</v>
      </c>
      <c r="W97" s="408">
        <v>15080</v>
      </c>
      <c r="X97" s="406">
        <v>817.3</v>
      </c>
      <c r="Y97" s="408">
        <v>1237</v>
      </c>
      <c r="Z97" s="407">
        <v>9.4</v>
      </c>
      <c r="AA97" s="411">
        <v>64.77</v>
      </c>
      <c r="AB97" s="406">
        <v>168.8</v>
      </c>
      <c r="AC97" s="400">
        <v>4305</v>
      </c>
      <c r="AD97" s="398">
        <v>2</v>
      </c>
      <c r="AE97" s="398">
        <v>3</v>
      </c>
      <c r="AF97" s="399">
        <v>3</v>
      </c>
      <c r="AG97" s="398">
        <v>2</v>
      </c>
      <c r="AH97" s="398">
        <v>3</v>
      </c>
      <c r="AI97" s="400">
        <v>3</v>
      </c>
      <c r="AJ97" s="398" t="s">
        <v>661</v>
      </c>
    </row>
    <row r="98" spans="1:36" s="46" customFormat="1" ht="13.5" customHeight="1">
      <c r="A98" s="33" t="s">
        <v>1083</v>
      </c>
      <c r="B98" s="44">
        <v>147</v>
      </c>
      <c r="C98" s="21">
        <v>360</v>
      </c>
      <c r="D98" s="21">
        <v>370</v>
      </c>
      <c r="E98" s="36">
        <v>12.3</v>
      </c>
      <c r="F98" s="36">
        <v>19.8</v>
      </c>
      <c r="G98" s="21">
        <v>15</v>
      </c>
      <c r="H98" s="47">
        <v>187.9</v>
      </c>
      <c r="I98" s="21">
        <v>320.39999999999998</v>
      </c>
      <c r="J98" s="21">
        <v>290.39999999999998</v>
      </c>
      <c r="K98" s="21" t="s">
        <v>667</v>
      </c>
      <c r="L98" s="35">
        <v>100</v>
      </c>
      <c r="M98" s="38">
        <v>264</v>
      </c>
      <c r="N98" s="40">
        <v>2.15</v>
      </c>
      <c r="O98" s="40">
        <v>14.58</v>
      </c>
      <c r="P98" s="33" t="s">
        <v>1084</v>
      </c>
      <c r="Q98" s="44">
        <v>99</v>
      </c>
      <c r="R98" s="35">
        <v>46290</v>
      </c>
      <c r="S98" s="35">
        <v>2572</v>
      </c>
      <c r="T98" s="35">
        <v>2838</v>
      </c>
      <c r="U98" s="40">
        <v>15.7</v>
      </c>
      <c r="V98" s="41">
        <v>49.72</v>
      </c>
      <c r="W98" s="35">
        <v>16720</v>
      </c>
      <c r="X98" s="36">
        <v>903.9</v>
      </c>
      <c r="Y98" s="35">
        <v>1369</v>
      </c>
      <c r="Z98" s="41">
        <v>9.43</v>
      </c>
      <c r="AA98" s="40">
        <v>69.47</v>
      </c>
      <c r="AB98" s="36">
        <v>223.7</v>
      </c>
      <c r="AC98" s="42">
        <v>4836</v>
      </c>
      <c r="AD98" s="21">
        <v>1</v>
      </c>
      <c r="AE98" s="21">
        <v>3</v>
      </c>
      <c r="AF98" s="43">
        <v>3</v>
      </c>
      <c r="AG98" s="21">
        <v>1</v>
      </c>
      <c r="AH98" s="21">
        <v>3</v>
      </c>
      <c r="AI98" s="42">
        <v>3</v>
      </c>
      <c r="AJ98" s="21" t="s">
        <v>661</v>
      </c>
    </row>
    <row r="99" spans="1:36" s="443" customFormat="1" ht="13.5" customHeight="1">
      <c r="A99" s="404" t="s">
        <v>1085</v>
      </c>
      <c r="B99" s="409">
        <v>162</v>
      </c>
      <c r="C99" s="398">
        <v>364</v>
      </c>
      <c r="D99" s="398">
        <v>371</v>
      </c>
      <c r="E99" s="406">
        <v>13.3</v>
      </c>
      <c r="F99" s="406">
        <v>21.8</v>
      </c>
      <c r="G99" s="398">
        <v>15</v>
      </c>
      <c r="H99" s="470">
        <v>206.3</v>
      </c>
      <c r="I99" s="398">
        <v>320.39999999999998</v>
      </c>
      <c r="J99" s="398">
        <v>290.39999999999998</v>
      </c>
      <c r="K99" s="398" t="s">
        <v>667</v>
      </c>
      <c r="L99" s="408">
        <v>102</v>
      </c>
      <c r="M99" s="409">
        <v>266</v>
      </c>
      <c r="N99" s="411">
        <v>2.16</v>
      </c>
      <c r="O99" s="411">
        <v>13.34</v>
      </c>
      <c r="P99" s="404" t="s">
        <v>1086</v>
      </c>
      <c r="Q99" s="409">
        <v>109</v>
      </c>
      <c r="R99" s="408">
        <v>51540</v>
      </c>
      <c r="S99" s="408">
        <v>2832</v>
      </c>
      <c r="T99" s="408">
        <v>3139</v>
      </c>
      <c r="U99" s="411">
        <v>15.81</v>
      </c>
      <c r="V99" s="407">
        <v>53.98</v>
      </c>
      <c r="W99" s="408">
        <v>18560</v>
      </c>
      <c r="X99" s="408">
        <v>1001</v>
      </c>
      <c r="Y99" s="408">
        <v>1516</v>
      </c>
      <c r="Z99" s="407">
        <v>9.49</v>
      </c>
      <c r="AA99" s="411">
        <v>74.47</v>
      </c>
      <c r="AB99" s="406">
        <v>295.5</v>
      </c>
      <c r="AC99" s="400">
        <v>5432</v>
      </c>
      <c r="AD99" s="398">
        <v>1</v>
      </c>
      <c r="AE99" s="398">
        <v>2</v>
      </c>
      <c r="AF99" s="399">
        <v>3</v>
      </c>
      <c r="AG99" s="398">
        <v>1</v>
      </c>
      <c r="AH99" s="398">
        <v>2</v>
      </c>
      <c r="AI99" s="400">
        <v>3</v>
      </c>
      <c r="AJ99" s="398" t="s">
        <v>661</v>
      </c>
    </row>
    <row r="100" spans="1:36" s="46" customFormat="1" ht="13.5" customHeight="1">
      <c r="A100" s="33" t="s">
        <v>1087</v>
      </c>
      <c r="B100" s="44">
        <v>179</v>
      </c>
      <c r="C100" s="21">
        <v>368</v>
      </c>
      <c r="D100" s="21">
        <v>373</v>
      </c>
      <c r="E100" s="36">
        <v>15</v>
      </c>
      <c r="F100" s="36">
        <v>23.9</v>
      </c>
      <c r="G100" s="21">
        <v>15</v>
      </c>
      <c r="H100" s="47">
        <v>228.3</v>
      </c>
      <c r="I100" s="21">
        <v>320.2</v>
      </c>
      <c r="J100" s="21">
        <v>290.2</v>
      </c>
      <c r="K100" s="21" t="s">
        <v>667</v>
      </c>
      <c r="L100" s="35">
        <v>104</v>
      </c>
      <c r="M100" s="38">
        <v>268</v>
      </c>
      <c r="N100" s="40">
        <v>2.17</v>
      </c>
      <c r="O100" s="40">
        <v>12.12</v>
      </c>
      <c r="P100" s="33" t="s">
        <v>1088</v>
      </c>
      <c r="Q100" s="44">
        <v>120</v>
      </c>
      <c r="R100" s="35">
        <v>57440</v>
      </c>
      <c r="S100" s="35">
        <v>3122</v>
      </c>
      <c r="T100" s="35">
        <v>3482</v>
      </c>
      <c r="U100" s="40">
        <v>15.86</v>
      </c>
      <c r="V100" s="41">
        <v>60.72</v>
      </c>
      <c r="W100" s="35">
        <v>20680</v>
      </c>
      <c r="X100" s="35">
        <v>1109</v>
      </c>
      <c r="Y100" s="35">
        <v>1683</v>
      </c>
      <c r="Z100" s="41">
        <v>9.52</v>
      </c>
      <c r="AA100" s="40">
        <v>80.37</v>
      </c>
      <c r="AB100" s="36">
        <v>393.8</v>
      </c>
      <c r="AC100" s="42">
        <v>6119</v>
      </c>
      <c r="AD100" s="21">
        <v>1</v>
      </c>
      <c r="AE100" s="21">
        <v>1</v>
      </c>
      <c r="AF100" s="43">
        <v>2</v>
      </c>
      <c r="AG100" s="21">
        <v>1</v>
      </c>
      <c r="AH100" s="21">
        <v>1</v>
      </c>
      <c r="AI100" s="42">
        <v>2</v>
      </c>
      <c r="AJ100" s="21" t="s">
        <v>661</v>
      </c>
    </row>
    <row r="101" spans="1:36" s="443" customFormat="1" ht="13.5" customHeight="1">
      <c r="A101" s="404" t="s">
        <v>1089</v>
      </c>
      <c r="B101" s="409">
        <v>196</v>
      </c>
      <c r="C101" s="398">
        <v>372</v>
      </c>
      <c r="D101" s="398">
        <v>374</v>
      </c>
      <c r="E101" s="406">
        <v>16.399999999999999</v>
      </c>
      <c r="F101" s="406">
        <v>26.2</v>
      </c>
      <c r="G101" s="398">
        <v>15</v>
      </c>
      <c r="H101" s="470">
        <v>250.3</v>
      </c>
      <c r="I101" s="398">
        <v>319.60000000000002</v>
      </c>
      <c r="J101" s="398">
        <v>289.60000000000002</v>
      </c>
      <c r="K101" s="398" t="s">
        <v>667</v>
      </c>
      <c r="L101" s="408">
        <v>104</v>
      </c>
      <c r="M101" s="409">
        <v>268</v>
      </c>
      <c r="N101" s="411">
        <v>2.1800000000000002</v>
      </c>
      <c r="O101" s="411">
        <v>11.1</v>
      </c>
      <c r="P101" s="404" t="s">
        <v>1090</v>
      </c>
      <c r="Q101" s="409">
        <v>132</v>
      </c>
      <c r="R101" s="408">
        <v>63630</v>
      </c>
      <c r="S101" s="408">
        <v>3421</v>
      </c>
      <c r="T101" s="408">
        <v>3837</v>
      </c>
      <c r="U101" s="411">
        <v>15.94</v>
      </c>
      <c r="V101" s="407">
        <v>66.5</v>
      </c>
      <c r="W101" s="408">
        <v>22860</v>
      </c>
      <c r="X101" s="408">
        <v>1222</v>
      </c>
      <c r="Y101" s="408">
        <v>1856</v>
      </c>
      <c r="Z101" s="407">
        <v>9.56</v>
      </c>
      <c r="AA101" s="411">
        <v>86.37</v>
      </c>
      <c r="AB101" s="406">
        <v>517.1</v>
      </c>
      <c r="AC101" s="400">
        <v>6829</v>
      </c>
      <c r="AD101" s="398">
        <v>1</v>
      </c>
      <c r="AE101" s="398">
        <v>1</v>
      </c>
      <c r="AF101" s="399">
        <v>1</v>
      </c>
      <c r="AG101" s="398">
        <v>1</v>
      </c>
      <c r="AH101" s="398">
        <v>1</v>
      </c>
      <c r="AI101" s="400">
        <v>1</v>
      </c>
      <c r="AJ101" s="398" t="s">
        <v>661</v>
      </c>
    </row>
    <row r="102" spans="1:36" s="46" customFormat="1" ht="13.5" customHeight="1">
      <c r="A102" s="33"/>
      <c r="B102" s="44"/>
      <c r="C102" s="21"/>
      <c r="D102" s="21"/>
      <c r="E102" s="36"/>
      <c r="F102" s="36"/>
      <c r="G102" s="21"/>
      <c r="H102" s="47"/>
      <c r="I102" s="21"/>
      <c r="J102" s="21"/>
      <c r="K102" s="21"/>
      <c r="L102" s="35"/>
      <c r="M102" s="38"/>
      <c r="N102" s="40"/>
      <c r="O102" s="40"/>
      <c r="P102" s="33"/>
      <c r="Q102" s="44"/>
      <c r="R102" s="35"/>
      <c r="S102" s="35"/>
      <c r="T102" s="35"/>
      <c r="U102" s="40"/>
      <c r="V102" s="41"/>
      <c r="W102" s="35"/>
      <c r="X102" s="35"/>
      <c r="Y102" s="35"/>
      <c r="Z102" s="41"/>
      <c r="AA102" s="40"/>
      <c r="AB102" s="36"/>
      <c r="AC102" s="42"/>
      <c r="AD102" s="21"/>
      <c r="AE102" s="21"/>
      <c r="AF102" s="43"/>
      <c r="AG102" s="21"/>
      <c r="AH102" s="21"/>
      <c r="AI102" s="42"/>
      <c r="AJ102" s="21"/>
    </row>
    <row r="103" spans="1:36" s="443" customFormat="1" ht="13.5" customHeight="1">
      <c r="A103" s="404" t="s">
        <v>1091</v>
      </c>
      <c r="B103" s="409">
        <v>216</v>
      </c>
      <c r="C103" s="398">
        <v>375</v>
      </c>
      <c r="D103" s="398">
        <v>394</v>
      </c>
      <c r="E103" s="406">
        <v>17.3</v>
      </c>
      <c r="F103" s="406">
        <v>27.7</v>
      </c>
      <c r="G103" s="398">
        <v>15</v>
      </c>
      <c r="H103" s="470">
        <v>275.5</v>
      </c>
      <c r="I103" s="398">
        <v>319.60000000000002</v>
      </c>
      <c r="J103" s="398">
        <v>289.60000000000002</v>
      </c>
      <c r="K103" s="398" t="s">
        <v>667</v>
      </c>
      <c r="L103" s="408">
        <v>106</v>
      </c>
      <c r="M103" s="409">
        <v>288</v>
      </c>
      <c r="N103" s="411">
        <v>2.27</v>
      </c>
      <c r="O103" s="411">
        <v>10.48</v>
      </c>
      <c r="P103" s="404" t="s">
        <v>1092</v>
      </c>
      <c r="Q103" s="409">
        <v>145</v>
      </c>
      <c r="R103" s="408">
        <v>71140</v>
      </c>
      <c r="S103" s="408">
        <v>3794</v>
      </c>
      <c r="T103" s="408">
        <v>4262</v>
      </c>
      <c r="U103" s="411">
        <v>16.07</v>
      </c>
      <c r="V103" s="407">
        <v>70.319999999999993</v>
      </c>
      <c r="W103" s="408">
        <v>28250</v>
      </c>
      <c r="X103" s="408">
        <v>1434</v>
      </c>
      <c r="Y103" s="408">
        <v>2176</v>
      </c>
      <c r="Z103" s="407">
        <v>10.130000000000001</v>
      </c>
      <c r="AA103" s="411">
        <v>90.27</v>
      </c>
      <c r="AB103" s="406">
        <v>637.29999999999995</v>
      </c>
      <c r="AC103" s="400">
        <v>8515</v>
      </c>
      <c r="AD103" s="398">
        <v>1</v>
      </c>
      <c r="AE103" s="398">
        <v>1</v>
      </c>
      <c r="AF103" s="399">
        <v>1</v>
      </c>
      <c r="AG103" s="398">
        <v>1</v>
      </c>
      <c r="AH103" s="398">
        <v>1</v>
      </c>
      <c r="AI103" s="400">
        <v>1</v>
      </c>
      <c r="AJ103" s="398" t="s">
        <v>661</v>
      </c>
    </row>
    <row r="104" spans="1:36" s="46" customFormat="1" ht="13.5" customHeight="1">
      <c r="A104" s="33" t="s">
        <v>1093</v>
      </c>
      <c r="B104" s="44">
        <v>237</v>
      </c>
      <c r="C104" s="21">
        <v>380</v>
      </c>
      <c r="D104" s="21">
        <v>395</v>
      </c>
      <c r="E104" s="36">
        <v>18.899999999999999</v>
      </c>
      <c r="F104" s="36">
        <v>30.2</v>
      </c>
      <c r="G104" s="21">
        <v>15</v>
      </c>
      <c r="H104" s="47">
        <v>300.89999999999998</v>
      </c>
      <c r="I104" s="21">
        <v>319.60000000000002</v>
      </c>
      <c r="J104" s="21">
        <v>289.60000000000002</v>
      </c>
      <c r="K104" s="21" t="s">
        <v>667</v>
      </c>
      <c r="L104" s="35">
        <v>108</v>
      </c>
      <c r="M104" s="38">
        <v>290</v>
      </c>
      <c r="N104" s="40">
        <v>2.2799999999999998</v>
      </c>
      <c r="O104" s="40">
        <v>9.64</v>
      </c>
      <c r="P104" s="33" t="s">
        <v>1094</v>
      </c>
      <c r="Q104" s="44">
        <v>159</v>
      </c>
      <c r="R104" s="35">
        <v>78780</v>
      </c>
      <c r="S104" s="35">
        <v>4146</v>
      </c>
      <c r="T104" s="35">
        <v>4686</v>
      </c>
      <c r="U104" s="40">
        <v>16.18</v>
      </c>
      <c r="V104" s="41">
        <v>77.099999999999994</v>
      </c>
      <c r="W104" s="35">
        <v>31040</v>
      </c>
      <c r="X104" s="35">
        <v>1572</v>
      </c>
      <c r="Y104" s="35">
        <v>2387</v>
      </c>
      <c r="Z104" s="41">
        <v>10.16</v>
      </c>
      <c r="AA104" s="40">
        <v>96.87</v>
      </c>
      <c r="AB104" s="36">
        <v>825.5</v>
      </c>
      <c r="AC104" s="42">
        <v>9489</v>
      </c>
      <c r="AD104" s="21">
        <v>1</v>
      </c>
      <c r="AE104" s="21">
        <v>1</v>
      </c>
      <c r="AF104" s="43">
        <v>1</v>
      </c>
      <c r="AG104" s="21">
        <v>1</v>
      </c>
      <c r="AH104" s="21">
        <v>1</v>
      </c>
      <c r="AI104" s="42">
        <v>1</v>
      </c>
      <c r="AJ104" s="21" t="s">
        <v>661</v>
      </c>
    </row>
    <row r="105" spans="1:36" s="443" customFormat="1" ht="13.5" customHeight="1">
      <c r="A105" s="404" t="s">
        <v>1095</v>
      </c>
      <c r="B105" s="409">
        <v>262</v>
      </c>
      <c r="C105" s="398">
        <v>387</v>
      </c>
      <c r="D105" s="398">
        <v>398</v>
      </c>
      <c r="E105" s="406">
        <v>21.1</v>
      </c>
      <c r="F105" s="406">
        <v>33.299999999999997</v>
      </c>
      <c r="G105" s="398">
        <v>15</v>
      </c>
      <c r="H105" s="470">
        <v>334.6</v>
      </c>
      <c r="I105" s="398">
        <v>320.39999999999998</v>
      </c>
      <c r="J105" s="398">
        <v>290.39999999999998</v>
      </c>
      <c r="K105" s="398" t="s">
        <v>667</v>
      </c>
      <c r="L105" s="408">
        <v>110</v>
      </c>
      <c r="M105" s="409">
        <v>292</v>
      </c>
      <c r="N105" s="411">
        <v>2.2999999999999998</v>
      </c>
      <c r="O105" s="411">
        <v>8.75</v>
      </c>
      <c r="P105" s="404" t="s">
        <v>1096</v>
      </c>
      <c r="Q105" s="409">
        <v>176</v>
      </c>
      <c r="R105" s="408">
        <v>89410</v>
      </c>
      <c r="S105" s="408">
        <v>4620</v>
      </c>
      <c r="T105" s="408">
        <v>5260</v>
      </c>
      <c r="U105" s="411">
        <v>16.350000000000001</v>
      </c>
      <c r="V105" s="407">
        <v>86.55</v>
      </c>
      <c r="W105" s="408">
        <v>35020</v>
      </c>
      <c r="X105" s="408">
        <v>1760</v>
      </c>
      <c r="Y105" s="408">
        <v>2676</v>
      </c>
      <c r="Z105" s="407">
        <v>10.23</v>
      </c>
      <c r="AA105" s="406">
        <v>105.3</v>
      </c>
      <c r="AB105" s="408">
        <v>1116</v>
      </c>
      <c r="AC105" s="400">
        <v>10940</v>
      </c>
      <c r="AD105" s="398">
        <v>1</v>
      </c>
      <c r="AE105" s="398">
        <v>1</v>
      </c>
      <c r="AF105" s="399">
        <v>1</v>
      </c>
      <c r="AG105" s="398">
        <v>1</v>
      </c>
      <c r="AH105" s="398">
        <v>1</v>
      </c>
      <c r="AI105" s="400">
        <v>1</v>
      </c>
      <c r="AJ105" s="398" t="s">
        <v>661</v>
      </c>
    </row>
    <row r="106" spans="1:36" s="46" customFormat="1" ht="13.5" customHeight="1">
      <c r="A106" s="33" t="s">
        <v>1097</v>
      </c>
      <c r="B106" s="44">
        <v>287</v>
      </c>
      <c r="C106" s="21">
        <v>393</v>
      </c>
      <c r="D106" s="21">
        <v>399</v>
      </c>
      <c r="E106" s="36">
        <v>22.6</v>
      </c>
      <c r="F106" s="36">
        <v>36.6</v>
      </c>
      <c r="G106" s="21">
        <v>15</v>
      </c>
      <c r="H106" s="47">
        <v>366.3</v>
      </c>
      <c r="I106" s="21">
        <v>319.8</v>
      </c>
      <c r="J106" s="21">
        <v>289.8</v>
      </c>
      <c r="K106" s="21" t="s">
        <v>667</v>
      </c>
      <c r="L106" s="35">
        <v>112</v>
      </c>
      <c r="M106" s="38">
        <v>294</v>
      </c>
      <c r="N106" s="40">
        <v>2.31</v>
      </c>
      <c r="O106" s="40">
        <v>8.0399999999999991</v>
      </c>
      <c r="P106" s="33" t="s">
        <v>1098</v>
      </c>
      <c r="Q106" s="44">
        <v>193</v>
      </c>
      <c r="R106" s="35">
        <v>99710</v>
      </c>
      <c r="S106" s="35">
        <v>5074</v>
      </c>
      <c r="T106" s="35">
        <v>5813</v>
      </c>
      <c r="U106" s="40">
        <v>16.5</v>
      </c>
      <c r="V106" s="41">
        <v>93.46</v>
      </c>
      <c r="W106" s="35">
        <v>38780</v>
      </c>
      <c r="X106" s="35">
        <v>1944</v>
      </c>
      <c r="Y106" s="35">
        <v>2957</v>
      </c>
      <c r="Z106" s="41">
        <v>10.29</v>
      </c>
      <c r="AA106" s="36">
        <v>113.4</v>
      </c>
      <c r="AB106" s="35">
        <v>1464</v>
      </c>
      <c r="AC106" s="42">
        <v>12300</v>
      </c>
      <c r="AD106" s="21">
        <v>1</v>
      </c>
      <c r="AE106" s="21">
        <v>1</v>
      </c>
      <c r="AF106" s="43">
        <v>1</v>
      </c>
      <c r="AG106" s="21">
        <v>1</v>
      </c>
      <c r="AH106" s="21">
        <v>1</v>
      </c>
      <c r="AI106" s="42">
        <v>1</v>
      </c>
      <c r="AJ106" s="21" t="s">
        <v>661</v>
      </c>
    </row>
    <row r="107" spans="1:36" s="443" customFormat="1" ht="13.5" customHeight="1">
      <c r="A107" s="404" t="s">
        <v>1099</v>
      </c>
      <c r="B107" s="409">
        <v>314</v>
      </c>
      <c r="C107" s="398">
        <v>399</v>
      </c>
      <c r="D107" s="398">
        <v>401</v>
      </c>
      <c r="E107" s="406">
        <v>24.9</v>
      </c>
      <c r="F107" s="406">
        <v>39.6</v>
      </c>
      <c r="G107" s="398">
        <v>15</v>
      </c>
      <c r="H107" s="470">
        <v>399.2</v>
      </c>
      <c r="I107" s="398">
        <v>319.8</v>
      </c>
      <c r="J107" s="398">
        <v>289.8</v>
      </c>
      <c r="K107" s="398" t="s">
        <v>667</v>
      </c>
      <c r="L107" s="408">
        <v>114</v>
      </c>
      <c r="M107" s="409">
        <v>296</v>
      </c>
      <c r="N107" s="411">
        <v>2.33</v>
      </c>
      <c r="O107" s="411">
        <v>7.42</v>
      </c>
      <c r="P107" s="404" t="s">
        <v>1100</v>
      </c>
      <c r="Q107" s="409">
        <v>211</v>
      </c>
      <c r="R107" s="408">
        <v>110200</v>
      </c>
      <c r="S107" s="408">
        <v>5525</v>
      </c>
      <c r="T107" s="408">
        <v>6374</v>
      </c>
      <c r="U107" s="411">
        <v>16.62</v>
      </c>
      <c r="V107" s="407">
        <v>103.3</v>
      </c>
      <c r="W107" s="408">
        <v>42600</v>
      </c>
      <c r="X107" s="408">
        <v>2125</v>
      </c>
      <c r="Y107" s="408">
        <v>3236</v>
      </c>
      <c r="Z107" s="407">
        <v>10.33</v>
      </c>
      <c r="AA107" s="406">
        <v>121.7</v>
      </c>
      <c r="AB107" s="408">
        <v>1870</v>
      </c>
      <c r="AC107" s="400">
        <v>13740</v>
      </c>
      <c r="AD107" s="398">
        <v>1</v>
      </c>
      <c r="AE107" s="398">
        <v>1</v>
      </c>
      <c r="AF107" s="399">
        <v>1</v>
      </c>
      <c r="AG107" s="398">
        <v>1</v>
      </c>
      <c r="AH107" s="398">
        <v>1</v>
      </c>
      <c r="AI107" s="400">
        <v>1</v>
      </c>
      <c r="AJ107" s="398" t="s">
        <v>661</v>
      </c>
    </row>
    <row r="108" spans="1:36" s="46" customFormat="1" ht="13.5" customHeight="1">
      <c r="A108" s="33" t="s">
        <v>1101</v>
      </c>
      <c r="B108" s="44">
        <v>347</v>
      </c>
      <c r="C108" s="21">
        <v>407</v>
      </c>
      <c r="D108" s="21">
        <v>404</v>
      </c>
      <c r="E108" s="36">
        <v>27.2</v>
      </c>
      <c r="F108" s="36">
        <v>43.7</v>
      </c>
      <c r="G108" s="21">
        <v>15</v>
      </c>
      <c r="H108" s="47">
        <v>442</v>
      </c>
      <c r="I108" s="21">
        <v>319.60000000000002</v>
      </c>
      <c r="J108" s="21">
        <v>289.60000000000002</v>
      </c>
      <c r="K108" s="21" t="s">
        <v>667</v>
      </c>
      <c r="L108" s="35">
        <v>116</v>
      </c>
      <c r="M108" s="38">
        <v>298</v>
      </c>
      <c r="N108" s="40">
        <v>2.35</v>
      </c>
      <c r="O108" s="40">
        <v>6.77</v>
      </c>
      <c r="P108" s="33" t="s">
        <v>1102</v>
      </c>
      <c r="Q108" s="44">
        <v>233</v>
      </c>
      <c r="R108" s="35">
        <v>124900</v>
      </c>
      <c r="S108" s="35">
        <v>6140</v>
      </c>
      <c r="T108" s="35">
        <v>7139</v>
      </c>
      <c r="U108" s="40">
        <v>16.809999999999999</v>
      </c>
      <c r="V108" s="41">
        <v>113.9</v>
      </c>
      <c r="W108" s="35">
        <v>48090</v>
      </c>
      <c r="X108" s="35">
        <v>2380</v>
      </c>
      <c r="Y108" s="35">
        <v>3629</v>
      </c>
      <c r="Z108" s="41">
        <v>10.43</v>
      </c>
      <c r="AA108" s="36">
        <v>132.19999999999999</v>
      </c>
      <c r="AB108" s="35">
        <v>2510</v>
      </c>
      <c r="AC108" s="42">
        <v>15850</v>
      </c>
      <c r="AD108" s="21">
        <v>1</v>
      </c>
      <c r="AE108" s="21">
        <v>1</v>
      </c>
      <c r="AF108" s="43">
        <v>1</v>
      </c>
      <c r="AG108" s="21">
        <v>1</v>
      </c>
      <c r="AH108" s="21">
        <v>1</v>
      </c>
      <c r="AI108" s="42">
        <v>1</v>
      </c>
      <c r="AJ108" s="21" t="s">
        <v>661</v>
      </c>
    </row>
    <row r="109" spans="1:36" s="443" customFormat="1" ht="13.5" customHeight="1">
      <c r="A109" s="404" t="s">
        <v>1103</v>
      </c>
      <c r="B109" s="409">
        <v>382</v>
      </c>
      <c r="C109" s="398">
        <v>416</v>
      </c>
      <c r="D109" s="398">
        <v>406</v>
      </c>
      <c r="E109" s="406">
        <v>29.8</v>
      </c>
      <c r="F109" s="406">
        <v>48</v>
      </c>
      <c r="G109" s="398">
        <v>15</v>
      </c>
      <c r="H109" s="470">
        <v>487.1</v>
      </c>
      <c r="I109" s="398">
        <v>320</v>
      </c>
      <c r="J109" s="398">
        <v>290</v>
      </c>
      <c r="K109" s="398" t="s">
        <v>667</v>
      </c>
      <c r="L109" s="408">
        <v>118</v>
      </c>
      <c r="M109" s="409">
        <v>300</v>
      </c>
      <c r="N109" s="411">
        <v>2.37</v>
      </c>
      <c r="O109" s="411">
        <v>6.2</v>
      </c>
      <c r="P109" s="404" t="s">
        <v>1104</v>
      </c>
      <c r="Q109" s="409">
        <v>257</v>
      </c>
      <c r="R109" s="408">
        <v>141300</v>
      </c>
      <c r="S109" s="408">
        <v>6794</v>
      </c>
      <c r="T109" s="408">
        <v>7965</v>
      </c>
      <c r="U109" s="411">
        <v>17.03</v>
      </c>
      <c r="V109" s="407">
        <v>126</v>
      </c>
      <c r="W109" s="408">
        <v>53620</v>
      </c>
      <c r="X109" s="408">
        <v>2641</v>
      </c>
      <c r="Y109" s="408">
        <v>4031</v>
      </c>
      <c r="Z109" s="407">
        <v>10.49</v>
      </c>
      <c r="AA109" s="406">
        <v>143.4</v>
      </c>
      <c r="AB109" s="408">
        <v>3326</v>
      </c>
      <c r="AC109" s="400">
        <v>18130</v>
      </c>
      <c r="AD109" s="398">
        <v>1</v>
      </c>
      <c r="AE109" s="398">
        <v>1</v>
      </c>
      <c r="AF109" s="399">
        <v>1</v>
      </c>
      <c r="AG109" s="398">
        <v>1</v>
      </c>
      <c r="AH109" s="398">
        <v>1</v>
      </c>
      <c r="AI109" s="400">
        <v>1</v>
      </c>
      <c r="AJ109" s="398" t="s">
        <v>661</v>
      </c>
    </row>
    <row r="110" spans="1:36" s="46" customFormat="1" ht="13.5" customHeight="1">
      <c r="A110" s="33" t="s">
        <v>1105</v>
      </c>
      <c r="B110" s="44">
        <v>421</v>
      </c>
      <c r="C110" s="21">
        <v>425</v>
      </c>
      <c r="D110" s="21">
        <v>409</v>
      </c>
      <c r="E110" s="36">
        <v>32.799999999999997</v>
      </c>
      <c r="F110" s="36">
        <v>52.6</v>
      </c>
      <c r="G110" s="21">
        <v>15</v>
      </c>
      <c r="H110" s="47">
        <v>537.1</v>
      </c>
      <c r="I110" s="21">
        <v>319.8</v>
      </c>
      <c r="J110" s="21">
        <v>289.8</v>
      </c>
      <c r="K110" s="21" t="s">
        <v>667</v>
      </c>
      <c r="L110" s="35">
        <v>122</v>
      </c>
      <c r="M110" s="38">
        <v>304</v>
      </c>
      <c r="N110" s="40">
        <v>2.39</v>
      </c>
      <c r="O110" s="40">
        <v>5.68</v>
      </c>
      <c r="P110" s="33" t="s">
        <v>1106</v>
      </c>
      <c r="Q110" s="44">
        <v>283</v>
      </c>
      <c r="R110" s="35">
        <v>159600</v>
      </c>
      <c r="S110" s="35">
        <v>7510</v>
      </c>
      <c r="T110" s="35">
        <v>8880</v>
      </c>
      <c r="U110" s="40">
        <v>17.239999999999998</v>
      </c>
      <c r="V110" s="41">
        <v>139.9</v>
      </c>
      <c r="W110" s="35">
        <v>60080</v>
      </c>
      <c r="X110" s="35">
        <v>2938</v>
      </c>
      <c r="Y110" s="35">
        <v>4489</v>
      </c>
      <c r="Z110" s="41">
        <v>10.58</v>
      </c>
      <c r="AA110" s="36">
        <v>155.6</v>
      </c>
      <c r="AB110" s="35">
        <v>4398</v>
      </c>
      <c r="AC110" s="42">
        <v>20800</v>
      </c>
      <c r="AD110" s="21">
        <v>1</v>
      </c>
      <c r="AE110" s="21">
        <v>1</v>
      </c>
      <c r="AF110" s="43">
        <v>1</v>
      </c>
      <c r="AG110" s="21">
        <v>1</v>
      </c>
      <c r="AH110" s="21">
        <v>1</v>
      </c>
      <c r="AI110" s="42">
        <v>1</v>
      </c>
      <c r="AJ110" s="21" t="s">
        <v>661</v>
      </c>
    </row>
    <row r="111" spans="1:36" s="443" customFormat="1" ht="13.5" customHeight="1">
      <c r="A111" s="404" t="s">
        <v>1107</v>
      </c>
      <c r="B111" s="409">
        <v>463</v>
      </c>
      <c r="C111" s="398">
        <v>435</v>
      </c>
      <c r="D111" s="398">
        <v>412</v>
      </c>
      <c r="E111" s="406">
        <v>35.799999999999997</v>
      </c>
      <c r="F111" s="406">
        <v>57.4</v>
      </c>
      <c r="G111" s="398">
        <v>15</v>
      </c>
      <c r="H111" s="470">
        <v>589.5</v>
      </c>
      <c r="I111" s="398">
        <v>320.2</v>
      </c>
      <c r="J111" s="398">
        <v>290.2</v>
      </c>
      <c r="K111" s="398" t="s">
        <v>667</v>
      </c>
      <c r="L111" s="408">
        <v>124</v>
      </c>
      <c r="M111" s="409">
        <v>306</v>
      </c>
      <c r="N111" s="411">
        <v>2.42</v>
      </c>
      <c r="O111" s="411">
        <v>5.23</v>
      </c>
      <c r="P111" s="404" t="s">
        <v>1108</v>
      </c>
      <c r="Q111" s="409">
        <v>311</v>
      </c>
      <c r="R111" s="408">
        <v>180200</v>
      </c>
      <c r="S111" s="408">
        <v>8283</v>
      </c>
      <c r="T111" s="408">
        <v>9878</v>
      </c>
      <c r="U111" s="411">
        <v>17.48</v>
      </c>
      <c r="V111" s="407">
        <v>154.30000000000001</v>
      </c>
      <c r="W111" s="408">
        <v>67040</v>
      </c>
      <c r="X111" s="408">
        <v>3254</v>
      </c>
      <c r="Y111" s="408">
        <v>4978</v>
      </c>
      <c r="Z111" s="407">
        <v>10.66</v>
      </c>
      <c r="AA111" s="406">
        <v>168.2</v>
      </c>
      <c r="AB111" s="408">
        <v>5735</v>
      </c>
      <c r="AC111" s="400">
        <v>23850</v>
      </c>
      <c r="AD111" s="398">
        <v>1</v>
      </c>
      <c r="AE111" s="398">
        <v>1</v>
      </c>
      <c r="AF111" s="399">
        <v>1</v>
      </c>
      <c r="AG111" s="398">
        <v>1</v>
      </c>
      <c r="AH111" s="398">
        <v>1</v>
      </c>
      <c r="AI111" s="400">
        <v>1</v>
      </c>
      <c r="AJ111" s="398" t="s">
        <v>661</v>
      </c>
    </row>
    <row r="112" spans="1:36" s="46" customFormat="1" ht="13.5" customHeight="1">
      <c r="A112" s="33" t="s">
        <v>1109</v>
      </c>
      <c r="B112" s="44">
        <v>509</v>
      </c>
      <c r="C112" s="21">
        <v>446</v>
      </c>
      <c r="D112" s="21">
        <v>416</v>
      </c>
      <c r="E112" s="36">
        <v>39.1</v>
      </c>
      <c r="F112" s="36">
        <v>62.7</v>
      </c>
      <c r="G112" s="21">
        <v>15</v>
      </c>
      <c r="H112" s="47">
        <v>649</v>
      </c>
      <c r="I112" s="21">
        <v>320.60000000000002</v>
      </c>
      <c r="J112" s="21">
        <v>290.60000000000002</v>
      </c>
      <c r="K112" s="21" t="s">
        <v>667</v>
      </c>
      <c r="L112" s="35">
        <v>128</v>
      </c>
      <c r="M112" s="38">
        <v>310</v>
      </c>
      <c r="N112" s="40">
        <v>2.4500000000000002</v>
      </c>
      <c r="O112" s="40">
        <v>4.8099999999999996</v>
      </c>
      <c r="P112" s="33" t="s">
        <v>1110</v>
      </c>
      <c r="Q112" s="44">
        <v>342</v>
      </c>
      <c r="R112" s="35">
        <v>204500</v>
      </c>
      <c r="S112" s="35">
        <v>9172</v>
      </c>
      <c r="T112" s="35">
        <v>11030</v>
      </c>
      <c r="U112" s="40">
        <v>17.75</v>
      </c>
      <c r="V112" s="41">
        <v>170.6</v>
      </c>
      <c r="W112" s="35">
        <v>75400</v>
      </c>
      <c r="X112" s="35">
        <v>3625</v>
      </c>
      <c r="Y112" s="35">
        <v>5552</v>
      </c>
      <c r="Z112" s="41">
        <v>10.78</v>
      </c>
      <c r="AA112" s="36">
        <v>182.1</v>
      </c>
      <c r="AB112" s="35">
        <v>7513</v>
      </c>
      <c r="AC112" s="42">
        <v>27630</v>
      </c>
      <c r="AD112" s="21">
        <v>1</v>
      </c>
      <c r="AE112" s="21">
        <v>1</v>
      </c>
      <c r="AF112" s="43">
        <v>1</v>
      </c>
      <c r="AG112" s="21">
        <v>1</v>
      </c>
      <c r="AH112" s="21">
        <v>1</v>
      </c>
      <c r="AI112" s="42">
        <v>1</v>
      </c>
      <c r="AJ112" s="21" t="s">
        <v>661</v>
      </c>
    </row>
    <row r="113" spans="1:36" s="443" customFormat="1" ht="13.5" customHeight="1">
      <c r="A113" s="404" t="s">
        <v>1111</v>
      </c>
      <c r="B113" s="409">
        <v>551</v>
      </c>
      <c r="C113" s="398">
        <v>455</v>
      </c>
      <c r="D113" s="398">
        <v>418</v>
      </c>
      <c r="E113" s="406">
        <v>42</v>
      </c>
      <c r="F113" s="406">
        <v>67.599999999999994</v>
      </c>
      <c r="G113" s="398">
        <v>15</v>
      </c>
      <c r="H113" s="470">
        <v>701.4</v>
      </c>
      <c r="I113" s="398">
        <v>319.8</v>
      </c>
      <c r="J113" s="398">
        <v>289.8</v>
      </c>
      <c r="K113" s="398" t="s">
        <v>667</v>
      </c>
      <c r="L113" s="408">
        <v>132</v>
      </c>
      <c r="M113" s="409">
        <v>312</v>
      </c>
      <c r="N113" s="411">
        <v>2.4700000000000002</v>
      </c>
      <c r="O113" s="411">
        <v>4.49</v>
      </c>
      <c r="P113" s="404" t="s">
        <v>1112</v>
      </c>
      <c r="Q113" s="409">
        <v>370</v>
      </c>
      <c r="R113" s="408">
        <v>226100</v>
      </c>
      <c r="S113" s="408">
        <v>9939</v>
      </c>
      <c r="T113" s="408">
        <v>12050</v>
      </c>
      <c r="U113" s="411">
        <v>17.95</v>
      </c>
      <c r="V113" s="407">
        <v>184.9</v>
      </c>
      <c r="W113" s="408">
        <v>82490</v>
      </c>
      <c r="X113" s="408">
        <v>3947</v>
      </c>
      <c r="Y113" s="408">
        <v>6051</v>
      </c>
      <c r="Z113" s="407">
        <v>10.85</v>
      </c>
      <c r="AA113" s="406">
        <v>194.8</v>
      </c>
      <c r="AB113" s="408">
        <v>9410</v>
      </c>
      <c r="AC113" s="400">
        <v>30870</v>
      </c>
      <c r="AD113" s="398">
        <v>1</v>
      </c>
      <c r="AE113" s="398">
        <v>1</v>
      </c>
      <c r="AF113" s="399">
        <v>1</v>
      </c>
      <c r="AG113" s="398">
        <v>1</v>
      </c>
      <c r="AH113" s="398">
        <v>1</v>
      </c>
      <c r="AI113" s="400">
        <v>1</v>
      </c>
      <c r="AJ113" s="398" t="s">
        <v>661</v>
      </c>
    </row>
    <row r="114" spans="1:36" s="46" customFormat="1" ht="13.5" customHeight="1">
      <c r="A114" s="33" t="s">
        <v>1113</v>
      </c>
      <c r="B114" s="44">
        <v>592</v>
      </c>
      <c r="C114" s="21">
        <v>465</v>
      </c>
      <c r="D114" s="21">
        <v>421</v>
      </c>
      <c r="E114" s="36">
        <v>45</v>
      </c>
      <c r="F114" s="36">
        <v>72.3</v>
      </c>
      <c r="G114" s="21">
        <v>15</v>
      </c>
      <c r="H114" s="47">
        <v>754.9</v>
      </c>
      <c r="I114" s="21">
        <v>320.39999999999998</v>
      </c>
      <c r="J114" s="21">
        <v>290.39999999999998</v>
      </c>
      <c r="K114" s="21" t="s">
        <v>667</v>
      </c>
      <c r="L114" s="35">
        <v>134</v>
      </c>
      <c r="M114" s="38">
        <v>316</v>
      </c>
      <c r="N114" s="40">
        <v>2.5</v>
      </c>
      <c r="O114" s="40">
        <v>4.22</v>
      </c>
      <c r="P114" s="33" t="s">
        <v>1114</v>
      </c>
      <c r="Q114" s="44">
        <v>398</v>
      </c>
      <c r="R114" s="35">
        <v>250200</v>
      </c>
      <c r="S114" s="35">
        <v>10760</v>
      </c>
      <c r="T114" s="35">
        <v>13140</v>
      </c>
      <c r="U114" s="40">
        <v>18.2</v>
      </c>
      <c r="V114" s="41">
        <v>200.3</v>
      </c>
      <c r="W114" s="35">
        <v>90170</v>
      </c>
      <c r="X114" s="35">
        <v>4284</v>
      </c>
      <c r="Y114" s="35">
        <v>6574</v>
      </c>
      <c r="Z114" s="41">
        <v>10.93</v>
      </c>
      <c r="AA114" s="36">
        <v>207.2</v>
      </c>
      <c r="AB114" s="35">
        <v>11560</v>
      </c>
      <c r="AC114" s="42">
        <v>34670</v>
      </c>
      <c r="AD114" s="21">
        <v>1</v>
      </c>
      <c r="AE114" s="21">
        <v>1</v>
      </c>
      <c r="AF114" s="43">
        <v>1</v>
      </c>
      <c r="AG114" s="21">
        <v>1</v>
      </c>
      <c r="AH114" s="21">
        <v>1</v>
      </c>
      <c r="AI114" s="42">
        <v>1</v>
      </c>
      <c r="AJ114" s="21" t="s">
        <v>661</v>
      </c>
    </row>
    <row r="115" spans="1:36" s="443" customFormat="1" ht="13.5" customHeight="1">
      <c r="A115" s="404" t="s">
        <v>1115</v>
      </c>
      <c r="B115" s="409">
        <v>634</v>
      </c>
      <c r="C115" s="398">
        <v>474</v>
      </c>
      <c r="D115" s="398">
        <v>424</v>
      </c>
      <c r="E115" s="406">
        <v>47.6</v>
      </c>
      <c r="F115" s="406">
        <v>77.099999999999994</v>
      </c>
      <c r="G115" s="398">
        <v>15</v>
      </c>
      <c r="H115" s="470">
        <v>808</v>
      </c>
      <c r="I115" s="398">
        <v>319.8</v>
      </c>
      <c r="J115" s="398">
        <v>289.8</v>
      </c>
      <c r="K115" s="398" t="s">
        <v>667</v>
      </c>
      <c r="L115" s="408">
        <v>140</v>
      </c>
      <c r="M115" s="409">
        <v>312</v>
      </c>
      <c r="N115" s="411">
        <v>2.52</v>
      </c>
      <c r="O115" s="411">
        <v>3.98</v>
      </c>
      <c r="P115" s="404" t="s">
        <v>1116</v>
      </c>
      <c r="Q115" s="409">
        <v>426</v>
      </c>
      <c r="R115" s="408">
        <v>274200</v>
      </c>
      <c r="S115" s="408">
        <v>11570</v>
      </c>
      <c r="T115" s="408">
        <v>14220</v>
      </c>
      <c r="U115" s="411">
        <v>18.420000000000002</v>
      </c>
      <c r="V115" s="407">
        <v>214</v>
      </c>
      <c r="W115" s="408">
        <v>98250</v>
      </c>
      <c r="X115" s="408">
        <v>4634</v>
      </c>
      <c r="Y115" s="408">
        <v>7117</v>
      </c>
      <c r="Z115" s="407">
        <v>11.03</v>
      </c>
      <c r="AA115" s="406">
        <v>219.4</v>
      </c>
      <c r="AB115" s="408">
        <v>14020</v>
      </c>
      <c r="AC115" s="400">
        <v>38570</v>
      </c>
      <c r="AD115" s="398">
        <v>1</v>
      </c>
      <c r="AE115" s="398">
        <v>1</v>
      </c>
      <c r="AF115" s="399">
        <v>1</v>
      </c>
      <c r="AG115" s="398">
        <v>1</v>
      </c>
      <c r="AH115" s="398">
        <v>1</v>
      </c>
      <c r="AI115" s="400">
        <v>1</v>
      </c>
      <c r="AJ115" s="398" t="s">
        <v>661</v>
      </c>
    </row>
    <row r="116" spans="1:36" s="46" customFormat="1" ht="13.5" customHeight="1">
      <c r="A116" s="33" t="s">
        <v>1117</v>
      </c>
      <c r="B116" s="44">
        <v>677</v>
      </c>
      <c r="C116" s="21">
        <v>483</v>
      </c>
      <c r="D116" s="21">
        <v>428</v>
      </c>
      <c r="E116" s="36">
        <v>51.2</v>
      </c>
      <c r="F116" s="36">
        <v>81.5</v>
      </c>
      <c r="G116" s="21">
        <v>15</v>
      </c>
      <c r="H116" s="47">
        <v>863.4</v>
      </c>
      <c r="I116" s="21">
        <v>320</v>
      </c>
      <c r="J116" s="21">
        <v>290</v>
      </c>
      <c r="K116" s="21" t="s">
        <v>667</v>
      </c>
      <c r="L116" s="35">
        <v>144</v>
      </c>
      <c r="M116" s="38">
        <v>316</v>
      </c>
      <c r="N116" s="40">
        <v>2.5499999999999998</v>
      </c>
      <c r="O116" s="40">
        <v>3.76</v>
      </c>
      <c r="P116" s="33" t="s">
        <v>1118</v>
      </c>
      <c r="Q116" s="44">
        <v>455</v>
      </c>
      <c r="R116" s="35">
        <v>299500</v>
      </c>
      <c r="S116" s="35">
        <v>12400</v>
      </c>
      <c r="T116" s="35">
        <v>15350</v>
      </c>
      <c r="U116" s="40">
        <v>18.62</v>
      </c>
      <c r="V116" s="41">
        <v>231.9</v>
      </c>
      <c r="W116" s="35">
        <v>106900</v>
      </c>
      <c r="X116" s="35">
        <v>4994</v>
      </c>
      <c r="Y116" s="35">
        <v>7680</v>
      </c>
      <c r="Z116" s="41">
        <v>11.13</v>
      </c>
      <c r="AA116" s="36">
        <v>231.8</v>
      </c>
      <c r="AB116" s="35">
        <v>16790</v>
      </c>
      <c r="AC116" s="42">
        <v>42920</v>
      </c>
      <c r="AD116" s="21">
        <v>1</v>
      </c>
      <c r="AE116" s="21">
        <v>1</v>
      </c>
      <c r="AF116" s="43">
        <v>1</v>
      </c>
      <c r="AG116" s="21">
        <v>1</v>
      </c>
      <c r="AH116" s="21">
        <v>1</v>
      </c>
      <c r="AI116" s="42">
        <v>1</v>
      </c>
      <c r="AJ116" s="21" t="s">
        <v>661</v>
      </c>
    </row>
    <row r="117" spans="1:36" s="443" customFormat="1" ht="13.5" customHeight="1">
      <c r="A117" s="404" t="s">
        <v>1119</v>
      </c>
      <c r="B117" s="409">
        <v>744</v>
      </c>
      <c r="C117" s="398">
        <v>498</v>
      </c>
      <c r="D117" s="398">
        <v>432</v>
      </c>
      <c r="E117" s="406">
        <v>55.6</v>
      </c>
      <c r="F117" s="406">
        <v>88.9</v>
      </c>
      <c r="G117" s="398">
        <v>15</v>
      </c>
      <c r="H117" s="470">
        <v>948.1</v>
      </c>
      <c r="I117" s="398">
        <v>320.2</v>
      </c>
      <c r="J117" s="398">
        <v>290.2</v>
      </c>
      <c r="K117" s="398" t="s">
        <v>667</v>
      </c>
      <c r="L117" s="408">
        <v>148</v>
      </c>
      <c r="M117" s="409">
        <v>320</v>
      </c>
      <c r="N117" s="411">
        <v>2.59</v>
      </c>
      <c r="O117" s="411">
        <v>3.48</v>
      </c>
      <c r="P117" s="404" t="s">
        <v>1120</v>
      </c>
      <c r="Q117" s="409">
        <v>500</v>
      </c>
      <c r="R117" s="408">
        <v>342100</v>
      </c>
      <c r="S117" s="408">
        <v>13740</v>
      </c>
      <c r="T117" s="408">
        <v>17170</v>
      </c>
      <c r="U117" s="411">
        <v>19</v>
      </c>
      <c r="V117" s="407">
        <v>256.10000000000002</v>
      </c>
      <c r="W117" s="408">
        <v>119900</v>
      </c>
      <c r="X117" s="408">
        <v>5552</v>
      </c>
      <c r="Y117" s="408">
        <v>8549</v>
      </c>
      <c r="Z117" s="407">
        <v>11.25</v>
      </c>
      <c r="AA117" s="406">
        <v>251</v>
      </c>
      <c r="AB117" s="408">
        <v>21840</v>
      </c>
      <c r="AC117" s="400">
        <v>49980</v>
      </c>
      <c r="AD117" s="398">
        <v>1</v>
      </c>
      <c r="AE117" s="398">
        <v>1</v>
      </c>
      <c r="AF117" s="399">
        <v>1</v>
      </c>
      <c r="AG117" s="398">
        <v>1</v>
      </c>
      <c r="AH117" s="398">
        <v>1</v>
      </c>
      <c r="AI117" s="400">
        <v>1</v>
      </c>
      <c r="AJ117" s="398" t="s">
        <v>661</v>
      </c>
    </row>
    <row r="118" spans="1:36" s="46" customFormat="1" ht="13.5" customHeight="1">
      <c r="A118" s="33" t="s">
        <v>1121</v>
      </c>
      <c r="B118" s="44">
        <v>818</v>
      </c>
      <c r="C118" s="21">
        <v>514</v>
      </c>
      <c r="D118" s="21">
        <v>437</v>
      </c>
      <c r="E118" s="36">
        <v>60.5</v>
      </c>
      <c r="F118" s="36">
        <v>97</v>
      </c>
      <c r="G118" s="21">
        <v>15</v>
      </c>
      <c r="H118" s="49">
        <v>1043</v>
      </c>
      <c r="I118" s="21">
        <v>320</v>
      </c>
      <c r="J118" s="21">
        <v>290</v>
      </c>
      <c r="K118" s="21" t="s">
        <v>667</v>
      </c>
      <c r="L118" s="35">
        <v>154</v>
      </c>
      <c r="M118" s="38">
        <v>326</v>
      </c>
      <c r="N118" s="40">
        <v>2.63</v>
      </c>
      <c r="O118" s="40">
        <v>3.21</v>
      </c>
      <c r="P118" s="33" t="s">
        <v>1122</v>
      </c>
      <c r="Q118" s="44">
        <v>550</v>
      </c>
      <c r="R118" s="35">
        <v>392200</v>
      </c>
      <c r="S118" s="35">
        <v>15260</v>
      </c>
      <c r="T118" s="35">
        <v>19260</v>
      </c>
      <c r="U118" s="40">
        <v>19.39</v>
      </c>
      <c r="V118" s="41">
        <v>283.3</v>
      </c>
      <c r="W118" s="35">
        <v>135500</v>
      </c>
      <c r="X118" s="35">
        <v>6203</v>
      </c>
      <c r="Y118" s="35">
        <v>9561</v>
      </c>
      <c r="Z118" s="41">
        <v>11.4</v>
      </c>
      <c r="AA118" s="36">
        <v>272.10000000000002</v>
      </c>
      <c r="AB118" s="35">
        <v>28510</v>
      </c>
      <c r="AC118" s="42">
        <v>58650</v>
      </c>
      <c r="AD118" s="21">
        <v>1</v>
      </c>
      <c r="AE118" s="21">
        <v>1</v>
      </c>
      <c r="AF118" s="43">
        <v>1</v>
      </c>
      <c r="AG118" s="21">
        <v>1</v>
      </c>
      <c r="AH118" s="21">
        <v>1</v>
      </c>
      <c r="AI118" s="42">
        <v>1</v>
      </c>
      <c r="AJ118" s="21" t="s">
        <v>661</v>
      </c>
    </row>
    <row r="119" spans="1:36" s="443" customFormat="1" ht="13.5" customHeight="1">
      <c r="A119" s="404" t="s">
        <v>1123</v>
      </c>
      <c r="B119" s="409">
        <v>900</v>
      </c>
      <c r="C119" s="398">
        <v>531</v>
      </c>
      <c r="D119" s="398">
        <v>442</v>
      </c>
      <c r="E119" s="406">
        <v>65.900000000000006</v>
      </c>
      <c r="F119" s="406">
        <v>106</v>
      </c>
      <c r="G119" s="398">
        <v>15</v>
      </c>
      <c r="H119" s="472">
        <v>1149</v>
      </c>
      <c r="I119" s="398">
        <v>319</v>
      </c>
      <c r="J119" s="398">
        <v>289</v>
      </c>
      <c r="K119" s="398" t="s">
        <v>667</v>
      </c>
      <c r="L119" s="408">
        <v>158</v>
      </c>
      <c r="M119" s="409">
        <v>330</v>
      </c>
      <c r="N119" s="411">
        <v>2.67</v>
      </c>
      <c r="O119" s="411">
        <v>2.96</v>
      </c>
      <c r="P119" s="404" t="s">
        <v>1124</v>
      </c>
      <c r="Q119" s="409">
        <v>605</v>
      </c>
      <c r="R119" s="408">
        <v>450200</v>
      </c>
      <c r="S119" s="408">
        <v>16960</v>
      </c>
      <c r="T119" s="408">
        <v>21620</v>
      </c>
      <c r="U119" s="411">
        <v>19.79</v>
      </c>
      <c r="V119" s="407">
        <v>313.8</v>
      </c>
      <c r="W119" s="408">
        <v>153300</v>
      </c>
      <c r="X119" s="408">
        <v>6938</v>
      </c>
      <c r="Y119" s="408">
        <v>10710</v>
      </c>
      <c r="Z119" s="407">
        <v>11.55</v>
      </c>
      <c r="AA119" s="406">
        <v>295.5</v>
      </c>
      <c r="AB119" s="408">
        <v>37350</v>
      </c>
      <c r="AC119" s="400">
        <v>68890</v>
      </c>
      <c r="AD119" s="398">
        <v>1</v>
      </c>
      <c r="AE119" s="398">
        <v>1</v>
      </c>
      <c r="AF119" s="399">
        <v>1</v>
      </c>
      <c r="AG119" s="398">
        <v>1</v>
      </c>
      <c r="AH119" s="398">
        <v>1</v>
      </c>
      <c r="AI119" s="400">
        <v>1</v>
      </c>
      <c r="AJ119" s="398" t="s">
        <v>661</v>
      </c>
    </row>
    <row r="120" spans="1:36" s="46" customFormat="1" ht="13.5" customHeight="1">
      <c r="A120" s="33" t="s">
        <v>1125</v>
      </c>
      <c r="B120" s="44">
        <v>990</v>
      </c>
      <c r="C120" s="21">
        <v>550</v>
      </c>
      <c r="D120" s="21">
        <v>448</v>
      </c>
      <c r="E120" s="36">
        <v>71.900000000000006</v>
      </c>
      <c r="F120" s="36">
        <v>115</v>
      </c>
      <c r="G120" s="21">
        <v>15</v>
      </c>
      <c r="H120" s="49">
        <v>1262</v>
      </c>
      <c r="I120" s="21">
        <v>320</v>
      </c>
      <c r="J120" s="21">
        <v>290</v>
      </c>
      <c r="K120" s="21" t="s">
        <v>667</v>
      </c>
      <c r="L120" s="35">
        <v>164</v>
      </c>
      <c r="M120" s="38">
        <v>336</v>
      </c>
      <c r="N120" s="40">
        <v>2.72</v>
      </c>
      <c r="O120" s="40">
        <v>2.75</v>
      </c>
      <c r="P120" s="33" t="s">
        <v>1126</v>
      </c>
      <c r="Q120" s="44">
        <v>665</v>
      </c>
      <c r="R120" s="35">
        <v>518900</v>
      </c>
      <c r="S120" s="35">
        <v>18870</v>
      </c>
      <c r="T120" s="35">
        <v>24280</v>
      </c>
      <c r="U120" s="40">
        <v>20.27</v>
      </c>
      <c r="V120" s="41">
        <v>349.2</v>
      </c>
      <c r="W120" s="35">
        <v>173400</v>
      </c>
      <c r="X120" s="35">
        <v>7739</v>
      </c>
      <c r="Y120" s="35">
        <v>11960</v>
      </c>
      <c r="Z120" s="41">
        <v>11.72</v>
      </c>
      <c r="AA120" s="36">
        <v>319.5</v>
      </c>
      <c r="AB120" s="35">
        <v>48210</v>
      </c>
      <c r="AC120" s="42">
        <v>81530</v>
      </c>
      <c r="AD120" s="21">
        <v>1</v>
      </c>
      <c r="AE120" s="21">
        <v>1</v>
      </c>
      <c r="AF120" s="43">
        <v>1</v>
      </c>
      <c r="AG120" s="21">
        <v>1</v>
      </c>
      <c r="AH120" s="21">
        <v>1</v>
      </c>
      <c r="AI120" s="42">
        <v>1</v>
      </c>
      <c r="AJ120" s="21" t="s">
        <v>661</v>
      </c>
    </row>
    <row r="121" spans="1:36" s="443" customFormat="1" ht="13.5" customHeight="1">
      <c r="A121" s="404" t="s">
        <v>1127</v>
      </c>
      <c r="B121" s="409">
        <v>1086</v>
      </c>
      <c r="C121" s="398">
        <v>569</v>
      </c>
      <c r="D121" s="398">
        <v>454</v>
      </c>
      <c r="E121" s="406">
        <v>78</v>
      </c>
      <c r="F121" s="406">
        <v>125</v>
      </c>
      <c r="G121" s="398">
        <v>15</v>
      </c>
      <c r="H121" s="472">
        <v>1386</v>
      </c>
      <c r="I121" s="398">
        <v>319</v>
      </c>
      <c r="J121" s="398">
        <v>289</v>
      </c>
      <c r="K121" s="398" t="s">
        <v>667</v>
      </c>
      <c r="L121" s="408">
        <v>170</v>
      </c>
      <c r="M121" s="409">
        <v>342</v>
      </c>
      <c r="N121" s="411">
        <v>2.77</v>
      </c>
      <c r="O121" s="411">
        <v>2.5499999999999998</v>
      </c>
      <c r="P121" s="404" t="s">
        <v>1128</v>
      </c>
      <c r="Q121" s="409">
        <v>730</v>
      </c>
      <c r="R121" s="408">
        <v>595700</v>
      </c>
      <c r="S121" s="408">
        <v>20940</v>
      </c>
      <c r="T121" s="408">
        <v>27210</v>
      </c>
      <c r="U121" s="411">
        <v>20.73</v>
      </c>
      <c r="V121" s="407">
        <v>385.8</v>
      </c>
      <c r="W121" s="408">
        <v>196200</v>
      </c>
      <c r="X121" s="408">
        <v>8645</v>
      </c>
      <c r="Y121" s="408">
        <v>13380</v>
      </c>
      <c r="Z121" s="407">
        <v>11.9</v>
      </c>
      <c r="AA121" s="406">
        <v>345.6</v>
      </c>
      <c r="AB121" s="408">
        <v>62290</v>
      </c>
      <c r="AC121" s="400">
        <v>96080</v>
      </c>
      <c r="AD121" s="398">
        <v>1</v>
      </c>
      <c r="AE121" s="398">
        <v>1</v>
      </c>
      <c r="AF121" s="399">
        <v>1</v>
      </c>
      <c r="AG121" s="398">
        <v>1</v>
      </c>
      <c r="AH121" s="398">
        <v>1</v>
      </c>
      <c r="AI121" s="400">
        <v>1</v>
      </c>
      <c r="AJ121" s="398" t="s">
        <v>661</v>
      </c>
    </row>
    <row r="122" spans="1:36" s="46" customFormat="1" ht="13.5" customHeight="1">
      <c r="A122" s="33"/>
      <c r="B122" s="44"/>
      <c r="C122" s="21"/>
      <c r="D122" s="21"/>
      <c r="E122" s="36"/>
      <c r="F122" s="36"/>
      <c r="G122" s="21"/>
      <c r="H122" s="47"/>
      <c r="I122" s="21"/>
      <c r="J122" s="21"/>
      <c r="K122" s="21"/>
      <c r="L122" s="35"/>
      <c r="M122" s="38"/>
      <c r="N122" s="40"/>
      <c r="O122" s="40"/>
      <c r="P122" s="33"/>
      <c r="Q122" s="44"/>
      <c r="R122" s="35"/>
      <c r="S122" s="35"/>
      <c r="T122" s="35"/>
      <c r="U122" s="40"/>
      <c r="V122" s="41"/>
      <c r="W122" s="35"/>
      <c r="X122" s="35"/>
      <c r="Y122" s="35"/>
      <c r="Z122" s="41"/>
      <c r="AA122" s="36"/>
      <c r="AB122" s="21"/>
      <c r="AC122" s="42"/>
      <c r="AD122" s="21"/>
      <c r="AE122" s="21"/>
      <c r="AF122" s="43"/>
      <c r="AG122" s="21"/>
      <c r="AH122" s="21"/>
      <c r="AI122" s="42"/>
      <c r="AJ122" s="21"/>
    </row>
    <row r="123" spans="1:36" s="443" customFormat="1" ht="13.5" customHeight="1">
      <c r="A123" s="404" t="s">
        <v>1129</v>
      </c>
      <c r="B123" s="405">
        <v>38.799999999999997</v>
      </c>
      <c r="C123" s="398">
        <v>399</v>
      </c>
      <c r="D123" s="398">
        <v>140</v>
      </c>
      <c r="E123" s="406">
        <v>6.4</v>
      </c>
      <c r="F123" s="406">
        <v>8.8000000000000007</v>
      </c>
      <c r="G123" s="398">
        <v>10</v>
      </c>
      <c r="H123" s="470">
        <v>49.7</v>
      </c>
      <c r="I123" s="398">
        <v>381.4</v>
      </c>
      <c r="J123" s="398">
        <v>361.4</v>
      </c>
      <c r="K123" s="398" t="s">
        <v>632</v>
      </c>
      <c r="L123" s="408">
        <v>68</v>
      </c>
      <c r="M123" s="409">
        <v>82</v>
      </c>
      <c r="N123" s="411">
        <v>1.33</v>
      </c>
      <c r="O123" s="411">
        <v>34.03</v>
      </c>
      <c r="P123" s="404" t="s">
        <v>1130</v>
      </c>
      <c r="Q123" s="409">
        <v>26</v>
      </c>
      <c r="R123" s="408">
        <v>12620</v>
      </c>
      <c r="S123" s="406">
        <v>632.6</v>
      </c>
      <c r="T123" s="406">
        <v>727.8</v>
      </c>
      <c r="U123" s="411">
        <v>15.93</v>
      </c>
      <c r="V123" s="407">
        <v>27.4</v>
      </c>
      <c r="W123" s="406">
        <v>403.5</v>
      </c>
      <c r="X123" s="411">
        <v>57.65</v>
      </c>
      <c r="Y123" s="411">
        <v>90.55</v>
      </c>
      <c r="Z123" s="407">
        <v>2.85</v>
      </c>
      <c r="AA123" s="411">
        <v>35.67</v>
      </c>
      <c r="AB123" s="411">
        <v>11.17</v>
      </c>
      <c r="AC123" s="439">
        <v>153.19999999999999</v>
      </c>
      <c r="AD123" s="398">
        <v>1</v>
      </c>
      <c r="AE123" s="398">
        <v>1</v>
      </c>
      <c r="AF123" s="399" t="s">
        <v>616</v>
      </c>
      <c r="AG123" s="398">
        <v>4</v>
      </c>
      <c r="AH123" s="398">
        <v>4</v>
      </c>
      <c r="AI123" s="400" t="s">
        <v>616</v>
      </c>
      <c r="AJ123" s="398"/>
    </row>
    <row r="124" spans="1:36" s="46" customFormat="1" ht="13.5" customHeight="1">
      <c r="A124" s="33" t="s">
        <v>1131</v>
      </c>
      <c r="B124" s="34">
        <v>46.1</v>
      </c>
      <c r="C124" s="21">
        <v>403</v>
      </c>
      <c r="D124" s="21">
        <v>140</v>
      </c>
      <c r="E124" s="36">
        <v>7</v>
      </c>
      <c r="F124" s="36">
        <v>11.2</v>
      </c>
      <c r="G124" s="21">
        <v>10</v>
      </c>
      <c r="H124" s="47">
        <v>58.8</v>
      </c>
      <c r="I124" s="21">
        <v>380.6</v>
      </c>
      <c r="J124" s="21">
        <v>360.6</v>
      </c>
      <c r="K124" s="21" t="s">
        <v>632</v>
      </c>
      <c r="L124" s="35">
        <v>68</v>
      </c>
      <c r="M124" s="38">
        <v>82</v>
      </c>
      <c r="N124" s="40">
        <v>1.33</v>
      </c>
      <c r="O124" s="40">
        <v>28.91</v>
      </c>
      <c r="P124" s="33" t="s">
        <v>1132</v>
      </c>
      <c r="Q124" s="44">
        <v>31</v>
      </c>
      <c r="R124" s="35">
        <v>15550</v>
      </c>
      <c r="S124" s="36">
        <v>771.9</v>
      </c>
      <c r="T124" s="36">
        <v>883.6</v>
      </c>
      <c r="U124" s="40">
        <v>16.260000000000002</v>
      </c>
      <c r="V124" s="41">
        <v>30.49</v>
      </c>
      <c r="W124" s="36">
        <v>513.6</v>
      </c>
      <c r="X124" s="40">
        <v>73.37</v>
      </c>
      <c r="Y124" s="36">
        <v>114.9</v>
      </c>
      <c r="Z124" s="41">
        <v>2.95</v>
      </c>
      <c r="AA124" s="40">
        <v>41.11</v>
      </c>
      <c r="AB124" s="40">
        <v>19.25</v>
      </c>
      <c r="AC124" s="50">
        <v>196.6</v>
      </c>
      <c r="AD124" s="21">
        <v>1</v>
      </c>
      <c r="AE124" s="21">
        <v>1</v>
      </c>
      <c r="AF124" s="43" t="s">
        <v>616</v>
      </c>
      <c r="AG124" s="21">
        <v>4</v>
      </c>
      <c r="AH124" s="21">
        <v>4</v>
      </c>
      <c r="AI124" s="42" t="s">
        <v>616</v>
      </c>
      <c r="AJ124" s="21"/>
    </row>
    <row r="125" spans="1:36" s="46" customFormat="1" ht="13.5" customHeight="1">
      <c r="A125" s="33"/>
      <c r="B125" s="34"/>
      <c r="C125" s="21"/>
      <c r="D125" s="21"/>
      <c r="E125" s="36"/>
      <c r="F125" s="36"/>
      <c r="G125" s="21"/>
      <c r="H125" s="47"/>
      <c r="I125" s="21"/>
      <c r="J125" s="21"/>
      <c r="K125" s="21"/>
      <c r="L125" s="35"/>
      <c r="M125" s="38"/>
      <c r="N125" s="40"/>
      <c r="O125" s="40"/>
      <c r="P125" s="33"/>
      <c r="Q125" s="44"/>
      <c r="R125" s="35"/>
      <c r="S125" s="36"/>
      <c r="T125" s="35"/>
      <c r="U125" s="40"/>
      <c r="V125" s="41"/>
      <c r="W125" s="35"/>
      <c r="X125" s="35"/>
      <c r="Y125" s="36"/>
      <c r="Z125" s="41"/>
      <c r="AA125" s="40"/>
      <c r="AB125" s="40"/>
      <c r="AC125" s="50"/>
      <c r="AD125" s="21"/>
      <c r="AE125" s="21"/>
      <c r="AF125" s="43"/>
      <c r="AG125" s="21"/>
      <c r="AH125" s="21"/>
      <c r="AI125" s="42"/>
      <c r="AJ125" s="21"/>
    </row>
    <row r="126" spans="1:36" s="443" customFormat="1" ht="13.5" customHeight="1">
      <c r="A126" s="404" t="s">
        <v>1133</v>
      </c>
      <c r="B126" s="405">
        <v>53</v>
      </c>
      <c r="C126" s="398">
        <v>403</v>
      </c>
      <c r="D126" s="398">
        <v>177</v>
      </c>
      <c r="E126" s="406">
        <v>7.5</v>
      </c>
      <c r="F126" s="406">
        <v>10.9</v>
      </c>
      <c r="G126" s="398">
        <v>10</v>
      </c>
      <c r="H126" s="470">
        <v>68</v>
      </c>
      <c r="I126" s="398">
        <v>381.2</v>
      </c>
      <c r="J126" s="398">
        <v>361.2</v>
      </c>
      <c r="K126" s="398" t="s">
        <v>649</v>
      </c>
      <c r="L126" s="408">
        <v>86</v>
      </c>
      <c r="M126" s="409">
        <v>90</v>
      </c>
      <c r="N126" s="411">
        <v>1.48</v>
      </c>
      <c r="O126" s="411">
        <v>27.76</v>
      </c>
      <c r="P126" s="404" t="s">
        <v>1134</v>
      </c>
      <c r="Q126" s="409">
        <v>36</v>
      </c>
      <c r="R126" s="408">
        <v>18600</v>
      </c>
      <c r="S126" s="406">
        <v>922.9</v>
      </c>
      <c r="T126" s="408">
        <v>1045</v>
      </c>
      <c r="U126" s="411">
        <v>16.54</v>
      </c>
      <c r="V126" s="407">
        <v>32.409999999999997</v>
      </c>
      <c r="W126" s="408">
        <v>1009</v>
      </c>
      <c r="X126" s="406">
        <v>114</v>
      </c>
      <c r="Y126" s="406">
        <v>176.6</v>
      </c>
      <c r="Z126" s="407">
        <v>3.85</v>
      </c>
      <c r="AA126" s="411">
        <v>41.01</v>
      </c>
      <c r="AB126" s="411">
        <v>22.75</v>
      </c>
      <c r="AC126" s="439">
        <v>387.2</v>
      </c>
      <c r="AD126" s="398">
        <v>1</v>
      </c>
      <c r="AE126" s="398">
        <v>1</v>
      </c>
      <c r="AF126" s="399" t="s">
        <v>616</v>
      </c>
      <c r="AG126" s="398">
        <v>4</v>
      </c>
      <c r="AH126" s="398">
        <v>4</v>
      </c>
      <c r="AI126" s="400" t="s">
        <v>616</v>
      </c>
      <c r="AJ126" s="398"/>
    </row>
    <row r="127" spans="1:36" s="46" customFormat="1" ht="13.5" customHeight="1">
      <c r="A127" s="33" t="s">
        <v>1135</v>
      </c>
      <c r="B127" s="34">
        <v>60</v>
      </c>
      <c r="C127" s="21">
        <v>407</v>
      </c>
      <c r="D127" s="21">
        <v>178</v>
      </c>
      <c r="E127" s="36">
        <v>7.7</v>
      </c>
      <c r="F127" s="36">
        <v>12.8</v>
      </c>
      <c r="G127" s="21">
        <v>10</v>
      </c>
      <c r="H127" s="47">
        <v>75.8</v>
      </c>
      <c r="I127" s="21">
        <v>381.4</v>
      </c>
      <c r="J127" s="21">
        <v>361.4</v>
      </c>
      <c r="K127" s="21" t="s">
        <v>649</v>
      </c>
      <c r="L127" s="35">
        <v>86</v>
      </c>
      <c r="M127" s="38">
        <v>90</v>
      </c>
      <c r="N127" s="40">
        <v>1.49</v>
      </c>
      <c r="O127" s="40">
        <v>25.1</v>
      </c>
      <c r="P127" s="33" t="s">
        <v>1136</v>
      </c>
      <c r="Q127" s="44">
        <v>40</v>
      </c>
      <c r="R127" s="35">
        <v>21570</v>
      </c>
      <c r="S127" s="35">
        <v>1060</v>
      </c>
      <c r="T127" s="35">
        <v>1194</v>
      </c>
      <c r="U127" s="40">
        <v>16.87</v>
      </c>
      <c r="V127" s="41">
        <v>33.770000000000003</v>
      </c>
      <c r="W127" s="35">
        <v>1205</v>
      </c>
      <c r="X127" s="36">
        <v>135.4</v>
      </c>
      <c r="Y127" s="36">
        <v>209</v>
      </c>
      <c r="Z127" s="41">
        <v>3.99</v>
      </c>
      <c r="AA127" s="40">
        <v>45.02</v>
      </c>
      <c r="AB127" s="40">
        <v>32.81</v>
      </c>
      <c r="AC127" s="50">
        <v>467.4</v>
      </c>
      <c r="AD127" s="21">
        <v>1</v>
      </c>
      <c r="AE127" s="21">
        <v>1</v>
      </c>
      <c r="AF127" s="43" t="s">
        <v>616</v>
      </c>
      <c r="AG127" s="21">
        <v>4</v>
      </c>
      <c r="AH127" s="21">
        <v>4</v>
      </c>
      <c r="AI127" s="42" t="s">
        <v>616</v>
      </c>
      <c r="AJ127" s="21"/>
    </row>
    <row r="128" spans="1:36" s="443" customFormat="1" ht="13.5" customHeight="1">
      <c r="A128" s="404" t="s">
        <v>1137</v>
      </c>
      <c r="B128" s="405">
        <v>67</v>
      </c>
      <c r="C128" s="398">
        <v>410</v>
      </c>
      <c r="D128" s="398">
        <v>179</v>
      </c>
      <c r="E128" s="406">
        <v>8.8000000000000007</v>
      </c>
      <c r="F128" s="406">
        <v>14.4</v>
      </c>
      <c r="G128" s="398">
        <v>10</v>
      </c>
      <c r="H128" s="470">
        <v>85.8</v>
      </c>
      <c r="I128" s="398">
        <v>381.2</v>
      </c>
      <c r="J128" s="398">
        <v>361.2</v>
      </c>
      <c r="K128" s="398" t="s">
        <v>649</v>
      </c>
      <c r="L128" s="408">
        <v>86</v>
      </c>
      <c r="M128" s="409">
        <v>92</v>
      </c>
      <c r="N128" s="411">
        <v>1.5</v>
      </c>
      <c r="O128" s="411">
        <v>22.29</v>
      </c>
      <c r="P128" s="404" t="s">
        <v>1138</v>
      </c>
      <c r="Q128" s="409">
        <v>45</v>
      </c>
      <c r="R128" s="408">
        <v>24530</v>
      </c>
      <c r="S128" s="408">
        <v>1196</v>
      </c>
      <c r="T128" s="408">
        <v>1354</v>
      </c>
      <c r="U128" s="411">
        <v>16.91</v>
      </c>
      <c r="V128" s="407">
        <v>38.39</v>
      </c>
      <c r="W128" s="408">
        <v>1379</v>
      </c>
      <c r="X128" s="406">
        <v>154.1</v>
      </c>
      <c r="Y128" s="406">
        <v>238.6</v>
      </c>
      <c r="Z128" s="407">
        <v>4.01</v>
      </c>
      <c r="AA128" s="411">
        <v>49.28</v>
      </c>
      <c r="AB128" s="411">
        <v>46.9</v>
      </c>
      <c r="AC128" s="439">
        <v>538.5</v>
      </c>
      <c r="AD128" s="398">
        <v>1</v>
      </c>
      <c r="AE128" s="398">
        <v>1</v>
      </c>
      <c r="AF128" s="399" t="s">
        <v>616</v>
      </c>
      <c r="AG128" s="398">
        <v>3</v>
      </c>
      <c r="AH128" s="398">
        <v>4</v>
      </c>
      <c r="AI128" s="400" t="s">
        <v>616</v>
      </c>
      <c r="AJ128" s="398"/>
    </row>
    <row r="129" spans="1:36" s="46" customFormat="1" ht="13.5" customHeight="1">
      <c r="A129" s="33" t="s">
        <v>1139</v>
      </c>
      <c r="B129" s="34">
        <v>75</v>
      </c>
      <c r="C129" s="21">
        <v>413</v>
      </c>
      <c r="D129" s="21">
        <v>180</v>
      </c>
      <c r="E129" s="36">
        <v>9.6999999999999993</v>
      </c>
      <c r="F129" s="36">
        <v>16</v>
      </c>
      <c r="G129" s="21">
        <v>10</v>
      </c>
      <c r="H129" s="47">
        <v>95.2</v>
      </c>
      <c r="I129" s="21">
        <v>381</v>
      </c>
      <c r="J129" s="21">
        <v>361</v>
      </c>
      <c r="K129" s="21" t="s">
        <v>649</v>
      </c>
      <c r="L129" s="35">
        <v>88</v>
      </c>
      <c r="M129" s="38">
        <v>92</v>
      </c>
      <c r="N129" s="40">
        <v>1.51</v>
      </c>
      <c r="O129" s="40">
        <v>20.190000000000001</v>
      </c>
      <c r="P129" s="33" t="s">
        <v>1140</v>
      </c>
      <c r="Q129" s="44">
        <v>50</v>
      </c>
      <c r="R129" s="35">
        <v>27460</v>
      </c>
      <c r="S129" s="35">
        <v>1330</v>
      </c>
      <c r="T129" s="35">
        <v>1510</v>
      </c>
      <c r="U129" s="40">
        <v>16.98</v>
      </c>
      <c r="V129" s="41">
        <v>42.37</v>
      </c>
      <c r="W129" s="35">
        <v>1559</v>
      </c>
      <c r="X129" s="36">
        <v>173.2</v>
      </c>
      <c r="Y129" s="36">
        <v>268.7</v>
      </c>
      <c r="Z129" s="41">
        <v>4.05</v>
      </c>
      <c r="AA129" s="40">
        <v>53.37</v>
      </c>
      <c r="AB129" s="40">
        <v>63.79</v>
      </c>
      <c r="AC129" s="50">
        <v>612.79999999999995</v>
      </c>
      <c r="AD129" s="21">
        <v>1</v>
      </c>
      <c r="AE129" s="21">
        <v>1</v>
      </c>
      <c r="AF129" s="43" t="s">
        <v>616</v>
      </c>
      <c r="AG129" s="21">
        <v>2</v>
      </c>
      <c r="AH129" s="21">
        <v>4</v>
      </c>
      <c r="AI129" s="42" t="s">
        <v>616</v>
      </c>
      <c r="AJ129" s="21"/>
    </row>
    <row r="130" spans="1:36" s="443" customFormat="1" ht="13.5" customHeight="1">
      <c r="A130" s="404" t="s">
        <v>1141</v>
      </c>
      <c r="B130" s="405">
        <v>85</v>
      </c>
      <c r="C130" s="398">
        <v>417</v>
      </c>
      <c r="D130" s="398">
        <v>181</v>
      </c>
      <c r="E130" s="406">
        <v>10.9</v>
      </c>
      <c r="F130" s="406">
        <v>18.2</v>
      </c>
      <c r="G130" s="398">
        <v>10</v>
      </c>
      <c r="H130" s="470">
        <v>108.3</v>
      </c>
      <c r="I130" s="398">
        <v>380.6</v>
      </c>
      <c r="J130" s="398">
        <v>360.6</v>
      </c>
      <c r="K130" s="398" t="s">
        <v>649</v>
      </c>
      <c r="L130" s="408">
        <v>90</v>
      </c>
      <c r="M130" s="409">
        <v>94</v>
      </c>
      <c r="N130" s="411">
        <v>1.52</v>
      </c>
      <c r="O130" s="411">
        <v>17.87</v>
      </c>
      <c r="P130" s="404" t="s">
        <v>1142</v>
      </c>
      <c r="Q130" s="409">
        <v>57</v>
      </c>
      <c r="R130" s="408">
        <v>31530</v>
      </c>
      <c r="S130" s="408">
        <v>1512</v>
      </c>
      <c r="T130" s="408">
        <v>1725</v>
      </c>
      <c r="U130" s="411">
        <v>17.059999999999999</v>
      </c>
      <c r="V130" s="407">
        <v>48.05</v>
      </c>
      <c r="W130" s="408">
        <v>1803</v>
      </c>
      <c r="X130" s="406">
        <v>199.3</v>
      </c>
      <c r="Y130" s="406">
        <v>310.10000000000002</v>
      </c>
      <c r="Z130" s="407">
        <v>4.08</v>
      </c>
      <c r="AA130" s="411">
        <v>59.04</v>
      </c>
      <c r="AB130" s="411">
        <v>93.24</v>
      </c>
      <c r="AC130" s="439">
        <v>715.2</v>
      </c>
      <c r="AD130" s="398">
        <v>1</v>
      </c>
      <c r="AE130" s="398">
        <v>1</v>
      </c>
      <c r="AF130" s="399" t="s">
        <v>616</v>
      </c>
      <c r="AG130" s="398">
        <v>2</v>
      </c>
      <c r="AH130" s="398">
        <v>3</v>
      </c>
      <c r="AI130" s="400" t="s">
        <v>616</v>
      </c>
      <c r="AJ130" s="398"/>
    </row>
    <row r="131" spans="1:36" s="46" customFormat="1" ht="13.5" customHeight="1">
      <c r="A131" s="33"/>
      <c r="B131" s="34"/>
      <c r="C131" s="21"/>
      <c r="D131" s="21"/>
      <c r="E131" s="36"/>
      <c r="F131" s="36"/>
      <c r="G131" s="21"/>
      <c r="H131" s="47"/>
      <c r="I131" s="21"/>
      <c r="J131" s="21"/>
      <c r="K131" s="21"/>
      <c r="L131" s="35"/>
      <c r="M131" s="38"/>
      <c r="N131" s="40"/>
      <c r="O131" s="40"/>
      <c r="P131" s="33"/>
      <c r="Q131" s="44"/>
      <c r="R131" s="35"/>
      <c r="S131" s="35"/>
      <c r="T131" s="35"/>
      <c r="U131" s="40"/>
      <c r="V131" s="41"/>
      <c r="W131" s="36"/>
      <c r="X131" s="40"/>
      <c r="Y131" s="36"/>
      <c r="Z131" s="41"/>
      <c r="AA131" s="40"/>
      <c r="AB131" s="40"/>
      <c r="AC131" s="50"/>
      <c r="AD131" s="21"/>
      <c r="AE131" s="21"/>
      <c r="AF131" s="43"/>
      <c r="AG131" s="21"/>
      <c r="AH131" s="21"/>
      <c r="AI131" s="42"/>
      <c r="AJ131" s="21"/>
    </row>
    <row r="132" spans="1:36" s="443" customFormat="1" ht="13.5" customHeight="1">
      <c r="A132" s="404" t="s">
        <v>1143</v>
      </c>
      <c r="B132" s="405">
        <v>52</v>
      </c>
      <c r="C132" s="398">
        <v>450</v>
      </c>
      <c r="D132" s="398">
        <v>152</v>
      </c>
      <c r="E132" s="406">
        <v>7.6</v>
      </c>
      <c r="F132" s="406">
        <v>10.8</v>
      </c>
      <c r="G132" s="398">
        <v>10</v>
      </c>
      <c r="H132" s="470">
        <v>66.2</v>
      </c>
      <c r="I132" s="398">
        <v>428.4</v>
      </c>
      <c r="J132" s="398">
        <v>408.4</v>
      </c>
      <c r="K132" s="398" t="s">
        <v>639</v>
      </c>
      <c r="L132" s="408">
        <v>76</v>
      </c>
      <c r="M132" s="409">
        <v>82</v>
      </c>
      <c r="N132" s="411">
        <v>1.48</v>
      </c>
      <c r="O132" s="411">
        <v>28.37</v>
      </c>
      <c r="P132" s="404" t="s">
        <v>1144</v>
      </c>
      <c r="Q132" s="409">
        <v>35</v>
      </c>
      <c r="R132" s="408">
        <v>21200</v>
      </c>
      <c r="S132" s="408">
        <v>942</v>
      </c>
      <c r="T132" s="408">
        <v>1088</v>
      </c>
      <c r="U132" s="411">
        <v>17.89</v>
      </c>
      <c r="V132" s="407">
        <v>36.4</v>
      </c>
      <c r="W132" s="406">
        <v>634</v>
      </c>
      <c r="X132" s="411">
        <v>83.43</v>
      </c>
      <c r="Y132" s="406">
        <v>131.5</v>
      </c>
      <c r="Z132" s="407">
        <v>3.09</v>
      </c>
      <c r="AA132" s="411">
        <v>40.92</v>
      </c>
      <c r="AB132" s="411">
        <v>21.24</v>
      </c>
      <c r="AC132" s="439">
        <v>304.8</v>
      </c>
      <c r="AD132" s="398">
        <v>1</v>
      </c>
      <c r="AE132" s="398">
        <v>1</v>
      </c>
      <c r="AF132" s="399" t="s">
        <v>616</v>
      </c>
      <c r="AG132" s="398">
        <v>4</v>
      </c>
      <c r="AH132" s="398">
        <v>4</v>
      </c>
      <c r="AI132" s="400" t="s">
        <v>616</v>
      </c>
      <c r="AJ132" s="398"/>
    </row>
    <row r="133" spans="1:36" s="46" customFormat="1" ht="13.5" customHeight="1">
      <c r="A133" s="33" t="s">
        <v>1145</v>
      </c>
      <c r="B133" s="34">
        <v>60</v>
      </c>
      <c r="C133" s="21">
        <v>455</v>
      </c>
      <c r="D133" s="21">
        <v>153</v>
      </c>
      <c r="E133" s="36">
        <v>8</v>
      </c>
      <c r="F133" s="36">
        <v>13.3</v>
      </c>
      <c r="G133" s="21">
        <v>10</v>
      </c>
      <c r="H133" s="47">
        <v>75.8</v>
      </c>
      <c r="I133" s="21">
        <v>428.4</v>
      </c>
      <c r="J133" s="21">
        <v>408.4</v>
      </c>
      <c r="K133" s="21" t="s">
        <v>639</v>
      </c>
      <c r="L133" s="35">
        <v>76</v>
      </c>
      <c r="M133" s="38">
        <v>84</v>
      </c>
      <c r="N133" s="40">
        <v>1.49</v>
      </c>
      <c r="O133" s="40">
        <v>25.01</v>
      </c>
      <c r="P133" s="33" t="s">
        <v>1146</v>
      </c>
      <c r="Q133" s="44">
        <v>40</v>
      </c>
      <c r="R133" s="35">
        <v>25480</v>
      </c>
      <c r="S133" s="35">
        <v>1120</v>
      </c>
      <c r="T133" s="35">
        <v>1284</v>
      </c>
      <c r="U133" s="40">
        <v>18.329999999999998</v>
      </c>
      <c r="V133" s="41">
        <v>38.85</v>
      </c>
      <c r="W133" s="36">
        <v>796.1</v>
      </c>
      <c r="X133" s="36">
        <v>104.1</v>
      </c>
      <c r="Y133" s="36">
        <v>163.1</v>
      </c>
      <c r="Z133" s="41">
        <v>3.24</v>
      </c>
      <c r="AA133" s="40">
        <v>46.32</v>
      </c>
      <c r="AB133" s="40">
        <v>33.58</v>
      </c>
      <c r="AC133" s="50">
        <v>387.2</v>
      </c>
      <c r="AD133" s="21">
        <v>1</v>
      </c>
      <c r="AE133" s="21">
        <v>1</v>
      </c>
      <c r="AF133" s="43" t="s">
        <v>616</v>
      </c>
      <c r="AG133" s="21">
        <v>4</v>
      </c>
      <c r="AH133" s="21">
        <v>4</v>
      </c>
      <c r="AI133" s="42" t="s">
        <v>616</v>
      </c>
      <c r="AJ133" s="21"/>
    </row>
    <row r="134" spans="1:36" s="443" customFormat="1" ht="13.5" customHeight="1">
      <c r="A134" s="404" t="s">
        <v>1147</v>
      </c>
      <c r="B134" s="405">
        <v>68</v>
      </c>
      <c r="C134" s="398">
        <v>459</v>
      </c>
      <c r="D134" s="398">
        <v>154</v>
      </c>
      <c r="E134" s="406">
        <v>9.1</v>
      </c>
      <c r="F134" s="406">
        <v>15.4</v>
      </c>
      <c r="G134" s="398">
        <v>10</v>
      </c>
      <c r="H134" s="470">
        <v>87.3</v>
      </c>
      <c r="I134" s="398">
        <v>428.2</v>
      </c>
      <c r="J134" s="398">
        <v>408.2</v>
      </c>
      <c r="K134" s="398" t="s">
        <v>639</v>
      </c>
      <c r="L134" s="408">
        <v>78</v>
      </c>
      <c r="M134" s="409">
        <v>84</v>
      </c>
      <c r="N134" s="411">
        <v>1.5</v>
      </c>
      <c r="O134" s="411">
        <v>21.88</v>
      </c>
      <c r="P134" s="404" t="s">
        <v>1148</v>
      </c>
      <c r="Q134" s="409">
        <v>46</v>
      </c>
      <c r="R134" s="408">
        <v>29680</v>
      </c>
      <c r="S134" s="408">
        <v>1293</v>
      </c>
      <c r="T134" s="408">
        <v>1487</v>
      </c>
      <c r="U134" s="411">
        <v>18.440000000000001</v>
      </c>
      <c r="V134" s="407">
        <v>44.31</v>
      </c>
      <c r="W134" s="406">
        <v>940.5</v>
      </c>
      <c r="X134" s="406">
        <v>122.1</v>
      </c>
      <c r="Y134" s="406">
        <v>192.1</v>
      </c>
      <c r="Z134" s="407">
        <v>3.28</v>
      </c>
      <c r="AA134" s="411">
        <v>51.62</v>
      </c>
      <c r="AB134" s="411">
        <v>51.07</v>
      </c>
      <c r="AC134" s="439">
        <v>461.2</v>
      </c>
      <c r="AD134" s="398">
        <v>1</v>
      </c>
      <c r="AE134" s="398">
        <v>1</v>
      </c>
      <c r="AF134" s="399" t="s">
        <v>616</v>
      </c>
      <c r="AG134" s="398">
        <v>4</v>
      </c>
      <c r="AH134" s="398">
        <v>4</v>
      </c>
      <c r="AI134" s="400" t="s">
        <v>616</v>
      </c>
      <c r="AJ134" s="398"/>
    </row>
    <row r="135" spans="1:36" s="46" customFormat="1" ht="13.5" customHeight="1">
      <c r="A135" s="33"/>
      <c r="B135" s="34"/>
      <c r="C135" s="21"/>
      <c r="D135" s="21"/>
      <c r="E135" s="36"/>
      <c r="F135" s="36"/>
      <c r="G135" s="21"/>
      <c r="H135" s="47"/>
      <c r="I135" s="21"/>
      <c r="J135" s="21"/>
      <c r="K135" s="21"/>
      <c r="L135" s="35"/>
      <c r="M135" s="38"/>
      <c r="N135" s="40"/>
      <c r="O135" s="40"/>
      <c r="P135" s="33"/>
      <c r="Q135" s="44"/>
      <c r="R135" s="35"/>
      <c r="S135" s="35"/>
      <c r="T135" s="35"/>
      <c r="U135" s="40"/>
      <c r="V135" s="41"/>
      <c r="W135" s="35"/>
      <c r="X135" s="36"/>
      <c r="Y135" s="36"/>
      <c r="Z135" s="41"/>
      <c r="AA135" s="40"/>
      <c r="AB135" s="40"/>
      <c r="AC135" s="42"/>
      <c r="AD135" s="21"/>
      <c r="AE135" s="21"/>
      <c r="AF135" s="43"/>
      <c r="AG135" s="21"/>
      <c r="AH135" s="21"/>
      <c r="AI135" s="42"/>
      <c r="AJ135" s="21"/>
    </row>
    <row r="136" spans="1:36" s="443" customFormat="1" ht="13.5" customHeight="1">
      <c r="A136" s="404" t="s">
        <v>1149</v>
      </c>
      <c r="B136" s="405">
        <v>61</v>
      </c>
      <c r="C136" s="398">
        <v>450</v>
      </c>
      <c r="D136" s="398">
        <v>189</v>
      </c>
      <c r="E136" s="406">
        <v>8.1</v>
      </c>
      <c r="F136" s="406">
        <v>10.8</v>
      </c>
      <c r="G136" s="398">
        <v>10</v>
      </c>
      <c r="H136" s="470">
        <v>76.400000000000006</v>
      </c>
      <c r="I136" s="398">
        <v>428.4</v>
      </c>
      <c r="J136" s="398">
        <v>408.4</v>
      </c>
      <c r="K136" s="398" t="s">
        <v>656</v>
      </c>
      <c r="L136" s="408">
        <v>92</v>
      </c>
      <c r="M136" s="409">
        <v>96</v>
      </c>
      <c r="N136" s="411">
        <v>1.62</v>
      </c>
      <c r="O136" s="411">
        <v>27.06</v>
      </c>
      <c r="P136" s="404" t="s">
        <v>1150</v>
      </c>
      <c r="Q136" s="409">
        <v>41</v>
      </c>
      <c r="R136" s="408">
        <v>25380</v>
      </c>
      <c r="S136" s="408">
        <v>1128</v>
      </c>
      <c r="T136" s="408">
        <v>1286</v>
      </c>
      <c r="U136" s="411">
        <v>18.23</v>
      </c>
      <c r="V136" s="407">
        <v>38.590000000000003</v>
      </c>
      <c r="W136" s="406">
        <v>1217.5</v>
      </c>
      <c r="X136" s="406">
        <v>128.80000000000001</v>
      </c>
      <c r="Y136" s="406">
        <v>200.5</v>
      </c>
      <c r="Z136" s="407">
        <v>3.99</v>
      </c>
      <c r="AA136" s="411">
        <v>41.42</v>
      </c>
      <c r="AB136" s="411">
        <v>26.02</v>
      </c>
      <c r="AC136" s="400">
        <v>586</v>
      </c>
      <c r="AD136" s="398">
        <v>1</v>
      </c>
      <c r="AE136" s="398">
        <v>2</v>
      </c>
      <c r="AF136" s="399" t="s">
        <v>616</v>
      </c>
      <c r="AG136" s="398">
        <v>4</v>
      </c>
      <c r="AH136" s="398">
        <v>4</v>
      </c>
      <c r="AI136" s="400" t="s">
        <v>616</v>
      </c>
      <c r="AJ136" s="398"/>
    </row>
    <row r="137" spans="1:36" s="46" customFormat="1" ht="13.5" customHeight="1">
      <c r="A137" s="33" t="s">
        <v>1151</v>
      </c>
      <c r="B137" s="34">
        <v>67</v>
      </c>
      <c r="C137" s="21">
        <v>454</v>
      </c>
      <c r="D137" s="21">
        <v>190</v>
      </c>
      <c r="E137" s="36">
        <v>8.5</v>
      </c>
      <c r="F137" s="36">
        <v>12.7</v>
      </c>
      <c r="G137" s="21">
        <v>10</v>
      </c>
      <c r="H137" s="47">
        <v>85.5</v>
      </c>
      <c r="I137" s="21">
        <v>428.6</v>
      </c>
      <c r="J137" s="21">
        <v>408.6</v>
      </c>
      <c r="K137" s="21" t="s">
        <v>656</v>
      </c>
      <c r="L137" s="35">
        <v>92</v>
      </c>
      <c r="M137" s="38">
        <v>96</v>
      </c>
      <c r="N137" s="40">
        <v>1.63</v>
      </c>
      <c r="O137" s="40">
        <v>24.33</v>
      </c>
      <c r="P137" s="33" t="s">
        <v>1152</v>
      </c>
      <c r="Q137" s="44">
        <v>45</v>
      </c>
      <c r="R137" s="35">
        <v>29470</v>
      </c>
      <c r="S137" s="35">
        <v>1298</v>
      </c>
      <c r="T137" s="35">
        <v>1473</v>
      </c>
      <c r="U137" s="40">
        <v>18.559999999999999</v>
      </c>
      <c r="V137" s="41">
        <v>40.909999999999997</v>
      </c>
      <c r="W137" s="36">
        <v>1454.4</v>
      </c>
      <c r="X137" s="36">
        <v>153.1</v>
      </c>
      <c r="Y137" s="36">
        <v>237.5</v>
      </c>
      <c r="Z137" s="41">
        <v>4.12</v>
      </c>
      <c r="AA137" s="40">
        <v>45.62</v>
      </c>
      <c r="AB137" s="40">
        <v>37.46</v>
      </c>
      <c r="AC137" s="42">
        <v>706.8</v>
      </c>
      <c r="AD137" s="21">
        <v>1</v>
      </c>
      <c r="AE137" s="21">
        <v>1</v>
      </c>
      <c r="AF137" s="43" t="s">
        <v>616</v>
      </c>
      <c r="AG137" s="21">
        <v>4</v>
      </c>
      <c r="AH137" s="21">
        <v>4</v>
      </c>
      <c r="AI137" s="42" t="s">
        <v>616</v>
      </c>
      <c r="AJ137" s="21"/>
    </row>
    <row r="138" spans="1:36" s="443" customFormat="1" ht="13.5" customHeight="1">
      <c r="A138" s="404" t="s">
        <v>1153</v>
      </c>
      <c r="B138" s="405">
        <v>74</v>
      </c>
      <c r="C138" s="398">
        <v>457</v>
      </c>
      <c r="D138" s="398">
        <v>190</v>
      </c>
      <c r="E138" s="406">
        <v>9</v>
      </c>
      <c r="F138" s="406">
        <v>14.5</v>
      </c>
      <c r="G138" s="398">
        <v>10</v>
      </c>
      <c r="H138" s="470">
        <v>94.6</v>
      </c>
      <c r="I138" s="398">
        <v>428</v>
      </c>
      <c r="J138" s="398">
        <v>408</v>
      </c>
      <c r="K138" s="398" t="s">
        <v>656</v>
      </c>
      <c r="L138" s="408">
        <v>92</v>
      </c>
      <c r="M138" s="409">
        <v>96</v>
      </c>
      <c r="N138" s="411">
        <v>1.64</v>
      </c>
      <c r="O138" s="411">
        <v>22.08</v>
      </c>
      <c r="P138" s="404" t="s">
        <v>1154</v>
      </c>
      <c r="Q138" s="409">
        <v>50</v>
      </c>
      <c r="R138" s="408">
        <v>33260</v>
      </c>
      <c r="S138" s="408">
        <v>1456</v>
      </c>
      <c r="T138" s="408">
        <v>1650</v>
      </c>
      <c r="U138" s="411">
        <v>18.75</v>
      </c>
      <c r="V138" s="407">
        <v>43.67</v>
      </c>
      <c r="W138" s="408">
        <v>1661</v>
      </c>
      <c r="X138" s="406">
        <v>174.8</v>
      </c>
      <c r="Y138" s="406">
        <v>271</v>
      </c>
      <c r="Z138" s="407">
        <v>4.1900000000000004</v>
      </c>
      <c r="AA138" s="411">
        <v>49.74</v>
      </c>
      <c r="AB138" s="411">
        <v>52.03</v>
      </c>
      <c r="AC138" s="400">
        <v>811.4</v>
      </c>
      <c r="AD138" s="398">
        <v>1</v>
      </c>
      <c r="AE138" s="398">
        <v>1</v>
      </c>
      <c r="AF138" s="399" t="s">
        <v>616</v>
      </c>
      <c r="AG138" s="398">
        <v>4</v>
      </c>
      <c r="AH138" s="398">
        <v>4</v>
      </c>
      <c r="AI138" s="400" t="s">
        <v>616</v>
      </c>
      <c r="AJ138" s="398"/>
    </row>
    <row r="139" spans="1:36" s="46" customFormat="1" ht="13.5" customHeight="1">
      <c r="A139" s="33" t="s">
        <v>1155</v>
      </c>
      <c r="B139" s="34">
        <v>82</v>
      </c>
      <c r="C139" s="21">
        <v>460</v>
      </c>
      <c r="D139" s="21">
        <v>191</v>
      </c>
      <c r="E139" s="36">
        <v>9.9</v>
      </c>
      <c r="F139" s="36">
        <v>16</v>
      </c>
      <c r="G139" s="21">
        <v>10</v>
      </c>
      <c r="H139" s="47">
        <v>104.4</v>
      </c>
      <c r="I139" s="21">
        <v>428</v>
      </c>
      <c r="J139" s="21">
        <v>408</v>
      </c>
      <c r="K139" s="21" t="s">
        <v>656</v>
      </c>
      <c r="L139" s="35">
        <v>92</v>
      </c>
      <c r="M139" s="38">
        <v>98</v>
      </c>
      <c r="N139" s="40">
        <v>1.65</v>
      </c>
      <c r="O139" s="40">
        <v>20.100000000000001</v>
      </c>
      <c r="P139" s="33" t="s">
        <v>1156</v>
      </c>
      <c r="Q139" s="44">
        <v>55</v>
      </c>
      <c r="R139" s="35">
        <v>37000</v>
      </c>
      <c r="S139" s="35">
        <v>1608</v>
      </c>
      <c r="T139" s="35">
        <v>1829</v>
      </c>
      <c r="U139" s="40">
        <v>18.829999999999998</v>
      </c>
      <c r="V139" s="41">
        <v>48.06</v>
      </c>
      <c r="W139" s="35">
        <v>1862</v>
      </c>
      <c r="X139" s="36">
        <v>195</v>
      </c>
      <c r="Y139" s="36">
        <v>303</v>
      </c>
      <c r="Z139" s="41">
        <v>4.22</v>
      </c>
      <c r="AA139" s="40">
        <v>53.63</v>
      </c>
      <c r="AB139" s="40">
        <v>69.55</v>
      </c>
      <c r="AC139" s="42">
        <v>915.7</v>
      </c>
      <c r="AD139" s="21">
        <v>1</v>
      </c>
      <c r="AE139" s="21">
        <v>1</v>
      </c>
      <c r="AF139" s="43" t="s">
        <v>616</v>
      </c>
      <c r="AG139" s="21">
        <v>3</v>
      </c>
      <c r="AH139" s="21">
        <v>4</v>
      </c>
      <c r="AI139" s="42" t="s">
        <v>616</v>
      </c>
      <c r="AJ139" s="21"/>
    </row>
    <row r="140" spans="1:36" s="443" customFormat="1" ht="13.5" customHeight="1">
      <c r="A140" s="404" t="s">
        <v>1157</v>
      </c>
      <c r="B140" s="405">
        <v>89</v>
      </c>
      <c r="C140" s="398">
        <v>463</v>
      </c>
      <c r="D140" s="398">
        <v>192</v>
      </c>
      <c r="E140" s="406">
        <v>10.5</v>
      </c>
      <c r="F140" s="406">
        <v>17.7</v>
      </c>
      <c r="G140" s="398">
        <v>10</v>
      </c>
      <c r="H140" s="470">
        <v>113.9</v>
      </c>
      <c r="I140" s="398">
        <v>427.6</v>
      </c>
      <c r="J140" s="398">
        <v>407.6</v>
      </c>
      <c r="K140" s="398" t="s">
        <v>656</v>
      </c>
      <c r="L140" s="408">
        <v>94</v>
      </c>
      <c r="M140" s="409">
        <v>98</v>
      </c>
      <c r="N140" s="411">
        <v>1.66</v>
      </c>
      <c r="O140" s="411">
        <v>18.52</v>
      </c>
      <c r="P140" s="404" t="s">
        <v>1158</v>
      </c>
      <c r="Q140" s="409">
        <v>60</v>
      </c>
      <c r="R140" s="408">
        <v>40960</v>
      </c>
      <c r="S140" s="408">
        <v>1769</v>
      </c>
      <c r="T140" s="408">
        <v>2013</v>
      </c>
      <c r="U140" s="411">
        <v>18.96</v>
      </c>
      <c r="V140" s="407">
        <v>51.33</v>
      </c>
      <c r="W140" s="408">
        <v>2093</v>
      </c>
      <c r="X140" s="406">
        <v>218</v>
      </c>
      <c r="Y140" s="406">
        <v>338.8</v>
      </c>
      <c r="Z140" s="407">
        <v>4.29</v>
      </c>
      <c r="AA140" s="411">
        <v>57.66</v>
      </c>
      <c r="AB140" s="411">
        <v>91.36</v>
      </c>
      <c r="AC140" s="400">
        <v>1035</v>
      </c>
      <c r="AD140" s="398">
        <v>1</v>
      </c>
      <c r="AE140" s="398">
        <v>1</v>
      </c>
      <c r="AF140" s="399" t="s">
        <v>616</v>
      </c>
      <c r="AG140" s="398">
        <v>3</v>
      </c>
      <c r="AH140" s="398">
        <v>4</v>
      </c>
      <c r="AI140" s="400" t="s">
        <v>616</v>
      </c>
      <c r="AJ140" s="398"/>
    </row>
    <row r="141" spans="1:36" s="46" customFormat="1" ht="13.5" customHeight="1">
      <c r="A141" s="33" t="s">
        <v>1159</v>
      </c>
      <c r="B141" s="34">
        <v>97</v>
      </c>
      <c r="C141" s="21">
        <v>466</v>
      </c>
      <c r="D141" s="21">
        <v>193</v>
      </c>
      <c r="E141" s="36">
        <v>11.4</v>
      </c>
      <c r="F141" s="36">
        <v>19</v>
      </c>
      <c r="G141" s="21">
        <v>10</v>
      </c>
      <c r="H141" s="47">
        <v>123.5</v>
      </c>
      <c r="I141" s="21">
        <v>427.8</v>
      </c>
      <c r="J141" s="21">
        <v>407.8</v>
      </c>
      <c r="K141" s="21" t="s">
        <v>656</v>
      </c>
      <c r="L141" s="35">
        <v>94</v>
      </c>
      <c r="M141" s="38">
        <v>100</v>
      </c>
      <c r="N141" s="40">
        <v>1.66</v>
      </c>
      <c r="O141" s="40">
        <v>17.170000000000002</v>
      </c>
      <c r="P141" s="33" t="s">
        <v>1160</v>
      </c>
      <c r="Q141" s="44">
        <v>65</v>
      </c>
      <c r="R141" s="35">
        <v>44680</v>
      </c>
      <c r="S141" s="35">
        <v>1917</v>
      </c>
      <c r="T141" s="35">
        <v>2189</v>
      </c>
      <c r="U141" s="40">
        <v>19.02</v>
      </c>
      <c r="V141" s="41">
        <v>55.76</v>
      </c>
      <c r="W141" s="35">
        <v>2282</v>
      </c>
      <c r="X141" s="36">
        <v>237.8</v>
      </c>
      <c r="Y141" s="36">
        <v>370.4</v>
      </c>
      <c r="Z141" s="41">
        <v>4.3099999999999996</v>
      </c>
      <c r="AA141" s="40">
        <v>61.35</v>
      </c>
      <c r="AB141" s="36">
        <v>113.9</v>
      </c>
      <c r="AC141" s="42">
        <v>1137</v>
      </c>
      <c r="AD141" s="21">
        <v>1</v>
      </c>
      <c r="AE141" s="21">
        <v>1</v>
      </c>
      <c r="AF141" s="43" t="s">
        <v>616</v>
      </c>
      <c r="AG141" s="21">
        <v>2</v>
      </c>
      <c r="AH141" s="21">
        <v>4</v>
      </c>
      <c r="AI141" s="42" t="s">
        <v>616</v>
      </c>
      <c r="AJ141" s="21"/>
    </row>
    <row r="142" spans="1:36" s="443" customFormat="1" ht="13.5" customHeight="1">
      <c r="A142" s="404" t="s">
        <v>1161</v>
      </c>
      <c r="B142" s="409">
        <v>106</v>
      </c>
      <c r="C142" s="398">
        <v>469</v>
      </c>
      <c r="D142" s="398">
        <v>194</v>
      </c>
      <c r="E142" s="406">
        <v>12.6</v>
      </c>
      <c r="F142" s="406">
        <v>20.6</v>
      </c>
      <c r="G142" s="398">
        <v>10</v>
      </c>
      <c r="H142" s="470">
        <v>134.6</v>
      </c>
      <c r="I142" s="398">
        <v>427.8</v>
      </c>
      <c r="J142" s="398">
        <v>407.8</v>
      </c>
      <c r="K142" s="398" t="s">
        <v>656</v>
      </c>
      <c r="L142" s="408">
        <v>96</v>
      </c>
      <c r="M142" s="409">
        <v>100</v>
      </c>
      <c r="N142" s="411">
        <v>1.67</v>
      </c>
      <c r="O142" s="411">
        <v>15.83</v>
      </c>
      <c r="P142" s="404" t="s">
        <v>1162</v>
      </c>
      <c r="Q142" s="409">
        <v>71</v>
      </c>
      <c r="R142" s="408">
        <v>48790</v>
      </c>
      <c r="S142" s="408">
        <v>2081</v>
      </c>
      <c r="T142" s="408">
        <v>2385</v>
      </c>
      <c r="U142" s="411">
        <v>19.04</v>
      </c>
      <c r="V142" s="407">
        <v>61.34</v>
      </c>
      <c r="W142" s="408">
        <v>2515</v>
      </c>
      <c r="X142" s="406">
        <v>259.2</v>
      </c>
      <c r="Y142" s="406">
        <v>405.3</v>
      </c>
      <c r="Z142" s="407">
        <v>4.32</v>
      </c>
      <c r="AA142" s="411">
        <v>65.489999999999995</v>
      </c>
      <c r="AB142" s="406">
        <v>146.6</v>
      </c>
      <c r="AC142" s="400">
        <v>1260</v>
      </c>
      <c r="AD142" s="398">
        <v>1</v>
      </c>
      <c r="AE142" s="398">
        <v>1</v>
      </c>
      <c r="AF142" s="399" t="s">
        <v>616</v>
      </c>
      <c r="AG142" s="398">
        <v>1</v>
      </c>
      <c r="AH142" s="398">
        <v>3</v>
      </c>
      <c r="AI142" s="400" t="s">
        <v>616</v>
      </c>
      <c r="AJ142" s="398"/>
    </row>
    <row r="143" spans="1:36" s="46" customFormat="1" ht="13.5" customHeight="1">
      <c r="A143" s="33"/>
      <c r="B143" s="44"/>
      <c r="C143" s="21"/>
      <c r="D143" s="21"/>
      <c r="E143" s="36"/>
      <c r="F143" s="36"/>
      <c r="G143" s="21"/>
      <c r="H143" s="47"/>
      <c r="I143" s="21"/>
      <c r="J143" s="21"/>
      <c r="K143" s="21"/>
      <c r="L143" s="35"/>
      <c r="M143" s="38"/>
      <c r="N143" s="40"/>
      <c r="O143" s="40"/>
      <c r="P143" s="33"/>
      <c r="Q143" s="44"/>
      <c r="R143" s="35"/>
      <c r="S143" s="35"/>
      <c r="T143" s="35"/>
      <c r="U143" s="40"/>
      <c r="V143" s="41"/>
      <c r="W143" s="35"/>
      <c r="X143" s="36"/>
      <c r="Y143" s="36"/>
      <c r="Z143" s="41"/>
      <c r="AA143" s="40"/>
      <c r="AB143" s="36"/>
      <c r="AC143" s="42"/>
      <c r="AD143" s="21"/>
      <c r="AE143" s="21"/>
      <c r="AF143" s="43"/>
      <c r="AG143" s="21"/>
      <c r="AH143" s="21"/>
      <c r="AI143" s="42"/>
      <c r="AJ143" s="21"/>
    </row>
    <row r="144" spans="1:36" s="443" customFormat="1" ht="13.5" customHeight="1">
      <c r="A144" s="404" t="s">
        <v>1163</v>
      </c>
      <c r="B144" s="409">
        <v>113</v>
      </c>
      <c r="C144" s="398">
        <v>463</v>
      </c>
      <c r="D144" s="398">
        <v>280</v>
      </c>
      <c r="E144" s="406">
        <v>10.8</v>
      </c>
      <c r="F144" s="406">
        <v>17.3</v>
      </c>
      <c r="G144" s="398">
        <v>10</v>
      </c>
      <c r="H144" s="470">
        <v>144</v>
      </c>
      <c r="I144" s="398">
        <v>428.4</v>
      </c>
      <c r="J144" s="398">
        <v>408.4</v>
      </c>
      <c r="K144" s="398" t="s">
        <v>667</v>
      </c>
      <c r="L144" s="408">
        <v>90</v>
      </c>
      <c r="M144" s="409">
        <v>174</v>
      </c>
      <c r="N144" s="411">
        <v>2.0099999999999998</v>
      </c>
      <c r="O144" s="411">
        <v>17.760000000000002</v>
      </c>
      <c r="P144" s="404" t="s">
        <v>1164</v>
      </c>
      <c r="Q144" s="409">
        <v>76</v>
      </c>
      <c r="R144" s="408">
        <v>55600</v>
      </c>
      <c r="S144" s="408">
        <v>2402</v>
      </c>
      <c r="T144" s="408">
        <v>2673</v>
      </c>
      <c r="U144" s="411">
        <v>19.649999999999999</v>
      </c>
      <c r="V144" s="407">
        <v>52.45</v>
      </c>
      <c r="W144" s="408">
        <v>6335</v>
      </c>
      <c r="X144" s="406">
        <v>452.5</v>
      </c>
      <c r="Y144" s="406">
        <v>691.3</v>
      </c>
      <c r="Z144" s="407">
        <v>6.63</v>
      </c>
      <c r="AA144" s="411">
        <v>57.12</v>
      </c>
      <c r="AB144" s="406">
        <v>118.8</v>
      </c>
      <c r="AC144" s="400">
        <v>3143</v>
      </c>
      <c r="AD144" s="398">
        <v>1</v>
      </c>
      <c r="AE144" s="398">
        <v>1</v>
      </c>
      <c r="AF144" s="399" t="s">
        <v>616</v>
      </c>
      <c r="AG144" s="398">
        <v>2</v>
      </c>
      <c r="AH144" s="398">
        <v>4</v>
      </c>
      <c r="AI144" s="400" t="s">
        <v>616</v>
      </c>
      <c r="AJ144" s="398"/>
    </row>
    <row r="145" spans="1:36" s="46" customFormat="1" ht="13.5" customHeight="1">
      <c r="A145" s="33" t="s">
        <v>1165</v>
      </c>
      <c r="B145" s="44">
        <v>128</v>
      </c>
      <c r="C145" s="21">
        <v>467</v>
      </c>
      <c r="D145" s="21">
        <v>282</v>
      </c>
      <c r="E145" s="36">
        <v>12.2</v>
      </c>
      <c r="F145" s="36">
        <v>19.600000000000001</v>
      </c>
      <c r="G145" s="21">
        <v>10</v>
      </c>
      <c r="H145" s="47">
        <v>163.6</v>
      </c>
      <c r="I145" s="21">
        <v>427.8</v>
      </c>
      <c r="J145" s="21">
        <v>407.8</v>
      </c>
      <c r="K145" s="21" t="s">
        <v>667</v>
      </c>
      <c r="L145" s="35">
        <v>90</v>
      </c>
      <c r="M145" s="38">
        <v>176</v>
      </c>
      <c r="N145" s="40">
        <v>2.02</v>
      </c>
      <c r="O145" s="40">
        <v>15.74</v>
      </c>
      <c r="P145" s="33" t="s">
        <v>1166</v>
      </c>
      <c r="Q145" s="44">
        <v>86</v>
      </c>
      <c r="R145" s="35">
        <v>63690</v>
      </c>
      <c r="S145" s="35">
        <v>2728</v>
      </c>
      <c r="T145" s="35">
        <v>3049</v>
      </c>
      <c r="U145" s="40">
        <v>19.73</v>
      </c>
      <c r="V145" s="41">
        <v>59.32</v>
      </c>
      <c r="W145" s="35">
        <v>7333</v>
      </c>
      <c r="X145" s="36">
        <v>520.1</v>
      </c>
      <c r="Y145" s="36">
        <v>795.9</v>
      </c>
      <c r="Z145" s="41">
        <v>6.7</v>
      </c>
      <c r="AA145" s="40">
        <v>63.11</v>
      </c>
      <c r="AB145" s="36">
        <v>172.6</v>
      </c>
      <c r="AC145" s="42">
        <v>3666</v>
      </c>
      <c r="AD145" s="21">
        <v>1</v>
      </c>
      <c r="AE145" s="21">
        <v>1</v>
      </c>
      <c r="AF145" s="43" t="s">
        <v>616</v>
      </c>
      <c r="AG145" s="21">
        <v>2</v>
      </c>
      <c r="AH145" s="21">
        <v>3</v>
      </c>
      <c r="AI145" s="42" t="s">
        <v>616</v>
      </c>
      <c r="AJ145" s="21"/>
    </row>
    <row r="146" spans="1:36" s="443" customFormat="1" ht="13.5" customHeight="1">
      <c r="A146" s="404" t="s">
        <v>1167</v>
      </c>
      <c r="B146" s="409">
        <v>144</v>
      </c>
      <c r="C146" s="398">
        <v>472</v>
      </c>
      <c r="D146" s="398">
        <v>283</v>
      </c>
      <c r="E146" s="406">
        <v>13.6</v>
      </c>
      <c r="F146" s="406">
        <v>22.1</v>
      </c>
      <c r="G146" s="398">
        <v>10</v>
      </c>
      <c r="H146" s="470">
        <v>184.1</v>
      </c>
      <c r="I146" s="398">
        <v>427.8</v>
      </c>
      <c r="J146" s="398">
        <v>407.8</v>
      </c>
      <c r="K146" s="398" t="s">
        <v>667</v>
      </c>
      <c r="L146" s="408">
        <v>92</v>
      </c>
      <c r="M146" s="409">
        <v>178</v>
      </c>
      <c r="N146" s="411">
        <v>2.0299999999999998</v>
      </c>
      <c r="O146" s="411">
        <v>14.06</v>
      </c>
      <c r="P146" s="404" t="s">
        <v>1168</v>
      </c>
      <c r="Q146" s="409">
        <v>97</v>
      </c>
      <c r="R146" s="408">
        <v>72600</v>
      </c>
      <c r="S146" s="408">
        <v>3076</v>
      </c>
      <c r="T146" s="408">
        <v>3454</v>
      </c>
      <c r="U146" s="411">
        <v>19.86</v>
      </c>
      <c r="V146" s="407">
        <v>66.42</v>
      </c>
      <c r="W146" s="408">
        <v>8358</v>
      </c>
      <c r="X146" s="406">
        <v>590.70000000000005</v>
      </c>
      <c r="Y146" s="406">
        <v>905.5</v>
      </c>
      <c r="Z146" s="407">
        <v>6.74</v>
      </c>
      <c r="AA146" s="411">
        <v>69.510000000000005</v>
      </c>
      <c r="AB146" s="406">
        <v>245.5</v>
      </c>
      <c r="AC146" s="400">
        <v>4224</v>
      </c>
      <c r="AD146" s="398">
        <v>1</v>
      </c>
      <c r="AE146" s="398">
        <v>1</v>
      </c>
      <c r="AF146" s="399" t="s">
        <v>616</v>
      </c>
      <c r="AG146" s="398">
        <v>1</v>
      </c>
      <c r="AH146" s="398">
        <v>2</v>
      </c>
      <c r="AI146" s="400" t="s">
        <v>616</v>
      </c>
      <c r="AJ146" s="398"/>
    </row>
    <row r="147" spans="1:36" s="46" customFormat="1" ht="13.5" customHeight="1">
      <c r="A147" s="33" t="s">
        <v>1169</v>
      </c>
      <c r="B147" s="44">
        <v>158</v>
      </c>
      <c r="C147" s="21">
        <v>476</v>
      </c>
      <c r="D147" s="21">
        <v>284</v>
      </c>
      <c r="E147" s="36">
        <v>15</v>
      </c>
      <c r="F147" s="36">
        <v>23.9</v>
      </c>
      <c r="G147" s="21">
        <v>10</v>
      </c>
      <c r="H147" s="47">
        <v>200.8</v>
      </c>
      <c r="I147" s="21">
        <v>428.2</v>
      </c>
      <c r="J147" s="21">
        <v>408.2</v>
      </c>
      <c r="K147" s="21" t="s">
        <v>667</v>
      </c>
      <c r="L147" s="35">
        <v>94</v>
      </c>
      <c r="M147" s="38">
        <v>178</v>
      </c>
      <c r="N147" s="40">
        <v>2.04</v>
      </c>
      <c r="O147" s="40">
        <v>12.95</v>
      </c>
      <c r="P147" s="33" t="s">
        <v>1170</v>
      </c>
      <c r="Q147" s="44">
        <v>106</v>
      </c>
      <c r="R147" s="35">
        <v>79620</v>
      </c>
      <c r="S147" s="35">
        <v>3346</v>
      </c>
      <c r="T147" s="35">
        <v>3774</v>
      </c>
      <c r="U147" s="40">
        <v>19.91</v>
      </c>
      <c r="V147" s="41">
        <v>73.41</v>
      </c>
      <c r="W147" s="35">
        <v>9137</v>
      </c>
      <c r="X147" s="36">
        <v>643.5</v>
      </c>
      <c r="Y147" s="36">
        <v>988.7</v>
      </c>
      <c r="Z147" s="41">
        <v>6.75</v>
      </c>
      <c r="AA147" s="40">
        <v>74.510000000000005</v>
      </c>
      <c r="AB147" s="36">
        <v>314.10000000000002</v>
      </c>
      <c r="AC147" s="42">
        <v>4662</v>
      </c>
      <c r="AD147" s="21">
        <v>1</v>
      </c>
      <c r="AE147" s="21">
        <v>1</v>
      </c>
      <c r="AF147" s="43" t="s">
        <v>616</v>
      </c>
      <c r="AG147" s="21">
        <v>1</v>
      </c>
      <c r="AH147" s="21">
        <v>2</v>
      </c>
      <c r="AI147" s="42" t="s">
        <v>616</v>
      </c>
      <c r="AJ147" s="21"/>
    </row>
    <row r="148" spans="1:36" s="443" customFormat="1" ht="13.5" customHeight="1">
      <c r="A148" s="404" t="s">
        <v>1171</v>
      </c>
      <c r="B148" s="409">
        <v>177</v>
      </c>
      <c r="C148" s="398">
        <v>482</v>
      </c>
      <c r="D148" s="398">
        <v>286</v>
      </c>
      <c r="E148" s="406">
        <v>16.600000000000001</v>
      </c>
      <c r="F148" s="406">
        <v>26.9</v>
      </c>
      <c r="G148" s="398">
        <v>10</v>
      </c>
      <c r="H148" s="470">
        <v>226</v>
      </c>
      <c r="I148" s="398">
        <v>428.2</v>
      </c>
      <c r="J148" s="398">
        <v>408.2</v>
      </c>
      <c r="K148" s="398" t="s">
        <v>667</v>
      </c>
      <c r="L148" s="408">
        <v>94</v>
      </c>
      <c r="M148" s="409">
        <v>180</v>
      </c>
      <c r="N148" s="411">
        <v>2.06</v>
      </c>
      <c r="O148" s="411">
        <v>11.6</v>
      </c>
      <c r="P148" s="404" t="s">
        <v>1172</v>
      </c>
      <c r="Q148" s="409">
        <v>119</v>
      </c>
      <c r="R148" s="408">
        <v>91040</v>
      </c>
      <c r="S148" s="408">
        <v>3777</v>
      </c>
      <c r="T148" s="408">
        <v>4282</v>
      </c>
      <c r="U148" s="411">
        <v>20.07</v>
      </c>
      <c r="V148" s="407">
        <v>81.97</v>
      </c>
      <c r="W148" s="408">
        <v>10510</v>
      </c>
      <c r="X148" s="406">
        <v>734.7</v>
      </c>
      <c r="Y148" s="408">
        <v>1131</v>
      </c>
      <c r="Z148" s="407">
        <v>6.82</v>
      </c>
      <c r="AA148" s="411">
        <v>82.16</v>
      </c>
      <c r="AB148" s="406">
        <v>445.2</v>
      </c>
      <c r="AC148" s="400">
        <v>5431</v>
      </c>
      <c r="AD148" s="398">
        <v>1</v>
      </c>
      <c r="AE148" s="398">
        <v>1</v>
      </c>
      <c r="AF148" s="399" t="s">
        <v>616</v>
      </c>
      <c r="AG148" s="398">
        <v>1</v>
      </c>
      <c r="AH148" s="398">
        <v>1</v>
      </c>
      <c r="AI148" s="400" t="s">
        <v>616</v>
      </c>
      <c r="AJ148" s="398"/>
    </row>
    <row r="149" spans="1:36" s="46" customFormat="1" ht="13.5" customHeight="1">
      <c r="A149" s="33"/>
      <c r="B149" s="44"/>
      <c r="C149" s="21"/>
      <c r="D149" s="21"/>
      <c r="E149" s="36"/>
      <c r="F149" s="36"/>
      <c r="G149" s="21"/>
      <c r="H149" s="47"/>
      <c r="I149" s="21"/>
      <c r="J149" s="21"/>
      <c r="K149" s="21"/>
      <c r="L149" s="35"/>
      <c r="M149" s="38"/>
      <c r="N149" s="40"/>
      <c r="O149" s="40"/>
      <c r="P149" s="33"/>
      <c r="Q149" s="44"/>
      <c r="R149" s="35"/>
      <c r="S149" s="35"/>
      <c r="T149" s="35"/>
      <c r="U149" s="40"/>
      <c r="V149" s="41"/>
      <c r="W149" s="35"/>
      <c r="X149" s="36"/>
      <c r="Y149" s="36"/>
      <c r="Z149" s="41"/>
      <c r="AA149" s="40"/>
      <c r="AB149" s="21"/>
      <c r="AC149" s="42"/>
      <c r="AD149" s="21"/>
      <c r="AE149" s="21"/>
      <c r="AF149" s="43"/>
      <c r="AG149" s="21"/>
      <c r="AH149" s="21"/>
      <c r="AI149" s="42"/>
      <c r="AJ149" s="21"/>
    </row>
    <row r="150" spans="1:36" s="443" customFormat="1" ht="13.5" customHeight="1">
      <c r="A150" s="404" t="s">
        <v>1173</v>
      </c>
      <c r="B150" s="405">
        <v>92</v>
      </c>
      <c r="C150" s="398">
        <v>533</v>
      </c>
      <c r="D150" s="398">
        <v>209</v>
      </c>
      <c r="E150" s="406">
        <v>10.199999999999999</v>
      </c>
      <c r="F150" s="406">
        <v>15.6</v>
      </c>
      <c r="G150" s="398">
        <v>13</v>
      </c>
      <c r="H150" s="470">
        <v>117.6</v>
      </c>
      <c r="I150" s="398">
        <v>501.8</v>
      </c>
      <c r="J150" s="398">
        <v>475.8</v>
      </c>
      <c r="K150" s="398" t="s">
        <v>667</v>
      </c>
      <c r="L150" s="408">
        <v>94</v>
      </c>
      <c r="M150" s="409">
        <v>104</v>
      </c>
      <c r="N150" s="411">
        <v>1.86</v>
      </c>
      <c r="O150" s="411">
        <v>20.13</v>
      </c>
      <c r="P150" s="404" t="s">
        <v>1174</v>
      </c>
      <c r="Q150" s="409">
        <v>62</v>
      </c>
      <c r="R150" s="408">
        <v>55240</v>
      </c>
      <c r="S150" s="408">
        <v>2073</v>
      </c>
      <c r="T150" s="408">
        <v>2362</v>
      </c>
      <c r="U150" s="411">
        <v>21.67</v>
      </c>
      <c r="V150" s="407">
        <v>58.07</v>
      </c>
      <c r="W150" s="408">
        <v>2379</v>
      </c>
      <c r="X150" s="406">
        <v>227.7</v>
      </c>
      <c r="Y150" s="406">
        <v>354.8</v>
      </c>
      <c r="Z150" s="407">
        <v>4.5</v>
      </c>
      <c r="AA150" s="411">
        <v>56.59</v>
      </c>
      <c r="AB150" s="398">
        <v>76.959999999999994</v>
      </c>
      <c r="AC150" s="400">
        <v>1589</v>
      </c>
      <c r="AD150" s="398">
        <v>1</v>
      </c>
      <c r="AE150" s="398">
        <v>1</v>
      </c>
      <c r="AF150" s="399" t="s">
        <v>616</v>
      </c>
      <c r="AG150" s="398">
        <v>4</v>
      </c>
      <c r="AH150" s="398">
        <v>4</v>
      </c>
      <c r="AI150" s="400" t="s">
        <v>616</v>
      </c>
      <c r="AJ150" s="398"/>
    </row>
    <row r="151" spans="1:36" s="46" customFormat="1" ht="13.5" customHeight="1">
      <c r="A151" s="33" t="s">
        <v>1175</v>
      </c>
      <c r="B151" s="44">
        <v>101</v>
      </c>
      <c r="C151" s="21">
        <v>537</v>
      </c>
      <c r="D151" s="21">
        <v>210</v>
      </c>
      <c r="E151" s="36">
        <v>10.9</v>
      </c>
      <c r="F151" s="36">
        <v>17.399999999999999</v>
      </c>
      <c r="G151" s="21">
        <v>13</v>
      </c>
      <c r="H151" s="47">
        <v>129.4</v>
      </c>
      <c r="I151" s="21">
        <v>502.2</v>
      </c>
      <c r="J151" s="21">
        <v>476.2</v>
      </c>
      <c r="K151" s="21" t="s">
        <v>667</v>
      </c>
      <c r="L151" s="35">
        <v>94</v>
      </c>
      <c r="M151" s="38">
        <v>104</v>
      </c>
      <c r="N151" s="40">
        <v>1.87</v>
      </c>
      <c r="O151" s="40">
        <v>18.41</v>
      </c>
      <c r="P151" s="33" t="s">
        <v>1176</v>
      </c>
      <c r="Q151" s="44">
        <v>68</v>
      </c>
      <c r="R151" s="35">
        <v>61760</v>
      </c>
      <c r="S151" s="35">
        <v>2300</v>
      </c>
      <c r="T151" s="35">
        <v>2623</v>
      </c>
      <c r="U151" s="40">
        <v>21.85</v>
      </c>
      <c r="V151" s="41">
        <v>62.72</v>
      </c>
      <c r="W151" s="35">
        <v>2692</v>
      </c>
      <c r="X151" s="36">
        <v>256.39999999999998</v>
      </c>
      <c r="Y151" s="36">
        <v>399.9</v>
      </c>
      <c r="Z151" s="41">
        <v>4.5599999999999996</v>
      </c>
      <c r="AA151" s="40">
        <v>60.95</v>
      </c>
      <c r="AB151" s="21">
        <v>102.9</v>
      </c>
      <c r="AC151" s="42">
        <v>1813</v>
      </c>
      <c r="AD151" s="21">
        <v>1</v>
      </c>
      <c r="AE151" s="21">
        <v>1</v>
      </c>
      <c r="AF151" s="43" t="s">
        <v>616</v>
      </c>
      <c r="AG151" s="21">
        <v>4</v>
      </c>
      <c r="AH151" s="21">
        <v>4</v>
      </c>
      <c r="AI151" s="42" t="s">
        <v>616</v>
      </c>
      <c r="AJ151" s="21"/>
    </row>
    <row r="152" spans="1:36" s="443" customFormat="1" ht="13.5" customHeight="1">
      <c r="A152" s="404" t="s">
        <v>1177</v>
      </c>
      <c r="B152" s="409">
        <v>109</v>
      </c>
      <c r="C152" s="398">
        <v>539</v>
      </c>
      <c r="D152" s="398">
        <v>211</v>
      </c>
      <c r="E152" s="406">
        <v>11.6</v>
      </c>
      <c r="F152" s="406">
        <v>18.8</v>
      </c>
      <c r="G152" s="398">
        <v>13</v>
      </c>
      <c r="H152" s="470">
        <v>138.69999999999999</v>
      </c>
      <c r="I152" s="398">
        <v>501.4</v>
      </c>
      <c r="J152" s="398">
        <v>475.4</v>
      </c>
      <c r="K152" s="398" t="s">
        <v>667</v>
      </c>
      <c r="L152" s="408">
        <v>96</v>
      </c>
      <c r="M152" s="409">
        <v>106</v>
      </c>
      <c r="N152" s="411">
        <v>1.88</v>
      </c>
      <c r="O152" s="411">
        <v>17.23</v>
      </c>
      <c r="P152" s="404" t="s">
        <v>1178</v>
      </c>
      <c r="Q152" s="409">
        <v>73</v>
      </c>
      <c r="R152" s="408">
        <v>66730</v>
      </c>
      <c r="S152" s="408">
        <v>2476</v>
      </c>
      <c r="T152" s="408">
        <v>2826</v>
      </c>
      <c r="U152" s="411">
        <v>21.93</v>
      </c>
      <c r="V152" s="407">
        <v>66.47</v>
      </c>
      <c r="W152" s="408">
        <v>2951</v>
      </c>
      <c r="X152" s="406">
        <v>279.7</v>
      </c>
      <c r="Y152" s="406">
        <v>436.5</v>
      </c>
      <c r="Z152" s="407">
        <v>4.6100000000000003</v>
      </c>
      <c r="AA152" s="411">
        <v>64.39</v>
      </c>
      <c r="AB152" s="398">
        <v>127.4</v>
      </c>
      <c r="AC152" s="400">
        <v>1991</v>
      </c>
      <c r="AD152" s="398">
        <v>1</v>
      </c>
      <c r="AE152" s="398">
        <v>1</v>
      </c>
      <c r="AF152" s="399" t="s">
        <v>616</v>
      </c>
      <c r="AG152" s="398">
        <v>3</v>
      </c>
      <c r="AH152" s="398">
        <v>4</v>
      </c>
      <c r="AI152" s="400" t="s">
        <v>616</v>
      </c>
      <c r="AJ152" s="398"/>
    </row>
    <row r="153" spans="1:36" s="46" customFormat="1" ht="13.5" customHeight="1">
      <c r="A153" s="33" t="s">
        <v>1179</v>
      </c>
      <c r="B153" s="44">
        <v>123</v>
      </c>
      <c r="C153" s="21">
        <v>544</v>
      </c>
      <c r="D153" s="21">
        <v>212</v>
      </c>
      <c r="E153" s="36">
        <v>13.1</v>
      </c>
      <c r="F153" s="36">
        <v>21.2</v>
      </c>
      <c r="G153" s="21">
        <v>13</v>
      </c>
      <c r="H153" s="47">
        <v>156.9</v>
      </c>
      <c r="I153" s="21">
        <v>501.6</v>
      </c>
      <c r="J153" s="21">
        <v>475.6</v>
      </c>
      <c r="K153" s="21" t="s">
        <v>667</v>
      </c>
      <c r="L153" s="35">
        <v>96</v>
      </c>
      <c r="M153" s="38">
        <v>106</v>
      </c>
      <c r="N153" s="40">
        <v>1.89</v>
      </c>
      <c r="O153" s="40">
        <v>15.32</v>
      </c>
      <c r="P153" s="33" t="s">
        <v>1180</v>
      </c>
      <c r="Q153" s="44">
        <v>83</v>
      </c>
      <c r="R153" s="35">
        <v>76100</v>
      </c>
      <c r="S153" s="35">
        <v>2798</v>
      </c>
      <c r="T153" s="35">
        <v>3208</v>
      </c>
      <c r="U153" s="40">
        <v>22.02</v>
      </c>
      <c r="V153" s="41">
        <v>75.34</v>
      </c>
      <c r="W153" s="35">
        <v>3377</v>
      </c>
      <c r="X153" s="36">
        <v>318.60000000000002</v>
      </c>
      <c r="Y153" s="36">
        <v>499.2</v>
      </c>
      <c r="Z153" s="41">
        <v>4.6399999999999997</v>
      </c>
      <c r="AA153" s="40">
        <v>70.709999999999994</v>
      </c>
      <c r="AB153" s="21">
        <v>182.3</v>
      </c>
      <c r="AC153" s="42">
        <v>2300</v>
      </c>
      <c r="AD153" s="21">
        <v>1</v>
      </c>
      <c r="AE153" s="21">
        <v>1</v>
      </c>
      <c r="AF153" s="43" t="s">
        <v>616</v>
      </c>
      <c r="AG153" s="21">
        <v>2</v>
      </c>
      <c r="AH153" s="21">
        <v>4</v>
      </c>
      <c r="AI153" s="42" t="s">
        <v>616</v>
      </c>
      <c r="AJ153" s="21"/>
    </row>
    <row r="154" spans="1:36" s="443" customFormat="1" ht="13.5" customHeight="1">
      <c r="A154" s="404" t="s">
        <v>1181</v>
      </c>
      <c r="B154" s="409">
        <v>138</v>
      </c>
      <c r="C154" s="398">
        <v>549</v>
      </c>
      <c r="D154" s="398">
        <v>214</v>
      </c>
      <c r="E154" s="406">
        <v>14.7</v>
      </c>
      <c r="F154" s="406">
        <v>23.6</v>
      </c>
      <c r="G154" s="398">
        <v>13</v>
      </c>
      <c r="H154" s="470">
        <v>176.4</v>
      </c>
      <c r="I154" s="398">
        <v>501.8</v>
      </c>
      <c r="J154" s="398">
        <v>475.8</v>
      </c>
      <c r="K154" s="398" t="s">
        <v>667</v>
      </c>
      <c r="L154" s="408">
        <v>98</v>
      </c>
      <c r="M154" s="409">
        <v>108</v>
      </c>
      <c r="N154" s="411">
        <v>1.9</v>
      </c>
      <c r="O154" s="411">
        <v>13.74</v>
      </c>
      <c r="P154" s="404" t="s">
        <v>1182</v>
      </c>
      <c r="Q154" s="409">
        <v>93</v>
      </c>
      <c r="R154" s="408">
        <v>86160</v>
      </c>
      <c r="S154" s="408">
        <v>3139</v>
      </c>
      <c r="T154" s="408">
        <v>3617</v>
      </c>
      <c r="U154" s="411">
        <v>22.1</v>
      </c>
      <c r="V154" s="407">
        <v>84.98</v>
      </c>
      <c r="W154" s="408">
        <v>3870</v>
      </c>
      <c r="X154" s="406">
        <v>361.7</v>
      </c>
      <c r="Y154" s="406">
        <v>569.1</v>
      </c>
      <c r="Z154" s="407">
        <v>4.68</v>
      </c>
      <c r="AA154" s="411">
        <v>77.16</v>
      </c>
      <c r="AB154" s="398">
        <v>254</v>
      </c>
      <c r="AC154" s="400">
        <v>2660</v>
      </c>
      <c r="AD154" s="398">
        <v>1</v>
      </c>
      <c r="AE154" s="398">
        <v>1</v>
      </c>
      <c r="AF154" s="399" t="s">
        <v>616</v>
      </c>
      <c r="AG154" s="398">
        <v>1</v>
      </c>
      <c r="AH154" s="398">
        <v>3</v>
      </c>
      <c r="AI154" s="400" t="s">
        <v>616</v>
      </c>
      <c r="AJ154" s="398"/>
    </row>
    <row r="155" spans="1:36" s="46" customFormat="1" ht="13.5" customHeight="1">
      <c r="A155" s="33"/>
      <c r="B155" s="44"/>
      <c r="C155" s="21"/>
      <c r="D155" s="21"/>
      <c r="E155" s="36"/>
      <c r="F155" s="36"/>
      <c r="G155" s="21"/>
      <c r="H155" s="47"/>
      <c r="I155" s="21"/>
      <c r="J155" s="21"/>
      <c r="K155" s="21"/>
      <c r="L155" s="35"/>
      <c r="M155" s="38"/>
      <c r="N155" s="40"/>
      <c r="O155" s="40"/>
      <c r="P155" s="33"/>
      <c r="Q155" s="44"/>
      <c r="R155" s="35"/>
      <c r="S155" s="35"/>
      <c r="T155" s="35"/>
      <c r="U155" s="40"/>
      <c r="V155" s="41"/>
      <c r="W155" s="35"/>
      <c r="X155" s="36"/>
      <c r="Y155" s="36"/>
      <c r="Z155" s="41"/>
      <c r="AA155" s="40"/>
      <c r="AB155" s="21"/>
      <c r="AC155" s="42"/>
      <c r="AD155" s="21"/>
      <c r="AE155" s="21"/>
      <c r="AF155" s="43"/>
      <c r="AG155" s="21"/>
      <c r="AH155" s="21"/>
      <c r="AI155" s="42"/>
      <c r="AJ155" s="21"/>
    </row>
    <row r="156" spans="1:36" s="443" customFormat="1" ht="13.5" customHeight="1">
      <c r="A156" s="404" t="s">
        <v>1183</v>
      </c>
      <c r="B156" s="409">
        <v>101</v>
      </c>
      <c r="C156" s="398">
        <v>603</v>
      </c>
      <c r="D156" s="398">
        <v>228</v>
      </c>
      <c r="E156" s="406">
        <v>10.5</v>
      </c>
      <c r="F156" s="406">
        <v>14.9</v>
      </c>
      <c r="G156" s="398">
        <v>13</v>
      </c>
      <c r="H156" s="470">
        <v>129.80000000000001</v>
      </c>
      <c r="I156" s="398">
        <v>573.20000000000005</v>
      </c>
      <c r="J156" s="398">
        <v>547.20000000000005</v>
      </c>
      <c r="K156" s="398" t="s">
        <v>667</v>
      </c>
      <c r="L156" s="408">
        <v>94</v>
      </c>
      <c r="M156" s="409">
        <v>122</v>
      </c>
      <c r="N156" s="411">
        <v>2.0699999999999998</v>
      </c>
      <c r="O156" s="411">
        <v>20.36</v>
      </c>
      <c r="P156" s="404" t="s">
        <v>1184</v>
      </c>
      <c r="Q156" s="409">
        <v>68</v>
      </c>
      <c r="R156" s="408">
        <v>76470</v>
      </c>
      <c r="S156" s="408">
        <v>2536</v>
      </c>
      <c r="T156" s="408">
        <v>2905</v>
      </c>
      <c r="U156" s="411">
        <v>24.27</v>
      </c>
      <c r="V156" s="407">
        <v>67.31</v>
      </c>
      <c r="W156" s="408">
        <v>2950</v>
      </c>
      <c r="X156" s="406">
        <v>258.8</v>
      </c>
      <c r="Y156" s="406">
        <v>404.4</v>
      </c>
      <c r="Z156" s="407">
        <v>4.7699999999999996</v>
      </c>
      <c r="AA156" s="411">
        <v>55.57</v>
      </c>
      <c r="AB156" s="398">
        <v>79.88</v>
      </c>
      <c r="AC156" s="400">
        <v>2545</v>
      </c>
      <c r="AD156" s="398">
        <v>1</v>
      </c>
      <c r="AE156" s="398">
        <v>1</v>
      </c>
      <c r="AF156" s="399" t="s">
        <v>616</v>
      </c>
      <c r="AG156" s="398">
        <v>4</v>
      </c>
      <c r="AH156" s="398">
        <v>4</v>
      </c>
      <c r="AI156" s="400" t="s">
        <v>616</v>
      </c>
      <c r="AJ156" s="398"/>
    </row>
    <row r="157" spans="1:36" s="46" customFormat="1" ht="13.5" customHeight="1">
      <c r="A157" s="33" t="s">
        <v>1185</v>
      </c>
      <c r="B157" s="44">
        <v>113</v>
      </c>
      <c r="C157" s="21">
        <v>608</v>
      </c>
      <c r="D157" s="21">
        <v>228</v>
      </c>
      <c r="E157" s="36">
        <v>11.2</v>
      </c>
      <c r="F157" s="36">
        <v>17.3</v>
      </c>
      <c r="G157" s="21">
        <v>13</v>
      </c>
      <c r="H157" s="47">
        <v>144.4</v>
      </c>
      <c r="I157" s="21">
        <v>573.4</v>
      </c>
      <c r="J157" s="21">
        <v>547.4</v>
      </c>
      <c r="K157" s="21" t="s">
        <v>667</v>
      </c>
      <c r="L157" s="35">
        <v>94</v>
      </c>
      <c r="M157" s="38">
        <v>122</v>
      </c>
      <c r="N157" s="40">
        <v>2.08</v>
      </c>
      <c r="O157" s="40">
        <v>18.37</v>
      </c>
      <c r="P157" s="33" t="s">
        <v>1186</v>
      </c>
      <c r="Q157" s="44">
        <v>76</v>
      </c>
      <c r="R157" s="35">
        <v>87570</v>
      </c>
      <c r="S157" s="35">
        <v>2881</v>
      </c>
      <c r="T157" s="35">
        <v>3290</v>
      </c>
      <c r="U157" s="40">
        <v>24.62</v>
      </c>
      <c r="V157" s="41">
        <v>71.989999999999995</v>
      </c>
      <c r="W157" s="35">
        <v>3425</v>
      </c>
      <c r="X157" s="36">
        <v>300.5</v>
      </c>
      <c r="Y157" s="36">
        <v>468.8</v>
      </c>
      <c r="Z157" s="41">
        <v>4.87</v>
      </c>
      <c r="AA157" s="40">
        <v>61.01</v>
      </c>
      <c r="AB157" s="21">
        <v>113.3</v>
      </c>
      <c r="AC157" s="42">
        <v>2981</v>
      </c>
      <c r="AD157" s="21">
        <v>1</v>
      </c>
      <c r="AE157" s="21">
        <v>1</v>
      </c>
      <c r="AF157" s="43" t="s">
        <v>616</v>
      </c>
      <c r="AG157" s="21">
        <v>4</v>
      </c>
      <c r="AH157" s="21">
        <v>4</v>
      </c>
      <c r="AI157" s="42" t="s">
        <v>616</v>
      </c>
      <c r="AJ157" s="21"/>
    </row>
    <row r="158" spans="1:36" s="443" customFormat="1" ht="13.5" customHeight="1">
      <c r="A158" s="404" t="s">
        <v>1187</v>
      </c>
      <c r="B158" s="409">
        <v>125</v>
      </c>
      <c r="C158" s="398">
        <v>612</v>
      </c>
      <c r="D158" s="398">
        <v>229</v>
      </c>
      <c r="E158" s="406">
        <v>11.9</v>
      </c>
      <c r="F158" s="406">
        <v>19.600000000000001</v>
      </c>
      <c r="G158" s="398">
        <v>13</v>
      </c>
      <c r="H158" s="470">
        <v>159.6</v>
      </c>
      <c r="I158" s="398">
        <v>572.79999999999995</v>
      </c>
      <c r="J158" s="398">
        <v>546.79999999999995</v>
      </c>
      <c r="K158" s="398" t="s">
        <v>667</v>
      </c>
      <c r="L158" s="408">
        <v>96</v>
      </c>
      <c r="M158" s="409">
        <v>124</v>
      </c>
      <c r="N158" s="411">
        <v>2.09</v>
      </c>
      <c r="O158" s="411">
        <v>16.71</v>
      </c>
      <c r="P158" s="404" t="s">
        <v>1188</v>
      </c>
      <c r="Q158" s="409">
        <v>84</v>
      </c>
      <c r="R158" s="408">
        <v>98650</v>
      </c>
      <c r="S158" s="408">
        <v>3224</v>
      </c>
      <c r="T158" s="408">
        <v>3679</v>
      </c>
      <c r="U158" s="411">
        <v>24.86</v>
      </c>
      <c r="V158" s="407">
        <v>77.28</v>
      </c>
      <c r="W158" s="408">
        <v>3932</v>
      </c>
      <c r="X158" s="406">
        <v>343.4</v>
      </c>
      <c r="Y158" s="406">
        <v>535.6</v>
      </c>
      <c r="Z158" s="407">
        <v>4.96</v>
      </c>
      <c r="AA158" s="411">
        <v>66.37</v>
      </c>
      <c r="AB158" s="398">
        <v>156</v>
      </c>
      <c r="AC158" s="400">
        <v>3442</v>
      </c>
      <c r="AD158" s="398">
        <v>1</v>
      </c>
      <c r="AE158" s="398">
        <v>1</v>
      </c>
      <c r="AF158" s="399">
        <v>1</v>
      </c>
      <c r="AG158" s="398">
        <v>4</v>
      </c>
      <c r="AH158" s="398">
        <v>4</v>
      </c>
      <c r="AI158" s="400">
        <v>4</v>
      </c>
      <c r="AJ158" s="398" t="s">
        <v>661</v>
      </c>
    </row>
    <row r="159" spans="1:36" s="46" customFormat="1" ht="13.5" customHeight="1">
      <c r="A159" s="33" t="s">
        <v>1189</v>
      </c>
      <c r="B159" s="44">
        <v>140</v>
      </c>
      <c r="C159" s="21">
        <v>617</v>
      </c>
      <c r="D159" s="21">
        <v>230</v>
      </c>
      <c r="E159" s="36">
        <v>13.1</v>
      </c>
      <c r="F159" s="36">
        <v>22.2</v>
      </c>
      <c r="G159" s="21">
        <v>13</v>
      </c>
      <c r="H159" s="47">
        <v>178.5</v>
      </c>
      <c r="I159" s="21">
        <v>572.6</v>
      </c>
      <c r="J159" s="21">
        <v>546.6</v>
      </c>
      <c r="K159" s="21" t="s">
        <v>667</v>
      </c>
      <c r="L159" s="35">
        <v>96</v>
      </c>
      <c r="M159" s="38">
        <v>124</v>
      </c>
      <c r="N159" s="40">
        <v>2.11</v>
      </c>
      <c r="O159" s="40">
        <v>15.03</v>
      </c>
      <c r="P159" s="33" t="s">
        <v>1190</v>
      </c>
      <c r="Q159" s="44">
        <v>94</v>
      </c>
      <c r="R159" s="35">
        <v>111990</v>
      </c>
      <c r="S159" s="35">
        <v>3630</v>
      </c>
      <c r="T159" s="35">
        <v>4150</v>
      </c>
      <c r="U159" s="40">
        <v>25.05</v>
      </c>
      <c r="V159" s="41">
        <v>85.02</v>
      </c>
      <c r="W159" s="35">
        <v>4514</v>
      </c>
      <c r="X159" s="36">
        <v>392.5</v>
      </c>
      <c r="Y159" s="36">
        <v>613.1</v>
      </c>
      <c r="Z159" s="41">
        <v>5.03</v>
      </c>
      <c r="AA159" s="40">
        <v>72.709999999999994</v>
      </c>
      <c r="AB159" s="21">
        <v>220</v>
      </c>
      <c r="AC159" s="42">
        <v>3982</v>
      </c>
      <c r="AD159" s="21">
        <v>1</v>
      </c>
      <c r="AE159" s="21">
        <v>1</v>
      </c>
      <c r="AF159" s="43">
        <v>1</v>
      </c>
      <c r="AG159" s="21">
        <v>3</v>
      </c>
      <c r="AH159" s="21">
        <v>4</v>
      </c>
      <c r="AI159" s="42">
        <v>4</v>
      </c>
      <c r="AJ159" s="21" t="s">
        <v>661</v>
      </c>
    </row>
    <row r="160" spans="1:36" s="46" customFormat="1" ht="13.5" customHeight="1">
      <c r="A160" s="33"/>
      <c r="B160" s="44"/>
      <c r="C160" s="21"/>
      <c r="D160" s="21"/>
      <c r="E160" s="36"/>
      <c r="F160" s="36"/>
      <c r="G160" s="21"/>
      <c r="H160" s="47"/>
      <c r="I160" s="21"/>
      <c r="J160" s="21"/>
      <c r="K160" s="21"/>
      <c r="L160" s="35"/>
      <c r="M160" s="38"/>
      <c r="N160" s="40"/>
      <c r="O160" s="40"/>
      <c r="P160" s="33"/>
      <c r="Q160" s="44"/>
      <c r="R160" s="35"/>
      <c r="S160" s="35"/>
      <c r="T160" s="35"/>
      <c r="U160" s="40"/>
      <c r="V160" s="41"/>
      <c r="W160" s="35"/>
      <c r="X160" s="36"/>
      <c r="Y160" s="36"/>
      <c r="Z160" s="41"/>
      <c r="AA160" s="40"/>
      <c r="AB160" s="21"/>
      <c r="AC160" s="42"/>
      <c r="AD160" s="21"/>
      <c r="AE160" s="21"/>
      <c r="AF160" s="43"/>
      <c r="AG160" s="21"/>
      <c r="AH160" s="21"/>
      <c r="AI160" s="42"/>
      <c r="AJ160" s="21"/>
    </row>
    <row r="161" spans="1:36" s="443" customFormat="1" ht="13.5" customHeight="1">
      <c r="A161" s="404" t="s">
        <v>1191</v>
      </c>
      <c r="B161" s="409">
        <v>155</v>
      </c>
      <c r="C161" s="398">
        <v>611</v>
      </c>
      <c r="D161" s="398">
        <v>324</v>
      </c>
      <c r="E161" s="406">
        <v>12.7</v>
      </c>
      <c r="F161" s="406">
        <v>19</v>
      </c>
      <c r="G161" s="398">
        <v>13</v>
      </c>
      <c r="H161" s="470">
        <v>197.3</v>
      </c>
      <c r="I161" s="398">
        <v>573</v>
      </c>
      <c r="J161" s="398">
        <v>547</v>
      </c>
      <c r="K161" s="398" t="s">
        <v>667</v>
      </c>
      <c r="L161" s="408">
        <v>96</v>
      </c>
      <c r="M161" s="409">
        <v>218</v>
      </c>
      <c r="N161" s="411">
        <v>2.4700000000000002</v>
      </c>
      <c r="O161" s="411">
        <v>15.95</v>
      </c>
      <c r="P161" s="404" t="s">
        <v>1192</v>
      </c>
      <c r="Q161" s="409">
        <v>104</v>
      </c>
      <c r="R161" s="408">
        <v>129000</v>
      </c>
      <c r="S161" s="408">
        <v>4222</v>
      </c>
      <c r="T161" s="408">
        <v>4728</v>
      </c>
      <c r="U161" s="411">
        <v>25.57</v>
      </c>
      <c r="V161" s="407">
        <v>81.569999999999993</v>
      </c>
      <c r="W161" s="408">
        <v>10780</v>
      </c>
      <c r="X161" s="408">
        <v>666</v>
      </c>
      <c r="Y161" s="408">
        <v>1022</v>
      </c>
      <c r="Z161" s="407">
        <v>7.39</v>
      </c>
      <c r="AA161" s="411">
        <v>65.930000000000007</v>
      </c>
      <c r="AB161" s="398">
        <v>197.7</v>
      </c>
      <c r="AC161" s="400">
        <v>9437</v>
      </c>
      <c r="AD161" s="398">
        <v>1</v>
      </c>
      <c r="AE161" s="398">
        <v>2</v>
      </c>
      <c r="AF161" s="399">
        <v>3</v>
      </c>
      <c r="AG161" s="398">
        <v>4</v>
      </c>
      <c r="AH161" s="398">
        <v>4</v>
      </c>
      <c r="AI161" s="400">
        <v>4</v>
      </c>
      <c r="AJ161" s="398" t="s">
        <v>661</v>
      </c>
    </row>
    <row r="162" spans="1:36" s="46" customFormat="1" ht="13.5" customHeight="1">
      <c r="A162" s="33" t="s">
        <v>1193</v>
      </c>
      <c r="B162" s="44">
        <v>174</v>
      </c>
      <c r="C162" s="21">
        <v>616</v>
      </c>
      <c r="D162" s="21">
        <v>325</v>
      </c>
      <c r="E162" s="36">
        <v>14</v>
      </c>
      <c r="F162" s="36">
        <v>21.6</v>
      </c>
      <c r="G162" s="21">
        <v>13</v>
      </c>
      <c r="H162" s="47">
        <v>222</v>
      </c>
      <c r="I162" s="21">
        <v>572.79999999999995</v>
      </c>
      <c r="J162" s="21">
        <v>546.79999999999995</v>
      </c>
      <c r="K162" s="21" t="s">
        <v>667</v>
      </c>
      <c r="L162" s="35">
        <v>98</v>
      </c>
      <c r="M162" s="38">
        <v>220</v>
      </c>
      <c r="N162" s="40">
        <v>2.48</v>
      </c>
      <c r="O162" s="40">
        <v>14.24</v>
      </c>
      <c r="P162" s="33" t="s">
        <v>1194</v>
      </c>
      <c r="Q162" s="44">
        <v>117</v>
      </c>
      <c r="R162" s="35">
        <v>147200</v>
      </c>
      <c r="S162" s="35">
        <v>4778</v>
      </c>
      <c r="T162" s="35">
        <v>5362</v>
      </c>
      <c r="U162" s="40">
        <v>25.74</v>
      </c>
      <c r="V162" s="41">
        <v>90.28</v>
      </c>
      <c r="W162" s="35">
        <v>12370</v>
      </c>
      <c r="X162" s="35">
        <v>761</v>
      </c>
      <c r="Y162" s="35">
        <v>1170</v>
      </c>
      <c r="Z162" s="41">
        <v>7.46</v>
      </c>
      <c r="AA162" s="40">
        <v>72.430000000000007</v>
      </c>
      <c r="AB162" s="21">
        <v>283.2</v>
      </c>
      <c r="AC162" s="42">
        <v>10920</v>
      </c>
      <c r="AD162" s="21">
        <v>1</v>
      </c>
      <c r="AE162" s="21">
        <v>1</v>
      </c>
      <c r="AF162" s="43">
        <v>2</v>
      </c>
      <c r="AG162" s="21">
        <v>3</v>
      </c>
      <c r="AH162" s="21">
        <v>4</v>
      </c>
      <c r="AI162" s="42">
        <v>4</v>
      </c>
      <c r="AJ162" s="21" t="s">
        <v>661</v>
      </c>
    </row>
    <row r="163" spans="1:36" s="443" customFormat="1" ht="13.5" customHeight="1">
      <c r="A163" s="404" t="s">
        <v>1195</v>
      </c>
      <c r="B163" s="409">
        <v>195</v>
      </c>
      <c r="C163" s="398">
        <v>622</v>
      </c>
      <c r="D163" s="398">
        <v>327</v>
      </c>
      <c r="E163" s="406">
        <v>15.4</v>
      </c>
      <c r="F163" s="406">
        <v>24.4</v>
      </c>
      <c r="G163" s="398">
        <v>13</v>
      </c>
      <c r="H163" s="470">
        <v>249.3</v>
      </c>
      <c r="I163" s="398">
        <v>573.20000000000005</v>
      </c>
      <c r="J163" s="398">
        <v>547.20000000000005</v>
      </c>
      <c r="K163" s="398" t="s">
        <v>667</v>
      </c>
      <c r="L163" s="408">
        <v>98</v>
      </c>
      <c r="M163" s="409">
        <v>222</v>
      </c>
      <c r="N163" s="411">
        <v>2.5</v>
      </c>
      <c r="O163" s="411">
        <v>12.77</v>
      </c>
      <c r="P163" s="404" t="s">
        <v>1196</v>
      </c>
      <c r="Q163" s="409">
        <v>131</v>
      </c>
      <c r="R163" s="408">
        <v>167900</v>
      </c>
      <c r="S163" s="408">
        <v>5398</v>
      </c>
      <c r="T163" s="408">
        <v>6074</v>
      </c>
      <c r="U163" s="411">
        <v>25.95</v>
      </c>
      <c r="V163" s="407">
        <v>99.83</v>
      </c>
      <c r="W163" s="408">
        <v>14240</v>
      </c>
      <c r="X163" s="408">
        <v>871</v>
      </c>
      <c r="Y163" s="408">
        <v>1340</v>
      </c>
      <c r="Z163" s="407">
        <v>7.56</v>
      </c>
      <c r="AA163" s="411">
        <v>79.430000000000007</v>
      </c>
      <c r="AB163" s="398">
        <v>400.9</v>
      </c>
      <c r="AC163" s="400">
        <v>12700</v>
      </c>
      <c r="AD163" s="398">
        <v>1</v>
      </c>
      <c r="AE163" s="398">
        <v>1</v>
      </c>
      <c r="AF163" s="399">
        <v>1</v>
      </c>
      <c r="AG163" s="398">
        <v>2</v>
      </c>
      <c r="AH163" s="398">
        <v>4</v>
      </c>
      <c r="AI163" s="400">
        <v>4</v>
      </c>
      <c r="AJ163" s="398" t="s">
        <v>661</v>
      </c>
    </row>
    <row r="164" spans="1:36" s="46" customFormat="1" ht="13.5" customHeight="1">
      <c r="A164" s="33" t="s">
        <v>1197</v>
      </c>
      <c r="B164" s="44">
        <v>217</v>
      </c>
      <c r="C164" s="21">
        <v>628</v>
      </c>
      <c r="D164" s="21">
        <v>328</v>
      </c>
      <c r="E164" s="36">
        <v>16.5</v>
      </c>
      <c r="F164" s="36">
        <v>27.7</v>
      </c>
      <c r="G164" s="21">
        <v>13</v>
      </c>
      <c r="H164" s="47">
        <v>277.60000000000002</v>
      </c>
      <c r="I164" s="21">
        <v>572.6</v>
      </c>
      <c r="J164" s="21">
        <v>546.6</v>
      </c>
      <c r="K164" s="21" t="s">
        <v>667</v>
      </c>
      <c r="L164" s="35">
        <v>100</v>
      </c>
      <c r="M164" s="38">
        <v>222</v>
      </c>
      <c r="N164" s="40">
        <v>2.5099999999999998</v>
      </c>
      <c r="O164" s="40">
        <v>11.53</v>
      </c>
      <c r="P164" s="33" t="s">
        <v>1198</v>
      </c>
      <c r="Q164" s="44">
        <v>146</v>
      </c>
      <c r="R164" s="35">
        <v>190800</v>
      </c>
      <c r="S164" s="35">
        <v>6076</v>
      </c>
      <c r="T164" s="35">
        <v>6848</v>
      </c>
      <c r="U164" s="40">
        <v>26.21</v>
      </c>
      <c r="V164" s="41">
        <v>107.7</v>
      </c>
      <c r="W164" s="35">
        <v>16310</v>
      </c>
      <c r="X164" s="35">
        <v>995</v>
      </c>
      <c r="Y164" s="35">
        <v>1531</v>
      </c>
      <c r="Z164" s="41">
        <v>7.67</v>
      </c>
      <c r="AA164" s="40">
        <v>87.13</v>
      </c>
      <c r="AB164" s="21">
        <v>564.6</v>
      </c>
      <c r="AC164" s="42">
        <v>14680</v>
      </c>
      <c r="AD164" s="21">
        <v>1</v>
      </c>
      <c r="AE164" s="21">
        <v>1</v>
      </c>
      <c r="AF164" s="43">
        <v>1</v>
      </c>
      <c r="AG164" s="21">
        <v>2</v>
      </c>
      <c r="AH164" s="21">
        <v>3</v>
      </c>
      <c r="AI164" s="42">
        <v>4</v>
      </c>
      <c r="AJ164" s="21" t="s">
        <v>661</v>
      </c>
    </row>
    <row r="165" spans="1:36" s="443" customFormat="1" ht="13.5" customHeight="1">
      <c r="A165" s="404" t="s">
        <v>1199</v>
      </c>
      <c r="B165" s="409">
        <v>241</v>
      </c>
      <c r="C165" s="398">
        <v>635</v>
      </c>
      <c r="D165" s="398">
        <v>329</v>
      </c>
      <c r="E165" s="406">
        <v>17.100000000000001</v>
      </c>
      <c r="F165" s="406">
        <v>31</v>
      </c>
      <c r="G165" s="398">
        <v>13</v>
      </c>
      <c r="H165" s="470">
        <v>303.39999999999998</v>
      </c>
      <c r="I165" s="398">
        <v>573</v>
      </c>
      <c r="J165" s="398">
        <v>547</v>
      </c>
      <c r="K165" s="398" t="s">
        <v>667</v>
      </c>
      <c r="L165" s="408">
        <v>100</v>
      </c>
      <c r="M165" s="409">
        <v>224</v>
      </c>
      <c r="N165" s="411">
        <v>2.5299999999999998</v>
      </c>
      <c r="O165" s="411">
        <v>10.62</v>
      </c>
      <c r="P165" s="404" t="s">
        <v>1200</v>
      </c>
      <c r="Q165" s="409">
        <v>162</v>
      </c>
      <c r="R165" s="408">
        <v>214200</v>
      </c>
      <c r="S165" s="408">
        <v>6746</v>
      </c>
      <c r="T165" s="408">
        <v>7605</v>
      </c>
      <c r="U165" s="411">
        <v>26.57</v>
      </c>
      <c r="V165" s="407">
        <v>112.8</v>
      </c>
      <c r="W165" s="408">
        <v>18430</v>
      </c>
      <c r="X165" s="408">
        <v>1120</v>
      </c>
      <c r="Y165" s="408">
        <v>1721</v>
      </c>
      <c r="Z165" s="407">
        <v>7.79</v>
      </c>
      <c r="AA165" s="411">
        <v>94.33</v>
      </c>
      <c r="AB165" s="398">
        <v>758.6</v>
      </c>
      <c r="AC165" s="400">
        <v>16780</v>
      </c>
      <c r="AD165" s="398">
        <v>1</v>
      </c>
      <c r="AE165" s="398">
        <v>1</v>
      </c>
      <c r="AF165" s="399">
        <v>1</v>
      </c>
      <c r="AG165" s="398">
        <v>1</v>
      </c>
      <c r="AH165" s="398">
        <v>3</v>
      </c>
      <c r="AI165" s="400">
        <v>4</v>
      </c>
      <c r="AJ165" s="398" t="s">
        <v>661</v>
      </c>
    </row>
    <row r="166" spans="1:36" s="46" customFormat="1" ht="13.5" customHeight="1">
      <c r="A166" s="33" t="s">
        <v>1201</v>
      </c>
      <c r="B166" s="44">
        <v>262</v>
      </c>
      <c r="C166" s="21">
        <v>641</v>
      </c>
      <c r="D166" s="21">
        <v>327</v>
      </c>
      <c r="E166" s="36">
        <v>19</v>
      </c>
      <c r="F166" s="36">
        <v>34</v>
      </c>
      <c r="G166" s="21">
        <v>13</v>
      </c>
      <c r="H166" s="47">
        <v>332.7</v>
      </c>
      <c r="I166" s="21">
        <v>573</v>
      </c>
      <c r="J166" s="21">
        <v>547</v>
      </c>
      <c r="K166" s="21" t="s">
        <v>667</v>
      </c>
      <c r="L166" s="35">
        <v>102</v>
      </c>
      <c r="M166" s="38">
        <v>222</v>
      </c>
      <c r="N166" s="40">
        <v>2.5299999999999998</v>
      </c>
      <c r="O166" s="40">
        <v>9.69</v>
      </c>
      <c r="P166" s="33" t="s">
        <v>1202</v>
      </c>
      <c r="Q166" s="44">
        <v>176</v>
      </c>
      <c r="R166" s="35">
        <v>235990</v>
      </c>
      <c r="S166" s="35">
        <v>7363</v>
      </c>
      <c r="T166" s="35">
        <v>8349</v>
      </c>
      <c r="U166" s="40">
        <v>26.63</v>
      </c>
      <c r="V166" s="41">
        <v>125.6</v>
      </c>
      <c r="W166" s="35">
        <v>19850</v>
      </c>
      <c r="X166" s="35">
        <v>1214</v>
      </c>
      <c r="Y166" s="35">
        <v>1871</v>
      </c>
      <c r="Z166" s="41">
        <v>7.72</v>
      </c>
      <c r="AA166" s="36">
        <v>102.2</v>
      </c>
      <c r="AB166" s="21">
        <v>998.1</v>
      </c>
      <c r="AC166" s="42">
        <v>18250</v>
      </c>
      <c r="AD166" s="21">
        <v>1</v>
      </c>
      <c r="AE166" s="21">
        <v>1</v>
      </c>
      <c r="AF166" s="43">
        <v>1</v>
      </c>
      <c r="AG166" s="21">
        <v>1</v>
      </c>
      <c r="AH166" s="21">
        <v>2</v>
      </c>
      <c r="AI166" s="42">
        <v>3</v>
      </c>
      <c r="AJ166" s="21" t="s">
        <v>661</v>
      </c>
    </row>
    <row r="167" spans="1:36" s="443" customFormat="1" ht="13.5" customHeight="1">
      <c r="A167" s="404" t="s">
        <v>1203</v>
      </c>
      <c r="B167" s="409">
        <v>285</v>
      </c>
      <c r="C167" s="398">
        <v>647</v>
      </c>
      <c r="D167" s="398">
        <v>329</v>
      </c>
      <c r="E167" s="406">
        <v>20.6</v>
      </c>
      <c r="F167" s="406">
        <v>37.1</v>
      </c>
      <c r="G167" s="398">
        <v>13</v>
      </c>
      <c r="H167" s="470">
        <v>363.6</v>
      </c>
      <c r="I167" s="398">
        <v>572.79999999999995</v>
      </c>
      <c r="J167" s="398">
        <v>546.79999999999995</v>
      </c>
      <c r="K167" s="398" t="s">
        <v>667</v>
      </c>
      <c r="L167" s="408">
        <v>104</v>
      </c>
      <c r="M167" s="409">
        <v>224</v>
      </c>
      <c r="N167" s="411">
        <v>2.5499999999999998</v>
      </c>
      <c r="O167" s="411">
        <v>8.92</v>
      </c>
      <c r="P167" s="404" t="s">
        <v>1204</v>
      </c>
      <c r="Q167" s="409">
        <v>192</v>
      </c>
      <c r="R167" s="408">
        <v>260700</v>
      </c>
      <c r="S167" s="408">
        <v>8059</v>
      </c>
      <c r="T167" s="408">
        <v>9175</v>
      </c>
      <c r="U167" s="411">
        <v>26.78</v>
      </c>
      <c r="V167" s="407">
        <v>136.69999999999999</v>
      </c>
      <c r="W167" s="408">
        <v>22060</v>
      </c>
      <c r="X167" s="408">
        <v>1341</v>
      </c>
      <c r="Y167" s="408">
        <v>2071</v>
      </c>
      <c r="Z167" s="407">
        <v>7.79</v>
      </c>
      <c r="AA167" s="406">
        <v>110</v>
      </c>
      <c r="AB167" s="398">
        <v>1295</v>
      </c>
      <c r="AC167" s="400">
        <v>20480</v>
      </c>
      <c r="AD167" s="398">
        <v>1</v>
      </c>
      <c r="AE167" s="398">
        <v>1</v>
      </c>
      <c r="AF167" s="399">
        <v>1</v>
      </c>
      <c r="AG167" s="398">
        <v>1</v>
      </c>
      <c r="AH167" s="398">
        <v>1</v>
      </c>
      <c r="AI167" s="400">
        <v>2</v>
      </c>
      <c r="AJ167" s="398" t="s">
        <v>661</v>
      </c>
    </row>
    <row r="168" spans="1:36" s="46" customFormat="1" ht="13.5" customHeight="1">
      <c r="A168" s="33" t="s">
        <v>1205</v>
      </c>
      <c r="B168" s="44">
        <v>341</v>
      </c>
      <c r="C168" s="21">
        <v>661</v>
      </c>
      <c r="D168" s="21">
        <v>333</v>
      </c>
      <c r="E168" s="36">
        <v>24.4</v>
      </c>
      <c r="F168" s="36">
        <v>43.9</v>
      </c>
      <c r="G168" s="21">
        <v>13</v>
      </c>
      <c r="H168" s="47">
        <v>433.7</v>
      </c>
      <c r="I168" s="21">
        <v>573.20000000000005</v>
      </c>
      <c r="J168" s="21">
        <v>547.20000000000005</v>
      </c>
      <c r="K168" s="21" t="s">
        <v>667</v>
      </c>
      <c r="L168" s="35">
        <v>108</v>
      </c>
      <c r="M168" s="38">
        <v>228</v>
      </c>
      <c r="N168" s="40">
        <v>2.58</v>
      </c>
      <c r="O168" s="40">
        <v>7.59</v>
      </c>
      <c r="P168" s="33" t="s">
        <v>1206</v>
      </c>
      <c r="Q168" s="44">
        <v>229</v>
      </c>
      <c r="R168" s="35">
        <v>318300</v>
      </c>
      <c r="S168" s="35">
        <v>9630</v>
      </c>
      <c r="T168" s="35">
        <v>11070</v>
      </c>
      <c r="U168" s="40">
        <v>27.09</v>
      </c>
      <c r="V168" s="41">
        <v>163.4</v>
      </c>
      <c r="W168" s="35">
        <v>27090</v>
      </c>
      <c r="X168" s="35">
        <v>1627</v>
      </c>
      <c r="Y168" s="35">
        <v>2522</v>
      </c>
      <c r="Z168" s="41">
        <v>7.9</v>
      </c>
      <c r="AA168" s="36">
        <v>127.4</v>
      </c>
      <c r="AB168" s="21">
        <v>2153</v>
      </c>
      <c r="AC168" s="42">
        <v>25720</v>
      </c>
      <c r="AD168" s="21">
        <v>1</v>
      </c>
      <c r="AE168" s="21">
        <v>1</v>
      </c>
      <c r="AF168" s="43">
        <v>1</v>
      </c>
      <c r="AG168" s="21">
        <v>1</v>
      </c>
      <c r="AH168" s="21">
        <v>1</v>
      </c>
      <c r="AI168" s="42">
        <v>1</v>
      </c>
      <c r="AJ168" s="21" t="s">
        <v>661</v>
      </c>
    </row>
    <row r="169" spans="1:36" s="443" customFormat="1" ht="13.5" customHeight="1">
      <c r="A169" s="404" t="s">
        <v>1207</v>
      </c>
      <c r="B169" s="409">
        <v>415</v>
      </c>
      <c r="C169" s="398">
        <v>679</v>
      </c>
      <c r="D169" s="398">
        <v>338</v>
      </c>
      <c r="E169" s="406">
        <v>29.5</v>
      </c>
      <c r="F169" s="406">
        <v>53.1</v>
      </c>
      <c r="G169" s="398">
        <v>13</v>
      </c>
      <c r="H169" s="470">
        <v>529.4</v>
      </c>
      <c r="I169" s="398">
        <v>572.79999999999995</v>
      </c>
      <c r="J169" s="398">
        <v>546.79999999999995</v>
      </c>
      <c r="K169" s="398" t="s">
        <v>667</v>
      </c>
      <c r="L169" s="408">
        <v>114</v>
      </c>
      <c r="M169" s="409">
        <v>232</v>
      </c>
      <c r="N169" s="411">
        <v>2.63</v>
      </c>
      <c r="O169" s="411">
        <v>6.33</v>
      </c>
      <c r="P169" s="404" t="s">
        <v>1208</v>
      </c>
      <c r="Q169" s="409">
        <v>279</v>
      </c>
      <c r="R169" s="408">
        <v>399800</v>
      </c>
      <c r="S169" s="408">
        <v>11780</v>
      </c>
      <c r="T169" s="408">
        <v>13690</v>
      </c>
      <c r="U169" s="411">
        <v>27.48</v>
      </c>
      <c r="V169" s="407">
        <v>199.9</v>
      </c>
      <c r="W169" s="408">
        <v>34300</v>
      </c>
      <c r="X169" s="408">
        <v>2030</v>
      </c>
      <c r="Y169" s="408">
        <v>3160</v>
      </c>
      <c r="Z169" s="407">
        <v>8.0500000000000007</v>
      </c>
      <c r="AA169" s="406">
        <v>150.9</v>
      </c>
      <c r="AB169" s="398">
        <v>3824</v>
      </c>
      <c r="AC169" s="400">
        <v>33470</v>
      </c>
      <c r="AD169" s="398">
        <v>1</v>
      </c>
      <c r="AE169" s="398">
        <v>1</v>
      </c>
      <c r="AF169" s="399">
        <v>1</v>
      </c>
      <c r="AG169" s="398">
        <v>1</v>
      </c>
      <c r="AH169" s="398">
        <v>1</v>
      </c>
      <c r="AI169" s="400">
        <v>1</v>
      </c>
      <c r="AJ169" s="398" t="s">
        <v>661</v>
      </c>
    </row>
    <row r="170" spans="1:36" s="46" customFormat="1" ht="13.5" customHeight="1">
      <c r="A170" s="33" t="s">
        <v>1209</v>
      </c>
      <c r="B170" s="44">
        <v>455</v>
      </c>
      <c r="C170" s="21">
        <v>689</v>
      </c>
      <c r="D170" s="21">
        <v>340</v>
      </c>
      <c r="E170" s="36">
        <v>32</v>
      </c>
      <c r="F170" s="36">
        <v>57.9</v>
      </c>
      <c r="G170" s="21">
        <v>13</v>
      </c>
      <c r="H170" s="47">
        <v>578.6</v>
      </c>
      <c r="I170" s="21">
        <v>573.20000000000005</v>
      </c>
      <c r="J170" s="21">
        <v>547.20000000000005</v>
      </c>
      <c r="K170" s="21" t="s">
        <v>667</v>
      </c>
      <c r="L170" s="35">
        <v>116</v>
      </c>
      <c r="M170" s="38">
        <v>234</v>
      </c>
      <c r="N170" s="40">
        <v>2.65</v>
      </c>
      <c r="O170" s="40">
        <v>5.84</v>
      </c>
      <c r="P170" s="33" t="s">
        <v>1210</v>
      </c>
      <c r="Q170" s="44">
        <v>306</v>
      </c>
      <c r="R170" s="35">
        <v>444520</v>
      </c>
      <c r="S170" s="35">
        <v>12903</v>
      </c>
      <c r="T170" s="35">
        <v>15093</v>
      </c>
      <c r="U170" s="40">
        <v>27.72</v>
      </c>
      <c r="V170" s="41">
        <v>218.5</v>
      </c>
      <c r="W170" s="35">
        <v>38090</v>
      </c>
      <c r="X170" s="35">
        <v>2241</v>
      </c>
      <c r="Y170" s="35">
        <v>3496</v>
      </c>
      <c r="Z170" s="41">
        <v>8.11</v>
      </c>
      <c r="AA170" s="36">
        <v>163</v>
      </c>
      <c r="AB170" s="21">
        <v>4948</v>
      </c>
      <c r="AC170" s="42">
        <v>37770</v>
      </c>
      <c r="AD170" s="21">
        <v>1</v>
      </c>
      <c r="AE170" s="21">
        <v>1</v>
      </c>
      <c r="AF170" s="43">
        <v>1</v>
      </c>
      <c r="AG170" s="21">
        <v>1</v>
      </c>
      <c r="AH170" s="21">
        <v>1</v>
      </c>
      <c r="AI170" s="42">
        <v>1</v>
      </c>
      <c r="AJ170" s="21" t="s">
        <v>661</v>
      </c>
    </row>
    <row r="171" spans="1:36" s="443" customFormat="1" ht="13.5" customHeight="1">
      <c r="A171" s="404" t="s">
        <v>1211</v>
      </c>
      <c r="B171" s="409">
        <v>498</v>
      </c>
      <c r="C171" s="398">
        <v>699</v>
      </c>
      <c r="D171" s="398">
        <v>343</v>
      </c>
      <c r="E171" s="406">
        <v>35.1</v>
      </c>
      <c r="F171" s="406">
        <v>63</v>
      </c>
      <c r="G171" s="398">
        <v>13</v>
      </c>
      <c r="H171" s="470">
        <v>634.79999999999995</v>
      </c>
      <c r="I171" s="398">
        <v>573</v>
      </c>
      <c r="J171" s="398">
        <v>547</v>
      </c>
      <c r="K171" s="398" t="s">
        <v>667</v>
      </c>
      <c r="L171" s="408">
        <v>120</v>
      </c>
      <c r="M171" s="409">
        <v>238</v>
      </c>
      <c r="N171" s="411">
        <v>2.68</v>
      </c>
      <c r="O171" s="411">
        <v>5.37</v>
      </c>
      <c r="P171" s="404" t="s">
        <v>1212</v>
      </c>
      <c r="Q171" s="409">
        <v>335</v>
      </c>
      <c r="R171" s="408">
        <v>494700</v>
      </c>
      <c r="S171" s="408">
        <v>14150</v>
      </c>
      <c r="T171" s="408">
        <v>16670</v>
      </c>
      <c r="U171" s="411">
        <v>27.92</v>
      </c>
      <c r="V171" s="407">
        <v>241.1</v>
      </c>
      <c r="W171" s="408">
        <v>42580</v>
      </c>
      <c r="X171" s="408">
        <v>2483</v>
      </c>
      <c r="Y171" s="408">
        <v>3885</v>
      </c>
      <c r="Z171" s="407">
        <v>8.19</v>
      </c>
      <c r="AA171" s="406">
        <v>176.3</v>
      </c>
      <c r="AB171" s="398">
        <v>6420</v>
      </c>
      <c r="AC171" s="400">
        <v>42850</v>
      </c>
      <c r="AD171" s="398">
        <v>1</v>
      </c>
      <c r="AE171" s="398">
        <v>1</v>
      </c>
      <c r="AF171" s="399">
        <v>1</v>
      </c>
      <c r="AG171" s="398">
        <v>1</v>
      </c>
      <c r="AH171" s="398">
        <v>1</v>
      </c>
      <c r="AI171" s="400">
        <v>1</v>
      </c>
      <c r="AJ171" s="398" t="s">
        <v>661</v>
      </c>
    </row>
    <row r="172" spans="1:36" s="46" customFormat="1" ht="13.5" customHeight="1">
      <c r="A172" s="33" t="s">
        <v>1213</v>
      </c>
      <c r="B172" s="44">
        <v>551</v>
      </c>
      <c r="C172" s="21">
        <v>711</v>
      </c>
      <c r="D172" s="21">
        <v>347</v>
      </c>
      <c r="E172" s="36">
        <v>38.6</v>
      </c>
      <c r="F172" s="36">
        <v>69.099999999999994</v>
      </c>
      <c r="G172" s="21">
        <v>13</v>
      </c>
      <c r="H172" s="47">
        <v>702.1</v>
      </c>
      <c r="I172" s="21">
        <v>572.79999999999995</v>
      </c>
      <c r="J172" s="21">
        <v>546.79999999999995</v>
      </c>
      <c r="K172" s="21" t="s">
        <v>667</v>
      </c>
      <c r="L172" s="35">
        <v>122</v>
      </c>
      <c r="M172" s="38">
        <v>242</v>
      </c>
      <c r="N172" s="40">
        <v>2.71</v>
      </c>
      <c r="O172" s="40">
        <v>4.92</v>
      </c>
      <c r="P172" s="33" t="s">
        <v>1214</v>
      </c>
      <c r="Q172" s="44">
        <v>370</v>
      </c>
      <c r="R172" s="35">
        <v>557510</v>
      </c>
      <c r="S172" s="35">
        <v>15682</v>
      </c>
      <c r="T172" s="35">
        <v>18599</v>
      </c>
      <c r="U172" s="40">
        <v>28.18</v>
      </c>
      <c r="V172" s="41">
        <v>267.2</v>
      </c>
      <c r="W172" s="35">
        <v>48400</v>
      </c>
      <c r="X172" s="35">
        <v>2790</v>
      </c>
      <c r="Y172" s="35">
        <v>4377</v>
      </c>
      <c r="Z172" s="41">
        <v>8.3000000000000007</v>
      </c>
      <c r="AA172" s="36">
        <v>192</v>
      </c>
      <c r="AB172" s="21">
        <v>8525</v>
      </c>
      <c r="AC172" s="42">
        <v>49570</v>
      </c>
      <c r="AD172" s="21">
        <v>1</v>
      </c>
      <c r="AE172" s="21">
        <v>1</v>
      </c>
      <c r="AF172" s="43">
        <v>1</v>
      </c>
      <c r="AG172" s="21">
        <v>1</v>
      </c>
      <c r="AH172" s="21">
        <v>1</v>
      </c>
      <c r="AI172" s="42">
        <v>1</v>
      </c>
      <c r="AJ172" s="21" t="s">
        <v>661</v>
      </c>
    </row>
    <row r="173" spans="1:36" s="46" customFormat="1" ht="13.5" customHeight="1">
      <c r="A173" s="33"/>
      <c r="B173" s="44"/>
      <c r="C173" s="21"/>
      <c r="D173" s="21"/>
      <c r="E173" s="36"/>
      <c r="F173" s="36"/>
      <c r="G173" s="21"/>
      <c r="H173" s="47"/>
      <c r="I173" s="21"/>
      <c r="J173" s="21"/>
      <c r="K173" s="21"/>
      <c r="L173" s="35"/>
      <c r="M173" s="38"/>
      <c r="N173" s="40"/>
      <c r="O173" s="40"/>
      <c r="P173" s="33"/>
      <c r="Q173" s="44"/>
      <c r="R173" s="35"/>
      <c r="S173" s="35"/>
      <c r="T173" s="35"/>
      <c r="U173" s="40"/>
      <c r="V173" s="41"/>
      <c r="W173" s="35"/>
      <c r="X173" s="36"/>
      <c r="Y173" s="36"/>
      <c r="Z173" s="41"/>
      <c r="AA173" s="40"/>
      <c r="AB173" s="21"/>
      <c r="AC173" s="42"/>
      <c r="AD173" s="21"/>
      <c r="AE173" s="21"/>
      <c r="AF173" s="43"/>
      <c r="AG173" s="21"/>
      <c r="AH173" s="21"/>
      <c r="AI173" s="42"/>
      <c r="AJ173" s="21"/>
    </row>
    <row r="174" spans="1:36" s="443" customFormat="1" ht="13.5" customHeight="1">
      <c r="A174" s="404" t="s">
        <v>1215</v>
      </c>
      <c r="B174" s="409">
        <v>125</v>
      </c>
      <c r="C174" s="398">
        <v>678</v>
      </c>
      <c r="D174" s="398">
        <v>253</v>
      </c>
      <c r="E174" s="406">
        <v>11.7</v>
      </c>
      <c r="F174" s="406">
        <v>16.3</v>
      </c>
      <c r="G174" s="398">
        <v>15</v>
      </c>
      <c r="H174" s="470">
        <v>159.9</v>
      </c>
      <c r="I174" s="398">
        <v>645.4</v>
      </c>
      <c r="J174" s="398">
        <v>615.4</v>
      </c>
      <c r="K174" s="398" t="s">
        <v>667</v>
      </c>
      <c r="L174" s="408">
        <v>100</v>
      </c>
      <c r="M174" s="409">
        <v>148</v>
      </c>
      <c r="N174" s="411">
        <v>2.3199999999999998</v>
      </c>
      <c r="O174" s="411">
        <v>18.47</v>
      </c>
      <c r="P174" s="404" t="s">
        <v>1216</v>
      </c>
      <c r="Q174" s="409">
        <v>84</v>
      </c>
      <c r="R174" s="408">
        <v>118480</v>
      </c>
      <c r="S174" s="408">
        <v>3495</v>
      </c>
      <c r="T174" s="408">
        <v>4009</v>
      </c>
      <c r="U174" s="411">
        <v>27.22</v>
      </c>
      <c r="V174" s="407">
        <v>84.24</v>
      </c>
      <c r="W174" s="408">
        <v>4410</v>
      </c>
      <c r="X174" s="406">
        <v>348.6</v>
      </c>
      <c r="Y174" s="406">
        <v>545.5</v>
      </c>
      <c r="Z174" s="407">
        <v>5.25</v>
      </c>
      <c r="AA174" s="411">
        <v>61.87</v>
      </c>
      <c r="AB174" s="406">
        <v>119.4</v>
      </c>
      <c r="AC174" s="400">
        <v>4816</v>
      </c>
      <c r="AD174" s="398">
        <v>1</v>
      </c>
      <c r="AE174" s="398">
        <v>1</v>
      </c>
      <c r="AF174" s="399" t="s">
        <v>616</v>
      </c>
      <c r="AG174" s="398">
        <v>4</v>
      </c>
      <c r="AH174" s="398">
        <v>4</v>
      </c>
      <c r="AI174" s="400" t="s">
        <v>616</v>
      </c>
      <c r="AJ174" s="398"/>
    </row>
    <row r="175" spans="1:36" s="46" customFormat="1" ht="13.5" customHeight="1">
      <c r="A175" s="33" t="s">
        <v>1217</v>
      </c>
      <c r="B175" s="44">
        <v>140</v>
      </c>
      <c r="C175" s="21">
        <v>684</v>
      </c>
      <c r="D175" s="21">
        <v>254</v>
      </c>
      <c r="E175" s="36">
        <v>12.4</v>
      </c>
      <c r="F175" s="36">
        <v>18.899999999999999</v>
      </c>
      <c r="G175" s="21">
        <v>15</v>
      </c>
      <c r="H175" s="47">
        <v>178.1</v>
      </c>
      <c r="I175" s="21">
        <v>646.20000000000005</v>
      </c>
      <c r="J175" s="21">
        <v>616.20000000000005</v>
      </c>
      <c r="K175" s="21" t="s">
        <v>667</v>
      </c>
      <c r="L175" s="35">
        <v>100</v>
      </c>
      <c r="M175" s="38">
        <v>148</v>
      </c>
      <c r="N175" s="40">
        <v>2.33</v>
      </c>
      <c r="O175" s="40">
        <v>16.690000000000001</v>
      </c>
      <c r="P175" s="33" t="s">
        <v>1218</v>
      </c>
      <c r="Q175" s="44">
        <v>94</v>
      </c>
      <c r="R175" s="35">
        <v>136070</v>
      </c>
      <c r="S175" s="35">
        <v>3979</v>
      </c>
      <c r="T175" s="35">
        <v>4549</v>
      </c>
      <c r="U175" s="40">
        <v>27.64</v>
      </c>
      <c r="V175" s="41">
        <v>90.07</v>
      </c>
      <c r="W175" s="35">
        <v>5174</v>
      </c>
      <c r="X175" s="36">
        <v>407.4</v>
      </c>
      <c r="Y175" s="36">
        <v>636.4</v>
      </c>
      <c r="Z175" s="41">
        <v>5.39</v>
      </c>
      <c r="AA175" s="40">
        <v>67.77</v>
      </c>
      <c r="AB175" s="36">
        <v>168.4</v>
      </c>
      <c r="AC175" s="42">
        <v>5709</v>
      </c>
      <c r="AD175" s="21">
        <v>1</v>
      </c>
      <c r="AE175" s="21">
        <v>1</v>
      </c>
      <c r="AF175" s="43" t="s">
        <v>616</v>
      </c>
      <c r="AG175" s="21">
        <v>4</v>
      </c>
      <c r="AH175" s="21">
        <v>4</v>
      </c>
      <c r="AI175" s="42" t="s">
        <v>616</v>
      </c>
      <c r="AJ175" s="21"/>
    </row>
    <row r="176" spans="1:36" s="443" customFormat="1" ht="13.5" customHeight="1">
      <c r="A176" s="404" t="s">
        <v>1219</v>
      </c>
      <c r="B176" s="409">
        <v>152</v>
      </c>
      <c r="C176" s="398">
        <v>688</v>
      </c>
      <c r="D176" s="398">
        <v>254</v>
      </c>
      <c r="E176" s="406">
        <v>13.1</v>
      </c>
      <c r="F176" s="406">
        <v>21.1</v>
      </c>
      <c r="G176" s="398">
        <v>15</v>
      </c>
      <c r="H176" s="470">
        <v>193.7</v>
      </c>
      <c r="I176" s="398">
        <v>645.79999999999995</v>
      </c>
      <c r="J176" s="398">
        <v>615.79999999999995</v>
      </c>
      <c r="K176" s="398" t="s">
        <v>667</v>
      </c>
      <c r="L176" s="408">
        <v>102</v>
      </c>
      <c r="M176" s="409">
        <v>148</v>
      </c>
      <c r="N176" s="411">
        <v>2.34</v>
      </c>
      <c r="O176" s="411">
        <v>15.39</v>
      </c>
      <c r="P176" s="404" t="s">
        <v>1220</v>
      </c>
      <c r="Q176" s="409">
        <v>102</v>
      </c>
      <c r="R176" s="408">
        <v>150600</v>
      </c>
      <c r="S176" s="408">
        <v>4378</v>
      </c>
      <c r="T176" s="408">
        <v>5002</v>
      </c>
      <c r="U176" s="411">
        <v>27.88</v>
      </c>
      <c r="V176" s="407">
        <v>95.63</v>
      </c>
      <c r="W176" s="408">
        <v>5777</v>
      </c>
      <c r="X176" s="406">
        <v>454.9</v>
      </c>
      <c r="Y176" s="406">
        <v>710.3</v>
      </c>
      <c r="Z176" s="407">
        <v>5.46</v>
      </c>
      <c r="AA176" s="411">
        <v>72.87</v>
      </c>
      <c r="AB176" s="406">
        <v>221.4</v>
      </c>
      <c r="AC176" s="400">
        <v>6408</v>
      </c>
      <c r="AD176" s="398">
        <v>1</v>
      </c>
      <c r="AE176" s="398">
        <v>1</v>
      </c>
      <c r="AF176" s="399">
        <v>1</v>
      </c>
      <c r="AG176" s="398">
        <v>4</v>
      </c>
      <c r="AH176" s="398">
        <v>4</v>
      </c>
      <c r="AI176" s="400">
        <v>4</v>
      </c>
      <c r="AJ176" s="398" t="s">
        <v>661</v>
      </c>
    </row>
    <row r="177" spans="1:36" s="46" customFormat="1" ht="13.5" customHeight="1">
      <c r="A177" s="33" t="s">
        <v>1221</v>
      </c>
      <c r="B177" s="44">
        <v>170</v>
      </c>
      <c r="C177" s="21">
        <v>693</v>
      </c>
      <c r="D177" s="21">
        <v>256</v>
      </c>
      <c r="E177" s="36">
        <v>14.5</v>
      </c>
      <c r="F177" s="36">
        <v>23.6</v>
      </c>
      <c r="G177" s="21">
        <v>15</v>
      </c>
      <c r="H177" s="47">
        <v>216.4</v>
      </c>
      <c r="I177" s="21">
        <v>645.79999999999995</v>
      </c>
      <c r="J177" s="21">
        <v>615.79999999999995</v>
      </c>
      <c r="K177" s="21" t="s">
        <v>667</v>
      </c>
      <c r="L177" s="35">
        <v>102</v>
      </c>
      <c r="M177" s="38">
        <v>150</v>
      </c>
      <c r="N177" s="40">
        <v>2.36</v>
      </c>
      <c r="O177" s="40">
        <v>13.86</v>
      </c>
      <c r="P177" s="33" t="s">
        <v>1222</v>
      </c>
      <c r="Q177" s="44">
        <v>114</v>
      </c>
      <c r="R177" s="35">
        <v>169930</v>
      </c>
      <c r="S177" s="35">
        <v>4904</v>
      </c>
      <c r="T177" s="35">
        <v>5618</v>
      </c>
      <c r="U177" s="40">
        <v>28.02</v>
      </c>
      <c r="V177" s="41">
        <v>106.1</v>
      </c>
      <c r="W177" s="35">
        <v>6618</v>
      </c>
      <c r="X177" s="36">
        <v>517</v>
      </c>
      <c r="Y177" s="36">
        <v>809.3</v>
      </c>
      <c r="Z177" s="41">
        <v>5.53</v>
      </c>
      <c r="AA177" s="40">
        <v>79.27</v>
      </c>
      <c r="AB177" s="36">
        <v>306.7</v>
      </c>
      <c r="AC177" s="42">
        <v>7393</v>
      </c>
      <c r="AD177" s="21">
        <v>1</v>
      </c>
      <c r="AE177" s="21">
        <v>1</v>
      </c>
      <c r="AF177" s="43">
        <v>1</v>
      </c>
      <c r="AG177" s="21">
        <v>4</v>
      </c>
      <c r="AH177" s="21">
        <v>4</v>
      </c>
      <c r="AI177" s="42">
        <v>4</v>
      </c>
      <c r="AJ177" s="21" t="s">
        <v>661</v>
      </c>
    </row>
    <row r="178" spans="1:36" s="443" customFormat="1" ht="13.5" customHeight="1">
      <c r="A178" s="404" t="s">
        <v>1223</v>
      </c>
      <c r="B178" s="409">
        <v>192</v>
      </c>
      <c r="C178" s="398">
        <v>702</v>
      </c>
      <c r="D178" s="398">
        <v>254</v>
      </c>
      <c r="E178" s="406">
        <v>15.5</v>
      </c>
      <c r="F178" s="406">
        <v>27.9</v>
      </c>
      <c r="G178" s="398">
        <v>15</v>
      </c>
      <c r="H178" s="470">
        <v>243.8</v>
      </c>
      <c r="I178" s="398">
        <v>646.20000000000005</v>
      </c>
      <c r="J178" s="398">
        <v>616.20000000000005</v>
      </c>
      <c r="K178" s="398" t="s">
        <v>667</v>
      </c>
      <c r="L178" s="408">
        <v>104</v>
      </c>
      <c r="M178" s="409">
        <v>148</v>
      </c>
      <c r="N178" s="411">
        <v>2.36</v>
      </c>
      <c r="O178" s="411">
        <v>12.35</v>
      </c>
      <c r="P178" s="404" t="s">
        <v>1224</v>
      </c>
      <c r="Q178" s="409">
        <v>129</v>
      </c>
      <c r="R178" s="408">
        <v>197900</v>
      </c>
      <c r="S178" s="408">
        <v>5639</v>
      </c>
      <c r="T178" s="408">
        <v>6457</v>
      </c>
      <c r="U178" s="411">
        <v>28.49</v>
      </c>
      <c r="V178" s="407">
        <v>114.8</v>
      </c>
      <c r="W178" s="408">
        <v>7643</v>
      </c>
      <c r="X178" s="406">
        <v>601.79999999999995</v>
      </c>
      <c r="Y178" s="406">
        <v>941</v>
      </c>
      <c r="Z178" s="407">
        <v>5.6</v>
      </c>
      <c r="AA178" s="411">
        <v>88.87</v>
      </c>
      <c r="AB178" s="406">
        <v>463.2</v>
      </c>
      <c r="AC178" s="400">
        <v>8657</v>
      </c>
      <c r="AD178" s="398">
        <v>1</v>
      </c>
      <c r="AE178" s="398">
        <v>1</v>
      </c>
      <c r="AF178" s="399">
        <v>1</v>
      </c>
      <c r="AG178" s="398">
        <v>3</v>
      </c>
      <c r="AH178" s="398">
        <v>4</v>
      </c>
      <c r="AI178" s="400">
        <v>4</v>
      </c>
      <c r="AJ178" s="398" t="s">
        <v>661</v>
      </c>
    </row>
    <row r="179" spans="1:36" s="46" customFormat="1" ht="13.5" customHeight="1">
      <c r="A179" s="33"/>
      <c r="B179" s="44"/>
      <c r="C179" s="21"/>
      <c r="D179" s="21"/>
      <c r="E179" s="36"/>
      <c r="F179" s="36"/>
      <c r="G179" s="21"/>
      <c r="H179" s="47"/>
      <c r="I179" s="21"/>
      <c r="J179" s="21"/>
      <c r="K179" s="21"/>
      <c r="L179" s="35"/>
      <c r="M179" s="38"/>
      <c r="N179" s="40"/>
      <c r="O179" s="40"/>
      <c r="P179" s="33"/>
      <c r="Q179" s="44"/>
      <c r="R179" s="35"/>
      <c r="S179" s="35"/>
      <c r="T179" s="35"/>
      <c r="U179" s="40"/>
      <c r="V179" s="41"/>
      <c r="W179" s="35"/>
      <c r="X179" s="36"/>
      <c r="Y179" s="36"/>
      <c r="Z179" s="41"/>
      <c r="AA179" s="40"/>
      <c r="AB179" s="36"/>
      <c r="AC179" s="42"/>
      <c r="AD179" s="21"/>
      <c r="AE179" s="21"/>
      <c r="AF179" s="43"/>
      <c r="AG179" s="21"/>
      <c r="AH179" s="21"/>
      <c r="AI179" s="42"/>
      <c r="AJ179" s="21"/>
    </row>
    <row r="180" spans="1:36" s="443" customFormat="1" ht="13.5" customHeight="1">
      <c r="A180" s="404" t="s">
        <v>1225</v>
      </c>
      <c r="B180" s="409">
        <v>147</v>
      </c>
      <c r="C180" s="398">
        <v>753</v>
      </c>
      <c r="D180" s="398">
        <v>265</v>
      </c>
      <c r="E180" s="406">
        <v>13.2</v>
      </c>
      <c r="F180" s="406">
        <v>17</v>
      </c>
      <c r="G180" s="398">
        <v>17</v>
      </c>
      <c r="H180" s="470">
        <v>187.5</v>
      </c>
      <c r="I180" s="398">
        <v>719</v>
      </c>
      <c r="J180" s="398">
        <v>685</v>
      </c>
      <c r="K180" s="398" t="s">
        <v>667</v>
      </c>
      <c r="L180" s="408">
        <v>106</v>
      </c>
      <c r="M180" s="409">
        <v>160</v>
      </c>
      <c r="N180" s="411">
        <v>2.5099999999999998</v>
      </c>
      <c r="O180" s="411">
        <v>17.059999999999999</v>
      </c>
      <c r="P180" s="404" t="s">
        <v>1226</v>
      </c>
      <c r="Q180" s="409">
        <v>99</v>
      </c>
      <c r="R180" s="408">
        <v>166100</v>
      </c>
      <c r="S180" s="408">
        <v>4411</v>
      </c>
      <c r="T180" s="408">
        <v>5110</v>
      </c>
      <c r="U180" s="411">
        <v>29.76</v>
      </c>
      <c r="V180" s="407">
        <v>105.4</v>
      </c>
      <c r="W180" s="408">
        <v>5289</v>
      </c>
      <c r="X180" s="406">
        <v>399.2</v>
      </c>
      <c r="Y180" s="406">
        <v>630.79999999999995</v>
      </c>
      <c r="Z180" s="407">
        <v>5.31</v>
      </c>
      <c r="AA180" s="411">
        <v>67.12</v>
      </c>
      <c r="AB180" s="406">
        <v>161.5</v>
      </c>
      <c r="AC180" s="400">
        <v>7141</v>
      </c>
      <c r="AD180" s="398">
        <v>1</v>
      </c>
      <c r="AE180" s="398">
        <v>1</v>
      </c>
      <c r="AF180" s="399" t="s">
        <v>616</v>
      </c>
      <c r="AG180" s="398">
        <v>4</v>
      </c>
      <c r="AH180" s="398">
        <v>4</v>
      </c>
      <c r="AI180" s="400" t="s">
        <v>616</v>
      </c>
      <c r="AJ180" s="398"/>
    </row>
    <row r="181" spans="1:36" s="46" customFormat="1" ht="13.5" customHeight="1">
      <c r="A181" s="33" t="s">
        <v>1227</v>
      </c>
      <c r="B181" s="44">
        <v>161</v>
      </c>
      <c r="C181" s="21">
        <v>758</v>
      </c>
      <c r="D181" s="21">
        <v>266</v>
      </c>
      <c r="E181" s="36">
        <v>13.8</v>
      </c>
      <c r="F181" s="36">
        <v>19.3</v>
      </c>
      <c r="G181" s="21">
        <v>17</v>
      </c>
      <c r="H181" s="47">
        <v>204.4</v>
      </c>
      <c r="I181" s="21">
        <v>719.4</v>
      </c>
      <c r="J181" s="21">
        <v>685.4</v>
      </c>
      <c r="K181" s="21" t="s">
        <v>667</v>
      </c>
      <c r="L181" s="35">
        <v>106</v>
      </c>
      <c r="M181" s="38">
        <v>160</v>
      </c>
      <c r="N181" s="40">
        <v>2.52</v>
      </c>
      <c r="O181" s="40">
        <v>15.72</v>
      </c>
      <c r="P181" s="33" t="s">
        <v>1228</v>
      </c>
      <c r="Q181" s="44">
        <v>108</v>
      </c>
      <c r="R181" s="35">
        <v>186060</v>
      </c>
      <c r="S181" s="35">
        <v>4909</v>
      </c>
      <c r="T181" s="35">
        <v>5666</v>
      </c>
      <c r="U181" s="40">
        <v>30.17</v>
      </c>
      <c r="V181" s="41">
        <v>111</v>
      </c>
      <c r="W181" s="35">
        <v>6070</v>
      </c>
      <c r="X181" s="36">
        <v>456.6</v>
      </c>
      <c r="Y181" s="36">
        <v>719.7</v>
      </c>
      <c r="Z181" s="41">
        <v>5.45</v>
      </c>
      <c r="AA181" s="40">
        <v>72.319999999999993</v>
      </c>
      <c r="AB181" s="36">
        <v>211.7</v>
      </c>
      <c r="AC181" s="42">
        <v>8259</v>
      </c>
      <c r="AD181" s="21">
        <v>1</v>
      </c>
      <c r="AE181" s="21">
        <v>1</v>
      </c>
      <c r="AF181" s="43">
        <v>1</v>
      </c>
      <c r="AG181" s="21">
        <v>4</v>
      </c>
      <c r="AH181" s="21">
        <v>4</v>
      </c>
      <c r="AI181" s="42">
        <v>4</v>
      </c>
      <c r="AJ181" s="21" t="s">
        <v>661</v>
      </c>
    </row>
    <row r="182" spans="1:36" s="443" customFormat="1" ht="13.5" customHeight="1">
      <c r="A182" s="404" t="s">
        <v>1229</v>
      </c>
      <c r="B182" s="409">
        <v>173</v>
      </c>
      <c r="C182" s="398">
        <v>762</v>
      </c>
      <c r="D182" s="398">
        <v>267</v>
      </c>
      <c r="E182" s="406">
        <v>14.4</v>
      </c>
      <c r="F182" s="406">
        <v>21.6</v>
      </c>
      <c r="G182" s="398">
        <v>17</v>
      </c>
      <c r="H182" s="470">
        <v>221.3</v>
      </c>
      <c r="I182" s="398">
        <v>718.8</v>
      </c>
      <c r="J182" s="398">
        <v>684.8</v>
      </c>
      <c r="K182" s="398" t="s">
        <v>667</v>
      </c>
      <c r="L182" s="408">
        <v>106</v>
      </c>
      <c r="M182" s="409">
        <v>162</v>
      </c>
      <c r="N182" s="411">
        <v>2.5299999999999998</v>
      </c>
      <c r="O182" s="411">
        <v>14.58</v>
      </c>
      <c r="P182" s="404" t="s">
        <v>1230</v>
      </c>
      <c r="Q182" s="409">
        <v>116</v>
      </c>
      <c r="R182" s="408">
        <v>205800</v>
      </c>
      <c r="S182" s="408">
        <v>5402</v>
      </c>
      <c r="T182" s="408">
        <v>6218</v>
      </c>
      <c r="U182" s="411">
        <v>30.49</v>
      </c>
      <c r="V182" s="407">
        <v>116.4</v>
      </c>
      <c r="W182" s="408">
        <v>6873</v>
      </c>
      <c r="X182" s="406">
        <v>514.9</v>
      </c>
      <c r="Y182" s="406">
        <v>809.9</v>
      </c>
      <c r="Z182" s="407">
        <v>5.57</v>
      </c>
      <c r="AA182" s="411">
        <v>77.52</v>
      </c>
      <c r="AB182" s="406">
        <v>273.60000000000002</v>
      </c>
      <c r="AC182" s="400">
        <v>9391</v>
      </c>
      <c r="AD182" s="398">
        <v>1</v>
      </c>
      <c r="AE182" s="398">
        <v>1</v>
      </c>
      <c r="AF182" s="399">
        <v>1</v>
      </c>
      <c r="AG182" s="398">
        <v>4</v>
      </c>
      <c r="AH182" s="398">
        <v>4</v>
      </c>
      <c r="AI182" s="400">
        <v>4</v>
      </c>
      <c r="AJ182" s="398" t="s">
        <v>661</v>
      </c>
    </row>
    <row r="183" spans="1:36" s="46" customFormat="1" ht="13.5" customHeight="1">
      <c r="A183" s="33" t="s">
        <v>1231</v>
      </c>
      <c r="B183" s="44">
        <v>185</v>
      </c>
      <c r="C183" s="21">
        <v>766</v>
      </c>
      <c r="D183" s="21">
        <v>267</v>
      </c>
      <c r="E183" s="36">
        <v>14.9</v>
      </c>
      <c r="F183" s="36">
        <v>23.6</v>
      </c>
      <c r="G183" s="21">
        <v>17</v>
      </c>
      <c r="H183" s="47">
        <v>235.6</v>
      </c>
      <c r="I183" s="21">
        <v>718.8</v>
      </c>
      <c r="J183" s="21">
        <v>684.8</v>
      </c>
      <c r="K183" s="21" t="s">
        <v>667</v>
      </c>
      <c r="L183" s="35">
        <v>106</v>
      </c>
      <c r="M183" s="38">
        <v>162</v>
      </c>
      <c r="N183" s="40">
        <v>2.54</v>
      </c>
      <c r="O183" s="40">
        <v>13.74</v>
      </c>
      <c r="P183" s="33" t="s">
        <v>1232</v>
      </c>
      <c r="Q183" s="44">
        <v>124</v>
      </c>
      <c r="R183" s="35">
        <v>223000</v>
      </c>
      <c r="S183" s="35">
        <v>5821</v>
      </c>
      <c r="T183" s="35">
        <v>6691</v>
      </c>
      <c r="U183" s="40">
        <v>30.76</v>
      </c>
      <c r="V183" s="41">
        <v>121.1</v>
      </c>
      <c r="W183" s="35">
        <v>7510</v>
      </c>
      <c r="X183" s="36">
        <v>562.5</v>
      </c>
      <c r="Y183" s="36">
        <v>883.9</v>
      </c>
      <c r="Z183" s="41">
        <v>5.65</v>
      </c>
      <c r="AA183" s="40">
        <v>82.02</v>
      </c>
      <c r="AB183" s="36">
        <v>336.7</v>
      </c>
      <c r="AC183" s="42">
        <v>10320</v>
      </c>
      <c r="AD183" s="21">
        <v>1</v>
      </c>
      <c r="AE183" s="21">
        <v>1</v>
      </c>
      <c r="AF183" s="43">
        <v>1</v>
      </c>
      <c r="AG183" s="21">
        <v>4</v>
      </c>
      <c r="AH183" s="21">
        <v>4</v>
      </c>
      <c r="AI183" s="42">
        <v>4</v>
      </c>
      <c r="AJ183" s="21" t="s">
        <v>661</v>
      </c>
    </row>
    <row r="184" spans="1:36" s="443" customFormat="1" ht="13.5" customHeight="1">
      <c r="A184" s="404" t="s">
        <v>1233</v>
      </c>
      <c r="B184" s="409">
        <v>196</v>
      </c>
      <c r="C184" s="398">
        <v>770</v>
      </c>
      <c r="D184" s="398">
        <v>268</v>
      </c>
      <c r="E184" s="406">
        <v>15.6</v>
      </c>
      <c r="F184" s="406">
        <v>25.4</v>
      </c>
      <c r="G184" s="398">
        <v>17</v>
      </c>
      <c r="H184" s="470">
        <v>250.8</v>
      </c>
      <c r="I184" s="398">
        <v>719.2</v>
      </c>
      <c r="J184" s="398">
        <v>685.2</v>
      </c>
      <c r="K184" s="398" t="s">
        <v>667</v>
      </c>
      <c r="L184" s="408">
        <v>108</v>
      </c>
      <c r="M184" s="409">
        <v>162</v>
      </c>
      <c r="N184" s="411">
        <v>2.5499999999999998</v>
      </c>
      <c r="O184" s="411">
        <v>12.96</v>
      </c>
      <c r="P184" s="404" t="s">
        <v>1234</v>
      </c>
      <c r="Q184" s="409">
        <v>132</v>
      </c>
      <c r="R184" s="408">
        <v>240300</v>
      </c>
      <c r="S184" s="408">
        <v>6241</v>
      </c>
      <c r="T184" s="408">
        <v>7174</v>
      </c>
      <c r="U184" s="411">
        <v>30.95</v>
      </c>
      <c r="V184" s="407">
        <v>127.3</v>
      </c>
      <c r="W184" s="408">
        <v>8175</v>
      </c>
      <c r="X184" s="406">
        <v>610.1</v>
      </c>
      <c r="Y184" s="406">
        <v>958.8</v>
      </c>
      <c r="Z184" s="407">
        <v>5.71</v>
      </c>
      <c r="AA184" s="411">
        <v>86.32</v>
      </c>
      <c r="AB184" s="406">
        <v>408.9</v>
      </c>
      <c r="AC184" s="400">
        <v>11290</v>
      </c>
      <c r="AD184" s="398">
        <v>1</v>
      </c>
      <c r="AE184" s="398">
        <v>1</v>
      </c>
      <c r="AF184" s="399">
        <v>1</v>
      </c>
      <c r="AG184" s="398">
        <v>4</v>
      </c>
      <c r="AH184" s="398">
        <v>4</v>
      </c>
      <c r="AI184" s="400">
        <v>4</v>
      </c>
      <c r="AJ184" s="398" t="s">
        <v>661</v>
      </c>
    </row>
    <row r="185" spans="1:36" s="46" customFormat="1" ht="13.5" customHeight="1">
      <c r="A185" s="33" t="s">
        <v>1235</v>
      </c>
      <c r="B185" s="44">
        <v>220</v>
      </c>
      <c r="C185" s="21">
        <v>779</v>
      </c>
      <c r="D185" s="21">
        <v>266</v>
      </c>
      <c r="E185" s="36">
        <v>16.5</v>
      </c>
      <c r="F185" s="36">
        <v>30</v>
      </c>
      <c r="G185" s="21">
        <v>17</v>
      </c>
      <c r="H185" s="47">
        <v>280.7</v>
      </c>
      <c r="I185" s="21">
        <v>719</v>
      </c>
      <c r="J185" s="21">
        <v>685</v>
      </c>
      <c r="K185" s="21" t="s">
        <v>667</v>
      </c>
      <c r="L185" s="35">
        <v>108</v>
      </c>
      <c r="M185" s="38">
        <v>160</v>
      </c>
      <c r="N185" s="40">
        <v>2.56</v>
      </c>
      <c r="O185" s="40">
        <v>11.62</v>
      </c>
      <c r="P185" s="33" t="s">
        <v>1236</v>
      </c>
      <c r="Q185" s="44">
        <v>148</v>
      </c>
      <c r="R185" s="35">
        <v>278200</v>
      </c>
      <c r="S185" s="35">
        <v>7143</v>
      </c>
      <c r="T185" s="35">
        <v>8198</v>
      </c>
      <c r="U185" s="40">
        <v>31.48</v>
      </c>
      <c r="V185" s="41">
        <v>136.30000000000001</v>
      </c>
      <c r="W185" s="35">
        <v>9440</v>
      </c>
      <c r="X185" s="36">
        <v>709.9</v>
      </c>
      <c r="Y185" s="35">
        <v>1113</v>
      </c>
      <c r="Z185" s="41">
        <v>5.8</v>
      </c>
      <c r="AA185" s="40">
        <v>96.42</v>
      </c>
      <c r="AB185" s="21">
        <v>609</v>
      </c>
      <c r="AC185" s="42">
        <v>13200</v>
      </c>
      <c r="AD185" s="21">
        <v>1</v>
      </c>
      <c r="AE185" s="21">
        <v>1</v>
      </c>
      <c r="AF185" s="43">
        <v>1</v>
      </c>
      <c r="AG185" s="21">
        <v>3</v>
      </c>
      <c r="AH185" s="21">
        <v>4</v>
      </c>
      <c r="AI185" s="42">
        <v>4</v>
      </c>
      <c r="AJ185" s="21" t="s">
        <v>661</v>
      </c>
    </row>
    <row r="186" spans="1:36" s="46" customFormat="1" ht="13.5" customHeight="1">
      <c r="A186" s="33"/>
      <c r="B186" s="44"/>
      <c r="C186" s="21"/>
      <c r="D186" s="21"/>
      <c r="E186" s="36"/>
      <c r="F186" s="36"/>
      <c r="G186" s="21"/>
      <c r="H186" s="47"/>
      <c r="I186" s="21"/>
      <c r="J186" s="21"/>
      <c r="K186" s="21"/>
      <c r="L186" s="35"/>
      <c r="M186" s="38"/>
      <c r="N186" s="40"/>
      <c r="O186" s="40"/>
      <c r="P186" s="33"/>
      <c r="Q186" s="44"/>
      <c r="R186" s="35"/>
      <c r="S186" s="35"/>
      <c r="T186" s="35"/>
      <c r="U186" s="40"/>
      <c r="V186" s="41"/>
      <c r="W186" s="35"/>
      <c r="X186" s="36"/>
      <c r="Y186" s="35"/>
      <c r="Z186" s="41"/>
      <c r="AA186" s="40"/>
      <c r="AB186" s="21"/>
      <c r="AC186" s="42"/>
      <c r="AD186" s="21"/>
      <c r="AE186" s="21"/>
      <c r="AF186" s="43"/>
      <c r="AG186" s="21"/>
      <c r="AH186" s="21"/>
      <c r="AI186" s="42"/>
      <c r="AJ186" s="21"/>
    </row>
    <row r="187" spans="1:36" s="443" customFormat="1" ht="13.5" customHeight="1">
      <c r="A187" s="404" t="s">
        <v>1237</v>
      </c>
      <c r="B187" s="409">
        <v>176</v>
      </c>
      <c r="C187" s="398">
        <v>835</v>
      </c>
      <c r="D187" s="398">
        <v>292</v>
      </c>
      <c r="E187" s="406">
        <v>14</v>
      </c>
      <c r="F187" s="406">
        <v>18.8</v>
      </c>
      <c r="G187" s="398">
        <v>18</v>
      </c>
      <c r="H187" s="470">
        <v>224.2</v>
      </c>
      <c r="I187" s="398">
        <v>797.4</v>
      </c>
      <c r="J187" s="398">
        <v>761.4</v>
      </c>
      <c r="K187" s="398" t="s">
        <v>667</v>
      </c>
      <c r="L187" s="408">
        <v>108</v>
      </c>
      <c r="M187" s="409">
        <v>186</v>
      </c>
      <c r="N187" s="411">
        <v>2.78</v>
      </c>
      <c r="O187" s="411">
        <v>15.79</v>
      </c>
      <c r="P187" s="404" t="s">
        <v>1238</v>
      </c>
      <c r="Q187" s="409">
        <v>118</v>
      </c>
      <c r="R187" s="408">
        <v>246400</v>
      </c>
      <c r="S187" s="408">
        <v>5901</v>
      </c>
      <c r="T187" s="408">
        <v>6816</v>
      </c>
      <c r="U187" s="411">
        <v>33.15</v>
      </c>
      <c r="V187" s="407">
        <v>123.8</v>
      </c>
      <c r="W187" s="408">
        <v>7823</v>
      </c>
      <c r="X187" s="406">
        <v>535.79999999999995</v>
      </c>
      <c r="Y187" s="406">
        <v>843.6</v>
      </c>
      <c r="Z187" s="407">
        <v>5.91</v>
      </c>
      <c r="AA187" s="411">
        <v>72.69</v>
      </c>
      <c r="AB187" s="398">
        <v>226.9</v>
      </c>
      <c r="AC187" s="400">
        <v>12990</v>
      </c>
      <c r="AD187" s="398">
        <v>1</v>
      </c>
      <c r="AE187" s="398">
        <v>1</v>
      </c>
      <c r="AF187" s="399" t="s">
        <v>616</v>
      </c>
      <c r="AG187" s="398">
        <v>4</v>
      </c>
      <c r="AH187" s="398">
        <v>4</v>
      </c>
      <c r="AI187" s="400" t="s">
        <v>616</v>
      </c>
      <c r="AJ187" s="398"/>
    </row>
    <row r="188" spans="1:36" s="46" customFormat="1" ht="13.5" customHeight="1">
      <c r="A188" s="33" t="s">
        <v>1239</v>
      </c>
      <c r="B188" s="44">
        <v>193</v>
      </c>
      <c r="C188" s="21">
        <v>840</v>
      </c>
      <c r="D188" s="21">
        <v>292</v>
      </c>
      <c r="E188" s="36">
        <v>14.7</v>
      </c>
      <c r="F188" s="36">
        <v>21.7</v>
      </c>
      <c r="G188" s="21">
        <v>18</v>
      </c>
      <c r="H188" s="47">
        <v>246.6</v>
      </c>
      <c r="I188" s="21">
        <v>796.6</v>
      </c>
      <c r="J188" s="21">
        <v>760.6</v>
      </c>
      <c r="K188" s="21" t="s">
        <v>667</v>
      </c>
      <c r="L188" s="35">
        <v>108</v>
      </c>
      <c r="M188" s="38">
        <v>186</v>
      </c>
      <c r="N188" s="40">
        <v>2.79</v>
      </c>
      <c r="O188" s="40">
        <v>14.4</v>
      </c>
      <c r="P188" s="33" t="s">
        <v>1240</v>
      </c>
      <c r="Q188" s="44">
        <v>130</v>
      </c>
      <c r="R188" s="35">
        <v>278400</v>
      </c>
      <c r="S188" s="35">
        <v>6630</v>
      </c>
      <c r="T188" s="35">
        <v>7627</v>
      </c>
      <c r="U188" s="40">
        <v>33.6</v>
      </c>
      <c r="V188" s="41">
        <v>130.9</v>
      </c>
      <c r="W188" s="35">
        <v>9029</v>
      </c>
      <c r="X188" s="36">
        <v>618.5</v>
      </c>
      <c r="Y188" s="36">
        <v>971.3</v>
      </c>
      <c r="Z188" s="41">
        <v>6.05</v>
      </c>
      <c r="AA188" s="40">
        <v>79.19</v>
      </c>
      <c r="AB188" s="21">
        <v>309.89999999999998</v>
      </c>
      <c r="AC188" s="42">
        <v>15070</v>
      </c>
      <c r="AD188" s="21">
        <v>1</v>
      </c>
      <c r="AE188" s="21">
        <v>1</v>
      </c>
      <c r="AF188" s="43">
        <v>2</v>
      </c>
      <c r="AG188" s="21">
        <v>4</v>
      </c>
      <c r="AH188" s="21">
        <v>4</v>
      </c>
      <c r="AI188" s="42">
        <v>4</v>
      </c>
      <c r="AJ188" s="21" t="s">
        <v>661</v>
      </c>
    </row>
    <row r="189" spans="1:36" s="443" customFormat="1" ht="13.5" customHeight="1">
      <c r="A189" s="404" t="s">
        <v>1241</v>
      </c>
      <c r="B189" s="409">
        <v>210</v>
      </c>
      <c r="C189" s="398">
        <v>846</v>
      </c>
      <c r="D189" s="398">
        <v>293</v>
      </c>
      <c r="E189" s="406">
        <v>15.4</v>
      </c>
      <c r="F189" s="406">
        <v>24.4</v>
      </c>
      <c r="G189" s="398">
        <v>18</v>
      </c>
      <c r="H189" s="470">
        <v>268.5</v>
      </c>
      <c r="I189" s="398">
        <v>797.2</v>
      </c>
      <c r="J189" s="398">
        <v>761.2</v>
      </c>
      <c r="K189" s="398" t="s">
        <v>667</v>
      </c>
      <c r="L189" s="408">
        <v>110</v>
      </c>
      <c r="M189" s="409">
        <v>188</v>
      </c>
      <c r="N189" s="411">
        <v>2.8</v>
      </c>
      <c r="O189" s="411">
        <v>13.29</v>
      </c>
      <c r="P189" s="404" t="s">
        <v>1242</v>
      </c>
      <c r="Q189" s="409">
        <v>141</v>
      </c>
      <c r="R189" s="408">
        <v>310700</v>
      </c>
      <c r="S189" s="408">
        <v>7346</v>
      </c>
      <c r="T189" s="408">
        <v>8430</v>
      </c>
      <c r="U189" s="411">
        <v>34.020000000000003</v>
      </c>
      <c r="V189" s="407">
        <v>138.1</v>
      </c>
      <c r="W189" s="408">
        <v>10260</v>
      </c>
      <c r="X189" s="406">
        <v>700.2</v>
      </c>
      <c r="Y189" s="408">
        <v>1098</v>
      </c>
      <c r="Z189" s="407">
        <v>6.18</v>
      </c>
      <c r="AA189" s="411">
        <v>85.29</v>
      </c>
      <c r="AB189" s="398">
        <v>409</v>
      </c>
      <c r="AC189" s="400">
        <v>17260</v>
      </c>
      <c r="AD189" s="398">
        <v>1</v>
      </c>
      <c r="AE189" s="398">
        <v>1</v>
      </c>
      <c r="AF189" s="399">
        <v>1</v>
      </c>
      <c r="AG189" s="398">
        <v>4</v>
      </c>
      <c r="AH189" s="398">
        <v>4</v>
      </c>
      <c r="AI189" s="400">
        <v>4</v>
      </c>
      <c r="AJ189" s="398" t="s">
        <v>661</v>
      </c>
    </row>
    <row r="190" spans="1:36" s="46" customFormat="1" ht="13.5" customHeight="1">
      <c r="A190" s="33" t="s">
        <v>1243</v>
      </c>
      <c r="B190" s="44">
        <v>226</v>
      </c>
      <c r="C190" s="21">
        <v>851</v>
      </c>
      <c r="D190" s="21">
        <v>294</v>
      </c>
      <c r="E190" s="36">
        <v>16.100000000000001</v>
      </c>
      <c r="F190" s="36">
        <v>26.8</v>
      </c>
      <c r="G190" s="21">
        <v>18</v>
      </c>
      <c r="H190" s="47">
        <v>288.7</v>
      </c>
      <c r="I190" s="21">
        <v>797.4</v>
      </c>
      <c r="J190" s="21">
        <v>761.4</v>
      </c>
      <c r="K190" s="21" t="s">
        <v>667</v>
      </c>
      <c r="L190" s="35">
        <v>110</v>
      </c>
      <c r="M190" s="38">
        <v>188</v>
      </c>
      <c r="N190" s="40">
        <v>2.81</v>
      </c>
      <c r="O190" s="40">
        <v>12.42</v>
      </c>
      <c r="P190" s="33" t="s">
        <v>1244</v>
      </c>
      <c r="Q190" s="44">
        <v>152</v>
      </c>
      <c r="R190" s="35">
        <v>340100</v>
      </c>
      <c r="S190" s="35">
        <v>7992</v>
      </c>
      <c r="T190" s="35">
        <v>9163</v>
      </c>
      <c r="U190" s="40">
        <v>34.32</v>
      </c>
      <c r="V190" s="41">
        <v>145.1</v>
      </c>
      <c r="W190" s="35">
        <v>11380</v>
      </c>
      <c r="X190" s="36">
        <v>774.3</v>
      </c>
      <c r="Y190" s="35">
        <v>1213</v>
      </c>
      <c r="Z190" s="41">
        <v>6.28</v>
      </c>
      <c r="AA190" s="40">
        <v>90.79</v>
      </c>
      <c r="AB190" s="21">
        <v>517.5</v>
      </c>
      <c r="AC190" s="42">
        <v>19280</v>
      </c>
      <c r="AD190" s="21">
        <v>1</v>
      </c>
      <c r="AE190" s="21">
        <v>1</v>
      </c>
      <c r="AF190" s="43">
        <v>1</v>
      </c>
      <c r="AG190" s="21">
        <v>4</v>
      </c>
      <c r="AH190" s="21">
        <v>4</v>
      </c>
      <c r="AI190" s="42">
        <v>4</v>
      </c>
      <c r="AJ190" s="21" t="s">
        <v>661</v>
      </c>
    </row>
    <row r="191" spans="1:36" s="443" customFormat="1" ht="13.5" customHeight="1">
      <c r="A191" s="404" t="s">
        <v>1245</v>
      </c>
      <c r="B191" s="409">
        <v>251</v>
      </c>
      <c r="C191" s="398">
        <v>859</v>
      </c>
      <c r="D191" s="398">
        <v>292</v>
      </c>
      <c r="E191" s="406">
        <v>17</v>
      </c>
      <c r="F191" s="406">
        <v>31</v>
      </c>
      <c r="G191" s="398">
        <v>18</v>
      </c>
      <c r="H191" s="470">
        <v>319.3</v>
      </c>
      <c r="I191" s="398">
        <v>797</v>
      </c>
      <c r="J191" s="398">
        <v>761</v>
      </c>
      <c r="K191" s="398" t="s">
        <v>667</v>
      </c>
      <c r="L191" s="408">
        <v>112</v>
      </c>
      <c r="M191" s="409">
        <v>186</v>
      </c>
      <c r="N191" s="411">
        <v>2.82</v>
      </c>
      <c r="O191" s="411">
        <v>11.25</v>
      </c>
      <c r="P191" s="404" t="s">
        <v>1246</v>
      </c>
      <c r="Q191" s="409">
        <v>169</v>
      </c>
      <c r="R191" s="408">
        <v>386500</v>
      </c>
      <c r="S191" s="408">
        <v>8999</v>
      </c>
      <c r="T191" s="408">
        <v>10304</v>
      </c>
      <c r="U191" s="411">
        <v>34.79</v>
      </c>
      <c r="V191" s="407">
        <v>154.69999999999999</v>
      </c>
      <c r="W191" s="408">
        <v>12900</v>
      </c>
      <c r="X191" s="406">
        <v>883.6</v>
      </c>
      <c r="Y191" s="408">
        <v>1383</v>
      </c>
      <c r="Z191" s="407">
        <v>6.36</v>
      </c>
      <c r="AA191" s="406">
        <v>100.1</v>
      </c>
      <c r="AB191" s="398">
        <v>737.6</v>
      </c>
      <c r="AC191" s="400">
        <v>22050</v>
      </c>
      <c r="AD191" s="398">
        <v>1</v>
      </c>
      <c r="AE191" s="398">
        <v>1</v>
      </c>
      <c r="AF191" s="399">
        <v>1</v>
      </c>
      <c r="AG191" s="398">
        <v>4</v>
      </c>
      <c r="AH191" s="398">
        <v>4</v>
      </c>
      <c r="AI191" s="400">
        <v>4</v>
      </c>
      <c r="AJ191" s="398" t="s">
        <v>661</v>
      </c>
    </row>
    <row r="192" spans="1:36" s="46" customFormat="1" ht="13.5" customHeight="1">
      <c r="A192" s="33"/>
      <c r="B192" s="44"/>
      <c r="C192" s="21"/>
      <c r="D192" s="21"/>
      <c r="E192" s="36"/>
      <c r="F192" s="36"/>
      <c r="G192" s="21"/>
      <c r="H192" s="47"/>
      <c r="I192" s="21"/>
      <c r="J192" s="21"/>
      <c r="K192" s="21"/>
      <c r="L192" s="35"/>
      <c r="M192" s="38"/>
      <c r="N192" s="40"/>
      <c r="O192" s="40"/>
      <c r="P192" s="33"/>
      <c r="Q192" s="44"/>
      <c r="R192" s="35"/>
      <c r="S192" s="35"/>
      <c r="T192" s="35"/>
      <c r="U192" s="40"/>
      <c r="V192" s="41"/>
      <c r="W192" s="35"/>
      <c r="X192" s="36"/>
      <c r="Y192" s="35"/>
      <c r="Z192" s="41"/>
      <c r="AA192" s="40"/>
      <c r="AB192" s="21"/>
      <c r="AC192" s="42"/>
      <c r="AD192" s="21"/>
      <c r="AE192" s="21"/>
      <c r="AF192" s="43"/>
      <c r="AG192" s="21"/>
      <c r="AH192" s="21"/>
      <c r="AI192" s="42"/>
      <c r="AJ192" s="21"/>
    </row>
    <row r="193" spans="1:36" s="443" customFormat="1" ht="13.5" customHeight="1">
      <c r="A193" s="404" t="s">
        <v>1247</v>
      </c>
      <c r="B193" s="409">
        <v>201</v>
      </c>
      <c r="C193" s="398">
        <v>903</v>
      </c>
      <c r="D193" s="398">
        <v>304</v>
      </c>
      <c r="E193" s="406">
        <v>15.2</v>
      </c>
      <c r="F193" s="406">
        <v>20.100000000000001</v>
      </c>
      <c r="G193" s="398">
        <v>19</v>
      </c>
      <c r="H193" s="470">
        <v>256.5</v>
      </c>
      <c r="I193" s="398">
        <v>862.8</v>
      </c>
      <c r="J193" s="398">
        <v>824.8</v>
      </c>
      <c r="K193" s="398" t="s">
        <v>667</v>
      </c>
      <c r="L193" s="408">
        <v>112</v>
      </c>
      <c r="M193" s="409">
        <v>198</v>
      </c>
      <c r="N193" s="411">
        <v>2.96</v>
      </c>
      <c r="O193" s="411">
        <v>14.7</v>
      </c>
      <c r="P193" s="404" t="s">
        <v>1248</v>
      </c>
      <c r="Q193" s="409">
        <v>135</v>
      </c>
      <c r="R193" s="408">
        <v>325200</v>
      </c>
      <c r="S193" s="408">
        <v>7203</v>
      </c>
      <c r="T193" s="408">
        <v>8356</v>
      </c>
      <c r="U193" s="411">
        <v>35.61</v>
      </c>
      <c r="V193" s="407">
        <v>144.9</v>
      </c>
      <c r="W193" s="408">
        <v>9442</v>
      </c>
      <c r="X193" s="406">
        <v>621.20000000000005</v>
      </c>
      <c r="Y193" s="406">
        <v>982.3</v>
      </c>
      <c r="Z193" s="407">
        <v>6.07</v>
      </c>
      <c r="AA193" s="411">
        <v>77.66</v>
      </c>
      <c r="AB193" s="398">
        <v>298</v>
      </c>
      <c r="AC193" s="400">
        <v>18340</v>
      </c>
      <c r="AD193" s="398">
        <v>1</v>
      </c>
      <c r="AE193" s="398">
        <v>1</v>
      </c>
      <c r="AF193" s="399" t="s">
        <v>616</v>
      </c>
      <c r="AG193" s="398">
        <v>4</v>
      </c>
      <c r="AH193" s="398">
        <v>4</v>
      </c>
      <c r="AI193" s="400" t="s">
        <v>616</v>
      </c>
      <c r="AJ193" s="398"/>
    </row>
    <row r="194" spans="1:36" s="46" customFormat="1" ht="13.5" customHeight="1">
      <c r="A194" s="33" t="s">
        <v>1249</v>
      </c>
      <c r="B194" s="44">
        <v>223</v>
      </c>
      <c r="C194" s="21">
        <v>911</v>
      </c>
      <c r="D194" s="21">
        <v>304</v>
      </c>
      <c r="E194" s="36">
        <v>15.9</v>
      </c>
      <c r="F194" s="36">
        <v>23.9</v>
      </c>
      <c r="G194" s="21">
        <v>19</v>
      </c>
      <c r="H194" s="47">
        <v>285.7</v>
      </c>
      <c r="I194" s="21">
        <v>863.2</v>
      </c>
      <c r="J194" s="21">
        <v>825.2</v>
      </c>
      <c r="K194" s="21" t="s">
        <v>667</v>
      </c>
      <c r="L194" s="35">
        <v>112</v>
      </c>
      <c r="M194" s="38">
        <v>198</v>
      </c>
      <c r="N194" s="40">
        <v>2.97</v>
      </c>
      <c r="O194" s="40">
        <v>13.26</v>
      </c>
      <c r="P194" s="33" t="s">
        <v>1250</v>
      </c>
      <c r="Q194" s="44">
        <v>150</v>
      </c>
      <c r="R194" s="35">
        <v>376800</v>
      </c>
      <c r="S194" s="35">
        <v>8273</v>
      </c>
      <c r="T194" s="35">
        <v>9540</v>
      </c>
      <c r="U194" s="40">
        <v>36.32</v>
      </c>
      <c r="V194" s="41">
        <v>153.19999999999999</v>
      </c>
      <c r="W194" s="35">
        <v>11220</v>
      </c>
      <c r="X194" s="36">
        <v>738.5</v>
      </c>
      <c r="Y194" s="35">
        <v>1163</v>
      </c>
      <c r="Z194" s="41">
        <v>6.27</v>
      </c>
      <c r="AA194" s="40">
        <v>85.96</v>
      </c>
      <c r="AB194" s="21">
        <v>426.8</v>
      </c>
      <c r="AC194" s="42">
        <v>22020</v>
      </c>
      <c r="AD194" s="21">
        <v>1</v>
      </c>
      <c r="AE194" s="21">
        <v>1</v>
      </c>
      <c r="AF194" s="43">
        <v>2</v>
      </c>
      <c r="AG194" s="21">
        <v>4</v>
      </c>
      <c r="AH194" s="21">
        <v>4</v>
      </c>
      <c r="AI194" s="42">
        <v>4</v>
      </c>
      <c r="AJ194" s="21" t="s">
        <v>661</v>
      </c>
    </row>
    <row r="195" spans="1:36" s="443" customFormat="1" ht="13.5" customHeight="1">
      <c r="A195" s="404" t="s">
        <v>1251</v>
      </c>
      <c r="B195" s="409">
        <v>238</v>
      </c>
      <c r="C195" s="398">
        <v>915</v>
      </c>
      <c r="D195" s="398">
        <v>305</v>
      </c>
      <c r="E195" s="406">
        <v>16.5</v>
      </c>
      <c r="F195" s="406">
        <v>25.9</v>
      </c>
      <c r="G195" s="398">
        <v>19</v>
      </c>
      <c r="H195" s="470">
        <v>303.5</v>
      </c>
      <c r="I195" s="398">
        <v>863.2</v>
      </c>
      <c r="J195" s="398">
        <v>825.2</v>
      </c>
      <c r="K195" s="398" t="s">
        <v>667</v>
      </c>
      <c r="L195" s="408">
        <v>112</v>
      </c>
      <c r="M195" s="409">
        <v>200</v>
      </c>
      <c r="N195" s="411">
        <v>2.98</v>
      </c>
      <c r="O195" s="411">
        <v>12.53</v>
      </c>
      <c r="P195" s="404" t="s">
        <v>1252</v>
      </c>
      <c r="Q195" s="409">
        <v>160</v>
      </c>
      <c r="R195" s="408">
        <v>406400</v>
      </c>
      <c r="S195" s="408">
        <v>8883</v>
      </c>
      <c r="T195" s="408">
        <v>10229</v>
      </c>
      <c r="U195" s="411">
        <v>36.590000000000003</v>
      </c>
      <c r="V195" s="407">
        <v>159.6</v>
      </c>
      <c r="W195" s="408">
        <v>12290</v>
      </c>
      <c r="X195" s="406">
        <v>805.6</v>
      </c>
      <c r="Y195" s="408">
        <v>1267</v>
      </c>
      <c r="Z195" s="407">
        <v>6.36</v>
      </c>
      <c r="AA195" s="411">
        <v>90.56</v>
      </c>
      <c r="AB195" s="398">
        <v>518.79999999999995</v>
      </c>
      <c r="AC195" s="400">
        <v>24200</v>
      </c>
      <c r="AD195" s="398">
        <v>1</v>
      </c>
      <c r="AE195" s="398">
        <v>1</v>
      </c>
      <c r="AF195" s="399">
        <v>1</v>
      </c>
      <c r="AG195" s="398">
        <v>4</v>
      </c>
      <c r="AH195" s="398">
        <v>4</v>
      </c>
      <c r="AI195" s="400">
        <v>4</v>
      </c>
      <c r="AJ195" s="398" t="s">
        <v>661</v>
      </c>
    </row>
    <row r="196" spans="1:36" s="46" customFormat="1" ht="13.5" customHeight="1">
      <c r="A196" s="33" t="s">
        <v>1253</v>
      </c>
      <c r="B196" s="44">
        <v>253</v>
      </c>
      <c r="C196" s="21">
        <v>919</v>
      </c>
      <c r="D196" s="21">
        <v>306</v>
      </c>
      <c r="E196" s="36">
        <v>17.3</v>
      </c>
      <c r="F196" s="36">
        <v>27.9</v>
      </c>
      <c r="G196" s="21">
        <v>19</v>
      </c>
      <c r="H196" s="47">
        <v>323.2</v>
      </c>
      <c r="I196" s="21">
        <v>863.2</v>
      </c>
      <c r="J196" s="21">
        <v>825.2</v>
      </c>
      <c r="K196" s="21" t="s">
        <v>667</v>
      </c>
      <c r="L196" s="35">
        <v>114</v>
      </c>
      <c r="M196" s="38">
        <v>200</v>
      </c>
      <c r="N196" s="40">
        <v>2.99</v>
      </c>
      <c r="O196" s="40">
        <v>11.8</v>
      </c>
      <c r="P196" s="33" t="s">
        <v>1254</v>
      </c>
      <c r="Q196" s="44">
        <v>170</v>
      </c>
      <c r="R196" s="35">
        <v>437500</v>
      </c>
      <c r="S196" s="35">
        <v>9520</v>
      </c>
      <c r="T196" s="35">
        <v>10963</v>
      </c>
      <c r="U196" s="40">
        <v>36.79</v>
      </c>
      <c r="V196" s="41">
        <v>167.9</v>
      </c>
      <c r="W196" s="35">
        <v>13370</v>
      </c>
      <c r="X196" s="36">
        <v>873.6</v>
      </c>
      <c r="Y196" s="35">
        <v>1375</v>
      </c>
      <c r="Z196" s="41">
        <v>6.43</v>
      </c>
      <c r="AA196" s="40">
        <v>95.36</v>
      </c>
      <c r="AB196" s="21">
        <v>630.9</v>
      </c>
      <c r="AC196" s="42">
        <v>26450</v>
      </c>
      <c r="AD196" s="21">
        <v>1</v>
      </c>
      <c r="AE196" s="21">
        <v>1</v>
      </c>
      <c r="AF196" s="43">
        <v>1</v>
      </c>
      <c r="AG196" s="21">
        <v>4</v>
      </c>
      <c r="AH196" s="21">
        <v>4</v>
      </c>
      <c r="AI196" s="42">
        <v>4</v>
      </c>
      <c r="AJ196" s="21" t="s">
        <v>661</v>
      </c>
    </row>
    <row r="197" spans="1:36" s="443" customFormat="1" ht="13.5" customHeight="1">
      <c r="A197" s="404" t="s">
        <v>1255</v>
      </c>
      <c r="B197" s="409">
        <v>271</v>
      </c>
      <c r="C197" s="398">
        <v>923</v>
      </c>
      <c r="D197" s="398">
        <v>307</v>
      </c>
      <c r="E197" s="406">
        <v>18.399999999999999</v>
      </c>
      <c r="F197" s="406">
        <v>30</v>
      </c>
      <c r="G197" s="398">
        <v>19</v>
      </c>
      <c r="H197" s="470">
        <v>346.1</v>
      </c>
      <c r="I197" s="398">
        <v>863</v>
      </c>
      <c r="J197" s="398">
        <v>825</v>
      </c>
      <c r="K197" s="398" t="s">
        <v>667</v>
      </c>
      <c r="L197" s="408">
        <v>114</v>
      </c>
      <c r="M197" s="409">
        <v>202</v>
      </c>
      <c r="N197" s="411">
        <v>3</v>
      </c>
      <c r="O197" s="411">
        <v>11.06</v>
      </c>
      <c r="P197" s="404" t="s">
        <v>1256</v>
      </c>
      <c r="Q197" s="409">
        <v>182</v>
      </c>
      <c r="R197" s="408">
        <v>471600</v>
      </c>
      <c r="S197" s="408">
        <v>10218</v>
      </c>
      <c r="T197" s="408">
        <v>11783</v>
      </c>
      <c r="U197" s="411">
        <v>36.909999999999997</v>
      </c>
      <c r="V197" s="407">
        <v>178.8</v>
      </c>
      <c r="W197" s="408">
        <v>14520</v>
      </c>
      <c r="X197" s="406">
        <v>945.8</v>
      </c>
      <c r="Y197" s="408">
        <v>1491</v>
      </c>
      <c r="Z197" s="407">
        <v>6.48</v>
      </c>
      <c r="AA197" s="406">
        <v>100.7</v>
      </c>
      <c r="AB197" s="398">
        <v>775</v>
      </c>
      <c r="AC197" s="400">
        <v>28840</v>
      </c>
      <c r="AD197" s="398">
        <v>1</v>
      </c>
      <c r="AE197" s="398">
        <v>1</v>
      </c>
      <c r="AF197" s="399">
        <v>1</v>
      </c>
      <c r="AG197" s="398">
        <v>4</v>
      </c>
      <c r="AH197" s="398">
        <v>4</v>
      </c>
      <c r="AI197" s="400">
        <v>4</v>
      </c>
      <c r="AJ197" s="398" t="s">
        <v>661</v>
      </c>
    </row>
    <row r="198" spans="1:36" s="46" customFormat="1" ht="13.5" customHeight="1">
      <c r="A198" s="33" t="s">
        <v>1257</v>
      </c>
      <c r="B198" s="44">
        <v>289</v>
      </c>
      <c r="C198" s="21">
        <v>927</v>
      </c>
      <c r="D198" s="21">
        <v>308</v>
      </c>
      <c r="E198" s="36">
        <v>19.399999999999999</v>
      </c>
      <c r="F198" s="36">
        <v>32</v>
      </c>
      <c r="G198" s="21">
        <v>19</v>
      </c>
      <c r="H198" s="47">
        <v>367.6</v>
      </c>
      <c r="I198" s="21">
        <v>863</v>
      </c>
      <c r="J198" s="21">
        <v>825</v>
      </c>
      <c r="K198" s="21" t="s">
        <v>667</v>
      </c>
      <c r="L198" s="35">
        <v>116</v>
      </c>
      <c r="M198" s="38">
        <v>202</v>
      </c>
      <c r="N198" s="40">
        <v>3.01</v>
      </c>
      <c r="O198" s="40">
        <v>10.45</v>
      </c>
      <c r="P198" s="33" t="s">
        <v>1258</v>
      </c>
      <c r="Q198" s="44">
        <v>194</v>
      </c>
      <c r="R198" s="35">
        <v>504500</v>
      </c>
      <c r="S198" s="35">
        <v>10884</v>
      </c>
      <c r="T198" s="35">
        <v>12566</v>
      </c>
      <c r="U198" s="40">
        <v>37.04</v>
      </c>
      <c r="V198" s="41">
        <v>188.9</v>
      </c>
      <c r="W198" s="35">
        <v>15640</v>
      </c>
      <c r="X198" s="35">
        <v>1016</v>
      </c>
      <c r="Y198" s="35">
        <v>1603</v>
      </c>
      <c r="Z198" s="41">
        <v>6.52</v>
      </c>
      <c r="AA198" s="36">
        <v>105.7</v>
      </c>
      <c r="AB198" s="21">
        <v>929.8</v>
      </c>
      <c r="AC198" s="42">
        <v>31210</v>
      </c>
      <c r="AD198" s="21">
        <v>1</v>
      </c>
      <c r="AE198" s="21">
        <v>1</v>
      </c>
      <c r="AF198" s="43">
        <v>1</v>
      </c>
      <c r="AG198" s="21">
        <v>4</v>
      </c>
      <c r="AH198" s="21">
        <v>4</v>
      </c>
      <c r="AI198" s="42">
        <v>4</v>
      </c>
      <c r="AJ198" s="21" t="s">
        <v>661</v>
      </c>
    </row>
    <row r="199" spans="1:36" s="443" customFormat="1" ht="13.5" customHeight="1">
      <c r="A199" s="404" t="s">
        <v>1259</v>
      </c>
      <c r="B199" s="409">
        <v>313</v>
      </c>
      <c r="C199" s="398">
        <v>932</v>
      </c>
      <c r="D199" s="398">
        <v>309</v>
      </c>
      <c r="E199" s="406">
        <v>21.1</v>
      </c>
      <c r="F199" s="406">
        <v>34.5</v>
      </c>
      <c r="G199" s="398">
        <v>19</v>
      </c>
      <c r="H199" s="470">
        <v>398.4</v>
      </c>
      <c r="I199" s="398">
        <v>863</v>
      </c>
      <c r="J199" s="398">
        <v>825</v>
      </c>
      <c r="K199" s="398" t="s">
        <v>667</v>
      </c>
      <c r="L199" s="408">
        <v>118</v>
      </c>
      <c r="M199" s="409">
        <v>204</v>
      </c>
      <c r="N199" s="411">
        <v>3.03</v>
      </c>
      <c r="O199" s="411">
        <v>9.67</v>
      </c>
      <c r="P199" s="404" t="s">
        <v>1260</v>
      </c>
      <c r="Q199" s="409">
        <v>210</v>
      </c>
      <c r="R199" s="408">
        <v>548200</v>
      </c>
      <c r="S199" s="408">
        <v>11765</v>
      </c>
      <c r="T199" s="408">
        <v>13629</v>
      </c>
      <c r="U199" s="411">
        <v>37.1</v>
      </c>
      <c r="V199" s="407">
        <v>205.6</v>
      </c>
      <c r="W199" s="408">
        <v>17040</v>
      </c>
      <c r="X199" s="408">
        <v>1103</v>
      </c>
      <c r="Y199" s="408">
        <v>1748</v>
      </c>
      <c r="Z199" s="407">
        <v>6.54</v>
      </c>
      <c r="AA199" s="406">
        <v>112.4</v>
      </c>
      <c r="AB199" s="398">
        <v>1171</v>
      </c>
      <c r="AC199" s="400">
        <v>34160</v>
      </c>
      <c r="AD199" s="398">
        <v>1</v>
      </c>
      <c r="AE199" s="398">
        <v>1</v>
      </c>
      <c r="AF199" s="399">
        <v>1</v>
      </c>
      <c r="AG199" s="398">
        <v>3</v>
      </c>
      <c r="AH199" s="398">
        <v>4</v>
      </c>
      <c r="AI199" s="400">
        <v>4</v>
      </c>
      <c r="AJ199" s="398" t="s">
        <v>661</v>
      </c>
    </row>
    <row r="200" spans="1:36" s="46" customFormat="1" ht="13.5" customHeight="1">
      <c r="A200" s="33"/>
      <c r="B200" s="44"/>
      <c r="C200" s="21"/>
      <c r="D200" s="21"/>
      <c r="E200" s="36"/>
      <c r="F200" s="36"/>
      <c r="G200" s="21"/>
      <c r="H200" s="47"/>
      <c r="I200" s="21"/>
      <c r="J200" s="21"/>
      <c r="K200" s="21"/>
      <c r="L200" s="35"/>
      <c r="M200" s="38"/>
      <c r="N200" s="40"/>
      <c r="O200" s="40"/>
      <c r="P200" s="33"/>
      <c r="Q200" s="44"/>
      <c r="R200" s="35"/>
      <c r="S200" s="35"/>
      <c r="T200" s="35"/>
      <c r="U200" s="40"/>
      <c r="V200" s="41"/>
      <c r="W200" s="35"/>
      <c r="X200" s="35"/>
      <c r="Y200" s="35"/>
      <c r="Z200" s="41"/>
      <c r="AA200" s="36"/>
      <c r="AB200" s="21"/>
      <c r="AC200" s="42"/>
      <c r="AD200" s="21"/>
      <c r="AE200" s="21"/>
      <c r="AF200" s="43"/>
      <c r="AG200" s="21"/>
      <c r="AH200" s="21"/>
      <c r="AI200" s="42"/>
      <c r="AJ200" s="21"/>
    </row>
    <row r="201" spans="1:36" s="443" customFormat="1" ht="13.5" customHeight="1">
      <c r="A201" s="404" t="s">
        <v>1261</v>
      </c>
      <c r="B201" s="409">
        <v>342</v>
      </c>
      <c r="C201" s="398">
        <v>912</v>
      </c>
      <c r="D201" s="398">
        <v>418</v>
      </c>
      <c r="E201" s="406">
        <v>19.3</v>
      </c>
      <c r="F201" s="406">
        <v>32</v>
      </c>
      <c r="G201" s="398">
        <v>24</v>
      </c>
      <c r="H201" s="470">
        <v>436.1</v>
      </c>
      <c r="I201" s="398">
        <v>848</v>
      </c>
      <c r="J201" s="398">
        <v>800</v>
      </c>
      <c r="K201" s="398" t="s">
        <v>667</v>
      </c>
      <c r="L201" s="408">
        <v>126</v>
      </c>
      <c r="M201" s="409">
        <v>312</v>
      </c>
      <c r="N201" s="411">
        <v>3.42</v>
      </c>
      <c r="O201" s="411">
        <v>9.98</v>
      </c>
      <c r="P201" s="404" t="s">
        <v>1262</v>
      </c>
      <c r="Q201" s="409">
        <v>230</v>
      </c>
      <c r="R201" s="408">
        <v>624900</v>
      </c>
      <c r="S201" s="408">
        <v>13700</v>
      </c>
      <c r="T201" s="408">
        <v>15450</v>
      </c>
      <c r="U201" s="411">
        <v>37.85</v>
      </c>
      <c r="V201" s="407">
        <v>190.1</v>
      </c>
      <c r="W201" s="408">
        <v>39010</v>
      </c>
      <c r="X201" s="408">
        <v>1867</v>
      </c>
      <c r="Y201" s="408">
        <v>2882</v>
      </c>
      <c r="Z201" s="407">
        <v>9.4600000000000009</v>
      </c>
      <c r="AA201" s="406">
        <v>111.4</v>
      </c>
      <c r="AB201" s="398">
        <v>1193</v>
      </c>
      <c r="AC201" s="400">
        <v>75410</v>
      </c>
      <c r="AD201" s="398">
        <v>1</v>
      </c>
      <c r="AE201" s="398">
        <v>1</v>
      </c>
      <c r="AF201" s="399">
        <v>1</v>
      </c>
      <c r="AG201" s="398">
        <v>3</v>
      </c>
      <c r="AH201" s="398">
        <v>4</v>
      </c>
      <c r="AI201" s="400">
        <v>4</v>
      </c>
      <c r="AJ201" s="398" t="s">
        <v>661</v>
      </c>
    </row>
    <row r="202" spans="1:36" s="46" customFormat="1" ht="13.5" customHeight="1">
      <c r="A202" s="33" t="s">
        <v>1263</v>
      </c>
      <c r="B202" s="44">
        <v>365</v>
      </c>
      <c r="C202" s="21">
        <v>916</v>
      </c>
      <c r="D202" s="21">
        <v>419</v>
      </c>
      <c r="E202" s="36">
        <v>20.3</v>
      </c>
      <c r="F202" s="36">
        <v>34.299999999999997</v>
      </c>
      <c r="G202" s="21">
        <v>24</v>
      </c>
      <c r="H202" s="47">
        <v>464.4</v>
      </c>
      <c r="I202" s="21">
        <v>847.4</v>
      </c>
      <c r="J202" s="21">
        <v>799.4</v>
      </c>
      <c r="K202" s="21" t="s">
        <v>667</v>
      </c>
      <c r="L202" s="35">
        <v>128</v>
      </c>
      <c r="M202" s="38">
        <v>314</v>
      </c>
      <c r="N202" s="40">
        <v>3.43</v>
      </c>
      <c r="O202" s="40">
        <v>9.4</v>
      </c>
      <c r="P202" s="33" t="s">
        <v>1264</v>
      </c>
      <c r="Q202" s="44">
        <v>245</v>
      </c>
      <c r="R202" s="35">
        <v>670500</v>
      </c>
      <c r="S202" s="35">
        <v>14640</v>
      </c>
      <c r="T202" s="35">
        <v>16520</v>
      </c>
      <c r="U202" s="40">
        <v>38</v>
      </c>
      <c r="V202" s="41">
        <v>200.4</v>
      </c>
      <c r="W202" s="35">
        <v>42120</v>
      </c>
      <c r="X202" s="35">
        <v>2011</v>
      </c>
      <c r="Y202" s="35">
        <v>3106</v>
      </c>
      <c r="Z202" s="41">
        <v>9.52</v>
      </c>
      <c r="AA202" s="36">
        <v>117</v>
      </c>
      <c r="AB202" s="21">
        <v>1446</v>
      </c>
      <c r="AC202" s="42">
        <v>81730</v>
      </c>
      <c r="AD202" s="21">
        <v>1</v>
      </c>
      <c r="AE202" s="21">
        <v>1</v>
      </c>
      <c r="AF202" s="43">
        <v>1</v>
      </c>
      <c r="AG202" s="21">
        <v>3</v>
      </c>
      <c r="AH202" s="21">
        <v>4</v>
      </c>
      <c r="AI202" s="42">
        <v>4</v>
      </c>
      <c r="AJ202" s="21" t="s">
        <v>661</v>
      </c>
    </row>
    <row r="203" spans="1:36" s="443" customFormat="1" ht="13.5" customHeight="1">
      <c r="A203" s="404" t="s">
        <v>1265</v>
      </c>
      <c r="B203" s="409">
        <v>387</v>
      </c>
      <c r="C203" s="398">
        <v>921</v>
      </c>
      <c r="D203" s="398">
        <v>420</v>
      </c>
      <c r="E203" s="406">
        <v>21.3</v>
      </c>
      <c r="F203" s="406">
        <v>36.6</v>
      </c>
      <c r="G203" s="398">
        <v>24</v>
      </c>
      <c r="H203" s="470">
        <v>493</v>
      </c>
      <c r="I203" s="398">
        <v>847.8</v>
      </c>
      <c r="J203" s="398">
        <v>799.8</v>
      </c>
      <c r="K203" s="398" t="s">
        <v>667</v>
      </c>
      <c r="L203" s="408">
        <v>128</v>
      </c>
      <c r="M203" s="409">
        <v>314</v>
      </c>
      <c r="N203" s="411">
        <v>3.44</v>
      </c>
      <c r="O203" s="411">
        <v>8.8800000000000008</v>
      </c>
      <c r="P203" s="404" t="s">
        <v>1266</v>
      </c>
      <c r="Q203" s="409">
        <v>260</v>
      </c>
      <c r="R203" s="408">
        <v>718300</v>
      </c>
      <c r="S203" s="408">
        <v>15600</v>
      </c>
      <c r="T203" s="408">
        <v>17630</v>
      </c>
      <c r="U203" s="411">
        <v>38.17</v>
      </c>
      <c r="V203" s="407">
        <v>210.9</v>
      </c>
      <c r="W203" s="408">
        <v>45280</v>
      </c>
      <c r="X203" s="408">
        <v>2156</v>
      </c>
      <c r="Y203" s="408">
        <v>3332</v>
      </c>
      <c r="Z203" s="407">
        <v>9.58</v>
      </c>
      <c r="AA203" s="406">
        <v>122.6</v>
      </c>
      <c r="AB203" s="398">
        <v>1734</v>
      </c>
      <c r="AC203" s="400">
        <v>88370</v>
      </c>
      <c r="AD203" s="398">
        <v>1</v>
      </c>
      <c r="AE203" s="398">
        <v>1</v>
      </c>
      <c r="AF203" s="399">
        <v>1</v>
      </c>
      <c r="AG203" s="398">
        <v>2</v>
      </c>
      <c r="AH203" s="398">
        <v>4</v>
      </c>
      <c r="AI203" s="400">
        <v>4</v>
      </c>
      <c r="AJ203" s="398" t="s">
        <v>661</v>
      </c>
    </row>
    <row r="204" spans="1:36" s="46" customFormat="1" ht="13.5" customHeight="1">
      <c r="A204" s="33" t="s">
        <v>1267</v>
      </c>
      <c r="B204" s="44">
        <v>417</v>
      </c>
      <c r="C204" s="21">
        <v>928</v>
      </c>
      <c r="D204" s="21">
        <v>422</v>
      </c>
      <c r="E204" s="36">
        <v>22.5</v>
      </c>
      <c r="F204" s="36">
        <v>39.9</v>
      </c>
      <c r="G204" s="21">
        <v>24</v>
      </c>
      <c r="H204" s="47">
        <v>532.5</v>
      </c>
      <c r="I204" s="21">
        <v>848.2</v>
      </c>
      <c r="J204" s="21">
        <v>800.2</v>
      </c>
      <c r="K204" s="21" t="s">
        <v>667</v>
      </c>
      <c r="L204" s="35">
        <v>130</v>
      </c>
      <c r="M204" s="38">
        <v>316</v>
      </c>
      <c r="N204" s="40">
        <v>3.46</v>
      </c>
      <c r="O204" s="40">
        <v>8.27</v>
      </c>
      <c r="P204" s="33" t="s">
        <v>1268</v>
      </c>
      <c r="Q204" s="44">
        <v>280</v>
      </c>
      <c r="R204" s="35">
        <v>787600</v>
      </c>
      <c r="S204" s="35">
        <v>16970</v>
      </c>
      <c r="T204" s="35">
        <v>19210</v>
      </c>
      <c r="U204" s="40">
        <v>38.46</v>
      </c>
      <c r="V204" s="41">
        <v>223.9</v>
      </c>
      <c r="W204" s="35">
        <v>50070</v>
      </c>
      <c r="X204" s="35">
        <v>2373</v>
      </c>
      <c r="Y204" s="35">
        <v>3668</v>
      </c>
      <c r="Z204" s="41">
        <v>9.6999999999999993</v>
      </c>
      <c r="AA204" s="36">
        <v>130.4</v>
      </c>
      <c r="AB204" s="21">
        <v>2200</v>
      </c>
      <c r="AC204" s="42">
        <v>98540</v>
      </c>
      <c r="AD204" s="21">
        <v>1</v>
      </c>
      <c r="AE204" s="21">
        <v>1</v>
      </c>
      <c r="AF204" s="43">
        <v>1</v>
      </c>
      <c r="AG204" s="21">
        <v>2</v>
      </c>
      <c r="AH204" s="21">
        <v>4</v>
      </c>
      <c r="AI204" s="42">
        <v>4</v>
      </c>
      <c r="AJ204" s="21" t="s">
        <v>661</v>
      </c>
    </row>
    <row r="205" spans="1:36" s="443" customFormat="1" ht="13.5" customHeight="1">
      <c r="A205" s="404" t="s">
        <v>1269</v>
      </c>
      <c r="B205" s="409">
        <v>446</v>
      </c>
      <c r="C205" s="398">
        <v>933</v>
      </c>
      <c r="D205" s="398">
        <v>423</v>
      </c>
      <c r="E205" s="406">
        <v>24</v>
      </c>
      <c r="F205" s="406">
        <v>42.7</v>
      </c>
      <c r="G205" s="398">
        <v>24</v>
      </c>
      <c r="H205" s="470">
        <v>569.6</v>
      </c>
      <c r="I205" s="398">
        <v>847.6</v>
      </c>
      <c r="J205" s="398">
        <v>799.6</v>
      </c>
      <c r="K205" s="398" t="s">
        <v>667</v>
      </c>
      <c r="L205" s="408">
        <v>130</v>
      </c>
      <c r="M205" s="409">
        <v>318</v>
      </c>
      <c r="N205" s="411">
        <v>3.47</v>
      </c>
      <c r="O205" s="411">
        <v>7.76</v>
      </c>
      <c r="P205" s="404" t="s">
        <v>1270</v>
      </c>
      <c r="Q205" s="409">
        <v>300</v>
      </c>
      <c r="R205" s="408">
        <v>846800</v>
      </c>
      <c r="S205" s="408">
        <v>18150</v>
      </c>
      <c r="T205" s="408">
        <v>20600</v>
      </c>
      <c r="U205" s="411">
        <v>38.56</v>
      </c>
      <c r="V205" s="407">
        <v>239.1</v>
      </c>
      <c r="W205" s="408">
        <v>53980</v>
      </c>
      <c r="X205" s="408">
        <v>2552</v>
      </c>
      <c r="Y205" s="408">
        <v>3951</v>
      </c>
      <c r="Z205" s="407">
        <v>9.73</v>
      </c>
      <c r="AA205" s="406">
        <v>137.5</v>
      </c>
      <c r="AB205" s="398">
        <v>2685</v>
      </c>
      <c r="AC205" s="400">
        <v>106740</v>
      </c>
      <c r="AD205" s="398">
        <v>1</v>
      </c>
      <c r="AE205" s="398">
        <v>1</v>
      </c>
      <c r="AF205" s="399">
        <v>1</v>
      </c>
      <c r="AG205" s="398">
        <v>2</v>
      </c>
      <c r="AH205" s="398">
        <v>3</v>
      </c>
      <c r="AI205" s="400">
        <v>4</v>
      </c>
      <c r="AJ205" s="398" t="s">
        <v>661</v>
      </c>
    </row>
    <row r="206" spans="1:36" s="46" customFormat="1" ht="13.5" customHeight="1">
      <c r="A206" s="33" t="s">
        <v>1271</v>
      </c>
      <c r="B206" s="44">
        <v>488</v>
      </c>
      <c r="C206" s="21">
        <v>942</v>
      </c>
      <c r="D206" s="21">
        <v>422</v>
      </c>
      <c r="E206" s="36">
        <v>25.9</v>
      </c>
      <c r="F206" s="36">
        <v>47</v>
      </c>
      <c r="G206" s="21">
        <v>24</v>
      </c>
      <c r="H206" s="47">
        <v>621.29999999999995</v>
      </c>
      <c r="I206" s="21">
        <v>848</v>
      </c>
      <c r="J206" s="21">
        <v>800</v>
      </c>
      <c r="K206" s="21" t="s">
        <v>667</v>
      </c>
      <c r="L206" s="35">
        <v>132</v>
      </c>
      <c r="M206" s="38">
        <v>316</v>
      </c>
      <c r="N206" s="40">
        <v>3.48</v>
      </c>
      <c r="O206" s="40">
        <v>7.13</v>
      </c>
      <c r="P206" s="33" t="s">
        <v>1272</v>
      </c>
      <c r="Q206" s="44">
        <v>328</v>
      </c>
      <c r="R206" s="35">
        <v>935390</v>
      </c>
      <c r="S206" s="35">
        <v>19860</v>
      </c>
      <c r="T206" s="35">
        <v>22615</v>
      </c>
      <c r="U206" s="40">
        <v>38.799999999999997</v>
      </c>
      <c r="V206" s="41">
        <v>259.3</v>
      </c>
      <c r="W206" s="35">
        <v>59010</v>
      </c>
      <c r="X206" s="35">
        <v>2797</v>
      </c>
      <c r="Y206" s="35">
        <v>4336</v>
      </c>
      <c r="Z206" s="41">
        <v>9.75</v>
      </c>
      <c r="AA206" s="36">
        <v>148</v>
      </c>
      <c r="AB206" s="21">
        <v>3514</v>
      </c>
      <c r="AC206" s="42">
        <v>117890</v>
      </c>
      <c r="AD206" s="21">
        <v>1</v>
      </c>
      <c r="AE206" s="21">
        <v>1</v>
      </c>
      <c r="AF206" s="43">
        <v>1</v>
      </c>
      <c r="AG206" s="21">
        <v>1</v>
      </c>
      <c r="AH206" s="21">
        <v>2</v>
      </c>
      <c r="AI206" s="42">
        <v>4</v>
      </c>
      <c r="AJ206" s="21" t="s">
        <v>661</v>
      </c>
    </row>
    <row r="207" spans="1:36" s="443" customFormat="1" ht="13.5" customHeight="1">
      <c r="A207" s="404" t="s">
        <v>1273</v>
      </c>
      <c r="B207" s="409">
        <v>534</v>
      </c>
      <c r="C207" s="398">
        <v>950</v>
      </c>
      <c r="D207" s="398">
        <v>425</v>
      </c>
      <c r="E207" s="406">
        <v>28.4</v>
      </c>
      <c r="F207" s="406">
        <v>51.1</v>
      </c>
      <c r="G207" s="398">
        <v>24</v>
      </c>
      <c r="H207" s="470">
        <v>680.1</v>
      </c>
      <c r="I207" s="406">
        <v>847.8</v>
      </c>
      <c r="J207" s="406">
        <v>799.8</v>
      </c>
      <c r="K207" s="398" t="s">
        <v>667</v>
      </c>
      <c r="L207" s="408">
        <v>136</v>
      </c>
      <c r="M207" s="409">
        <v>320</v>
      </c>
      <c r="N207" s="411">
        <v>3.5</v>
      </c>
      <c r="O207" s="411">
        <v>6.56</v>
      </c>
      <c r="P207" s="404" t="s">
        <v>1274</v>
      </c>
      <c r="Q207" s="409">
        <v>359</v>
      </c>
      <c r="R207" s="408">
        <v>1031000</v>
      </c>
      <c r="S207" s="408">
        <v>21710</v>
      </c>
      <c r="T207" s="408">
        <v>24830</v>
      </c>
      <c r="U207" s="411">
        <v>38.94</v>
      </c>
      <c r="V207" s="407">
        <v>284.8</v>
      </c>
      <c r="W207" s="408">
        <v>65560</v>
      </c>
      <c r="X207" s="408">
        <v>3085</v>
      </c>
      <c r="Y207" s="408">
        <v>4796</v>
      </c>
      <c r="Z207" s="407">
        <v>9.82</v>
      </c>
      <c r="AA207" s="406">
        <v>158.69999999999999</v>
      </c>
      <c r="AB207" s="398">
        <v>4542</v>
      </c>
      <c r="AC207" s="400">
        <v>132070</v>
      </c>
      <c r="AD207" s="398">
        <v>1</v>
      </c>
      <c r="AE207" s="398">
        <v>1</v>
      </c>
      <c r="AF207" s="399">
        <v>1</v>
      </c>
      <c r="AG207" s="398">
        <v>1</v>
      </c>
      <c r="AH207" s="398">
        <v>2</v>
      </c>
      <c r="AI207" s="400">
        <v>3</v>
      </c>
      <c r="AJ207" s="398" t="s">
        <v>661</v>
      </c>
    </row>
    <row r="208" spans="1:36" s="46" customFormat="1" ht="13.5" customHeight="1">
      <c r="A208" s="33" t="s">
        <v>1275</v>
      </c>
      <c r="B208" s="44">
        <v>585</v>
      </c>
      <c r="C208" s="21">
        <v>960</v>
      </c>
      <c r="D208" s="21">
        <v>427</v>
      </c>
      <c r="E208" s="36">
        <v>31</v>
      </c>
      <c r="F208" s="36">
        <v>55.9</v>
      </c>
      <c r="G208" s="21">
        <v>24</v>
      </c>
      <c r="H208" s="47">
        <v>745.3</v>
      </c>
      <c r="I208" s="21">
        <v>848.2</v>
      </c>
      <c r="J208" s="21">
        <v>800.2</v>
      </c>
      <c r="K208" s="21" t="s">
        <v>667</v>
      </c>
      <c r="L208" s="35">
        <v>138</v>
      </c>
      <c r="M208" s="38">
        <v>322</v>
      </c>
      <c r="N208" s="40">
        <v>3.52</v>
      </c>
      <c r="O208" s="40">
        <v>6.02</v>
      </c>
      <c r="P208" s="33" t="s">
        <v>1276</v>
      </c>
      <c r="Q208" s="44">
        <v>393</v>
      </c>
      <c r="R208" s="35">
        <v>1143090</v>
      </c>
      <c r="S208" s="35">
        <v>23814</v>
      </c>
      <c r="T208" s="35">
        <v>27363</v>
      </c>
      <c r="U208" s="40">
        <v>39.159999999999997</v>
      </c>
      <c r="V208" s="41">
        <v>312</v>
      </c>
      <c r="W208" s="35">
        <v>72770</v>
      </c>
      <c r="X208" s="35">
        <v>3408</v>
      </c>
      <c r="Y208" s="35">
        <v>5310</v>
      </c>
      <c r="Z208" s="41">
        <v>9.8800000000000008</v>
      </c>
      <c r="AA208" s="36">
        <v>170.9</v>
      </c>
      <c r="AB208" s="21">
        <v>5932</v>
      </c>
      <c r="AC208" s="42">
        <v>148220</v>
      </c>
      <c r="AD208" s="21">
        <v>1</v>
      </c>
      <c r="AE208" s="21">
        <v>1</v>
      </c>
      <c r="AF208" s="43">
        <v>1</v>
      </c>
      <c r="AG208" s="21">
        <v>1</v>
      </c>
      <c r="AH208" s="21">
        <v>1</v>
      </c>
      <c r="AI208" s="42">
        <v>2</v>
      </c>
      <c r="AJ208" s="21" t="s">
        <v>661</v>
      </c>
    </row>
    <row r="209" spans="1:36" s="443" customFormat="1" ht="13.5" customHeight="1">
      <c r="A209" s="404" t="s">
        <v>1277</v>
      </c>
      <c r="B209" s="409">
        <v>653</v>
      </c>
      <c r="C209" s="398">
        <v>972</v>
      </c>
      <c r="D209" s="398">
        <v>431</v>
      </c>
      <c r="E209" s="406">
        <v>34.5</v>
      </c>
      <c r="F209" s="406">
        <v>62</v>
      </c>
      <c r="G209" s="398">
        <v>24</v>
      </c>
      <c r="H209" s="470">
        <v>831.9</v>
      </c>
      <c r="I209" s="398">
        <v>848</v>
      </c>
      <c r="J209" s="398">
        <v>800</v>
      </c>
      <c r="K209" s="398" t="s">
        <v>667</v>
      </c>
      <c r="L209" s="408">
        <v>144</v>
      </c>
      <c r="M209" s="409">
        <v>320</v>
      </c>
      <c r="N209" s="411">
        <v>3.56</v>
      </c>
      <c r="O209" s="411">
        <v>5.45</v>
      </c>
      <c r="P209" s="404" t="s">
        <v>1278</v>
      </c>
      <c r="Q209" s="409">
        <v>439</v>
      </c>
      <c r="R209" s="408">
        <v>1292000</v>
      </c>
      <c r="S209" s="408">
        <v>26590</v>
      </c>
      <c r="T209" s="408">
        <v>30730</v>
      </c>
      <c r="U209" s="411">
        <v>39.409999999999997</v>
      </c>
      <c r="V209" s="407">
        <v>348.7</v>
      </c>
      <c r="W209" s="408">
        <v>83050</v>
      </c>
      <c r="X209" s="408">
        <v>3854</v>
      </c>
      <c r="Y209" s="408">
        <v>6022</v>
      </c>
      <c r="Z209" s="407">
        <v>9.99</v>
      </c>
      <c r="AA209" s="406">
        <v>186.6</v>
      </c>
      <c r="AB209" s="398">
        <v>8124</v>
      </c>
      <c r="AC209" s="400">
        <v>171280</v>
      </c>
      <c r="AD209" s="398">
        <v>1</v>
      </c>
      <c r="AE209" s="398">
        <v>1</v>
      </c>
      <c r="AF209" s="399">
        <v>1</v>
      </c>
      <c r="AG209" s="398">
        <v>1</v>
      </c>
      <c r="AH209" s="398">
        <v>1</v>
      </c>
      <c r="AI209" s="400">
        <v>1</v>
      </c>
      <c r="AJ209" s="398" t="s">
        <v>661</v>
      </c>
    </row>
    <row r="210" spans="1:36" s="46" customFormat="1" ht="13.5" customHeight="1">
      <c r="A210" s="33" t="s">
        <v>1279</v>
      </c>
      <c r="B210" s="44">
        <v>784</v>
      </c>
      <c r="C210" s="21">
        <v>996</v>
      </c>
      <c r="D210" s="21">
        <v>437</v>
      </c>
      <c r="E210" s="36">
        <v>40.9</v>
      </c>
      <c r="F210" s="36">
        <v>73.900000000000006</v>
      </c>
      <c r="G210" s="21">
        <v>24</v>
      </c>
      <c r="H210" s="47">
        <v>997.7</v>
      </c>
      <c r="I210" s="36">
        <v>848.2</v>
      </c>
      <c r="J210" s="36">
        <v>800.2</v>
      </c>
      <c r="K210" s="21" t="s">
        <v>667</v>
      </c>
      <c r="L210" s="35">
        <v>152</v>
      </c>
      <c r="M210" s="38">
        <v>326</v>
      </c>
      <c r="N210" s="40">
        <v>3.62</v>
      </c>
      <c r="O210" s="40">
        <v>4.62</v>
      </c>
      <c r="P210" s="33" t="s">
        <v>1280</v>
      </c>
      <c r="Q210" s="44">
        <v>527</v>
      </c>
      <c r="R210" s="35">
        <v>1593000</v>
      </c>
      <c r="S210" s="35">
        <v>31980</v>
      </c>
      <c r="T210" s="35">
        <v>37340</v>
      </c>
      <c r="U210" s="40">
        <v>39.950000000000003</v>
      </c>
      <c r="V210" s="41">
        <v>417.6</v>
      </c>
      <c r="W210" s="35">
        <v>103300</v>
      </c>
      <c r="X210" s="35">
        <v>4728</v>
      </c>
      <c r="Y210" s="35">
        <v>7424</v>
      </c>
      <c r="Z210" s="41">
        <v>10.18</v>
      </c>
      <c r="AA210" s="36">
        <v>216.8</v>
      </c>
      <c r="AB210" s="21">
        <v>13730</v>
      </c>
      <c r="AC210" s="42">
        <v>218490</v>
      </c>
      <c r="AD210" s="21">
        <v>1</v>
      </c>
      <c r="AE210" s="21">
        <v>1</v>
      </c>
      <c r="AF210" s="43" t="s">
        <v>616</v>
      </c>
      <c r="AG210" s="21">
        <v>1</v>
      </c>
      <c r="AH210" s="21">
        <v>1</v>
      </c>
      <c r="AI210" s="42" t="s">
        <v>616</v>
      </c>
      <c r="AJ210" s="21"/>
    </row>
    <row r="211" spans="1:36" s="443" customFormat="1" ht="13.5" customHeight="1">
      <c r="A211" s="404" t="s">
        <v>1281</v>
      </c>
      <c r="B211" s="409">
        <v>967</v>
      </c>
      <c r="C211" s="398">
        <v>1028</v>
      </c>
      <c r="D211" s="398">
        <v>446</v>
      </c>
      <c r="E211" s="406">
        <v>50</v>
      </c>
      <c r="F211" s="406">
        <v>89.9</v>
      </c>
      <c r="G211" s="398">
        <v>24</v>
      </c>
      <c r="H211" s="472">
        <v>1231</v>
      </c>
      <c r="I211" s="398">
        <v>848.2</v>
      </c>
      <c r="J211" s="398">
        <v>800.2</v>
      </c>
      <c r="K211" s="398" t="s">
        <v>667</v>
      </c>
      <c r="L211" s="408">
        <v>160</v>
      </c>
      <c r="M211" s="409">
        <v>334</v>
      </c>
      <c r="N211" s="411">
        <v>3.7</v>
      </c>
      <c r="O211" s="411">
        <v>3.83</v>
      </c>
      <c r="P211" s="404" t="s">
        <v>1282</v>
      </c>
      <c r="Q211" s="409">
        <v>650</v>
      </c>
      <c r="R211" s="408">
        <v>2033000</v>
      </c>
      <c r="S211" s="408">
        <v>39540</v>
      </c>
      <c r="T211" s="408">
        <v>46810</v>
      </c>
      <c r="U211" s="411">
        <v>40.64</v>
      </c>
      <c r="V211" s="407">
        <v>517.1</v>
      </c>
      <c r="W211" s="408">
        <v>133900</v>
      </c>
      <c r="X211" s="408">
        <v>6003</v>
      </c>
      <c r="Y211" s="408">
        <v>9486</v>
      </c>
      <c r="Z211" s="407">
        <v>10.43</v>
      </c>
      <c r="AA211" s="406">
        <v>257.89999999999998</v>
      </c>
      <c r="AB211" s="398">
        <v>24930</v>
      </c>
      <c r="AC211" s="400">
        <v>292450</v>
      </c>
      <c r="AD211" s="398">
        <v>1</v>
      </c>
      <c r="AE211" s="398">
        <v>1</v>
      </c>
      <c r="AF211" s="399" t="s">
        <v>616</v>
      </c>
      <c r="AG211" s="398">
        <v>1</v>
      </c>
      <c r="AH211" s="398">
        <v>1</v>
      </c>
      <c r="AI211" s="400" t="s">
        <v>616</v>
      </c>
      <c r="AJ211" s="398"/>
    </row>
    <row r="212" spans="1:36" s="46" customFormat="1" ht="13.5" customHeight="1">
      <c r="A212" s="33"/>
      <c r="B212" s="44"/>
      <c r="C212" s="21"/>
      <c r="D212" s="21"/>
      <c r="E212" s="36"/>
      <c r="F212" s="36"/>
      <c r="G212" s="21"/>
      <c r="H212" s="47"/>
      <c r="I212" s="21"/>
      <c r="J212" s="21"/>
      <c r="K212" s="21"/>
      <c r="L212" s="35"/>
      <c r="M212" s="38"/>
      <c r="N212" s="40"/>
      <c r="O212" s="40"/>
      <c r="P212" s="33"/>
      <c r="Q212" s="44"/>
      <c r="R212" s="35"/>
      <c r="S212" s="35"/>
      <c r="T212" s="35"/>
      <c r="U212" s="40"/>
      <c r="V212" s="41"/>
      <c r="W212" s="35"/>
      <c r="X212" s="35"/>
      <c r="Y212" s="35"/>
      <c r="Z212" s="41"/>
      <c r="AA212" s="36"/>
      <c r="AB212" s="21"/>
      <c r="AC212" s="42"/>
      <c r="AD212" s="21"/>
      <c r="AE212" s="21"/>
      <c r="AF212" s="43"/>
      <c r="AG212" s="21"/>
      <c r="AH212" s="21"/>
      <c r="AI212" s="42"/>
      <c r="AJ212" s="21"/>
    </row>
    <row r="213" spans="1:36" s="443" customFormat="1" ht="13.5" customHeight="1">
      <c r="A213" s="404" t="s">
        <v>1283</v>
      </c>
      <c r="B213" s="409">
        <v>222</v>
      </c>
      <c r="C213" s="398">
        <v>970</v>
      </c>
      <c r="D213" s="398">
        <v>300</v>
      </c>
      <c r="E213" s="406">
        <v>16</v>
      </c>
      <c r="F213" s="406">
        <v>21.1</v>
      </c>
      <c r="G213" s="398">
        <v>30</v>
      </c>
      <c r="H213" s="470">
        <v>282.8</v>
      </c>
      <c r="I213" s="398">
        <v>928</v>
      </c>
      <c r="J213" s="398">
        <v>868</v>
      </c>
      <c r="K213" s="398" t="s">
        <v>667</v>
      </c>
      <c r="L213" s="408">
        <v>134</v>
      </c>
      <c r="M213" s="409">
        <v>194</v>
      </c>
      <c r="N213" s="411">
        <v>3.06</v>
      </c>
      <c r="O213" s="411">
        <v>13.77</v>
      </c>
      <c r="P213" s="404" t="s">
        <v>1284</v>
      </c>
      <c r="Q213" s="409">
        <v>149</v>
      </c>
      <c r="R213" s="408">
        <v>407700</v>
      </c>
      <c r="S213" s="408">
        <v>8405</v>
      </c>
      <c r="T213" s="408">
        <v>9803</v>
      </c>
      <c r="U213" s="411">
        <v>37.97</v>
      </c>
      <c r="V213" s="407">
        <v>172.2</v>
      </c>
      <c r="W213" s="408">
        <v>9546</v>
      </c>
      <c r="X213" s="408">
        <v>636</v>
      </c>
      <c r="Y213" s="408">
        <v>1020</v>
      </c>
      <c r="Z213" s="407">
        <v>5.81</v>
      </c>
      <c r="AA213" s="411">
        <v>93.35</v>
      </c>
      <c r="AB213" s="398">
        <v>406</v>
      </c>
      <c r="AC213" s="400">
        <v>21370</v>
      </c>
      <c r="AD213" s="398">
        <v>1</v>
      </c>
      <c r="AE213" s="398">
        <v>1</v>
      </c>
      <c r="AF213" s="399" t="s">
        <v>616</v>
      </c>
      <c r="AG213" s="398">
        <v>4</v>
      </c>
      <c r="AH213" s="398">
        <v>4</v>
      </c>
      <c r="AI213" s="400" t="s">
        <v>616</v>
      </c>
      <c r="AJ213" s="398"/>
    </row>
    <row r="214" spans="1:36" s="46" customFormat="1" ht="13.5" customHeight="1">
      <c r="A214" s="33" t="s">
        <v>1285</v>
      </c>
      <c r="B214" s="44">
        <v>249</v>
      </c>
      <c r="C214" s="21">
        <v>980</v>
      </c>
      <c r="D214" s="21">
        <v>300</v>
      </c>
      <c r="E214" s="36">
        <v>16.5</v>
      </c>
      <c r="F214" s="36">
        <v>26</v>
      </c>
      <c r="G214" s="21">
        <v>30</v>
      </c>
      <c r="H214" s="47">
        <v>316.8</v>
      </c>
      <c r="I214" s="21">
        <v>928</v>
      </c>
      <c r="J214" s="21">
        <v>868</v>
      </c>
      <c r="K214" s="21" t="s">
        <v>667</v>
      </c>
      <c r="L214" s="35">
        <v>134</v>
      </c>
      <c r="M214" s="38">
        <v>194</v>
      </c>
      <c r="N214" s="40">
        <v>3.08</v>
      </c>
      <c r="O214" s="40">
        <v>12.37</v>
      </c>
      <c r="P214" s="33" t="s">
        <v>1286</v>
      </c>
      <c r="Q214" s="44">
        <v>167</v>
      </c>
      <c r="R214" s="35">
        <v>481100</v>
      </c>
      <c r="S214" s="35">
        <v>9818</v>
      </c>
      <c r="T214" s="35">
        <v>11350</v>
      </c>
      <c r="U214" s="40">
        <v>38.97</v>
      </c>
      <c r="V214" s="41">
        <v>180.7</v>
      </c>
      <c r="W214" s="35">
        <v>11750</v>
      </c>
      <c r="X214" s="35">
        <v>784</v>
      </c>
      <c r="Y214" s="35">
        <v>1245</v>
      </c>
      <c r="Z214" s="41">
        <v>6.09</v>
      </c>
      <c r="AA214" s="36">
        <v>103.6</v>
      </c>
      <c r="AB214" s="21">
        <v>584.4</v>
      </c>
      <c r="AC214" s="42">
        <v>26620</v>
      </c>
      <c r="AD214" s="21">
        <v>1</v>
      </c>
      <c r="AE214" s="21">
        <v>1</v>
      </c>
      <c r="AF214" s="43">
        <v>2</v>
      </c>
      <c r="AG214" s="21">
        <v>4</v>
      </c>
      <c r="AH214" s="21">
        <v>4</v>
      </c>
      <c r="AI214" s="42">
        <v>4</v>
      </c>
      <c r="AJ214" s="21" t="s">
        <v>661</v>
      </c>
    </row>
    <row r="215" spans="1:36" s="443" customFormat="1" ht="13.5" customHeight="1">
      <c r="A215" s="404" t="s">
        <v>1287</v>
      </c>
      <c r="B215" s="409">
        <v>272</v>
      </c>
      <c r="C215" s="398">
        <v>990</v>
      </c>
      <c r="D215" s="398">
        <v>300</v>
      </c>
      <c r="E215" s="406">
        <v>16.5</v>
      </c>
      <c r="F215" s="406">
        <v>31</v>
      </c>
      <c r="G215" s="398">
        <v>30</v>
      </c>
      <c r="H215" s="470">
        <v>346.8</v>
      </c>
      <c r="I215" s="398">
        <v>928</v>
      </c>
      <c r="J215" s="398">
        <v>868</v>
      </c>
      <c r="K215" s="398" t="s">
        <v>667</v>
      </c>
      <c r="L215" s="408">
        <v>134</v>
      </c>
      <c r="M215" s="409">
        <v>194</v>
      </c>
      <c r="N215" s="411">
        <v>3.1</v>
      </c>
      <c r="O215" s="411">
        <v>11.37</v>
      </c>
      <c r="P215" s="404" t="s">
        <v>1288</v>
      </c>
      <c r="Q215" s="409">
        <v>183</v>
      </c>
      <c r="R215" s="408">
        <v>553800</v>
      </c>
      <c r="S215" s="408">
        <v>11190</v>
      </c>
      <c r="T215" s="408">
        <v>12820</v>
      </c>
      <c r="U215" s="411">
        <v>39.96</v>
      </c>
      <c r="V215" s="407">
        <v>184.6</v>
      </c>
      <c r="W215" s="408">
        <v>14000</v>
      </c>
      <c r="X215" s="408">
        <v>934</v>
      </c>
      <c r="Y215" s="408">
        <v>1470</v>
      </c>
      <c r="Z215" s="407">
        <v>6.35</v>
      </c>
      <c r="AA215" s="406">
        <v>113.6</v>
      </c>
      <c r="AB215" s="398">
        <v>822.4</v>
      </c>
      <c r="AC215" s="400">
        <v>32070</v>
      </c>
      <c r="AD215" s="398">
        <v>1</v>
      </c>
      <c r="AE215" s="398">
        <v>1</v>
      </c>
      <c r="AF215" s="399">
        <v>2</v>
      </c>
      <c r="AG215" s="398">
        <v>4</v>
      </c>
      <c r="AH215" s="398">
        <v>4</v>
      </c>
      <c r="AI215" s="400">
        <v>4</v>
      </c>
      <c r="AJ215" s="398" t="s">
        <v>661</v>
      </c>
    </row>
    <row r="216" spans="1:36" s="46" customFormat="1" ht="13.5" customHeight="1">
      <c r="A216" s="33" t="s">
        <v>1289</v>
      </c>
      <c r="B216" s="44">
        <v>314</v>
      </c>
      <c r="C216" s="21">
        <v>1000</v>
      </c>
      <c r="D216" s="21">
        <v>300</v>
      </c>
      <c r="E216" s="36">
        <v>19.100000000000001</v>
      </c>
      <c r="F216" s="36">
        <v>35.9</v>
      </c>
      <c r="G216" s="21">
        <v>30</v>
      </c>
      <c r="H216" s="47">
        <v>400.4</v>
      </c>
      <c r="I216" s="21">
        <v>928</v>
      </c>
      <c r="J216" s="21">
        <v>868</v>
      </c>
      <c r="K216" s="21" t="s">
        <v>667</v>
      </c>
      <c r="L216" s="35">
        <v>136</v>
      </c>
      <c r="M216" s="38">
        <v>194</v>
      </c>
      <c r="N216" s="40">
        <v>3.11</v>
      </c>
      <c r="O216" s="40">
        <v>9.9</v>
      </c>
      <c r="P216" s="33" t="s">
        <v>1290</v>
      </c>
      <c r="Q216" s="44">
        <v>211</v>
      </c>
      <c r="R216" s="35">
        <v>644200</v>
      </c>
      <c r="S216" s="35">
        <v>12880</v>
      </c>
      <c r="T216" s="35">
        <v>14850</v>
      </c>
      <c r="U216" s="40">
        <v>40.11</v>
      </c>
      <c r="V216" s="41">
        <v>213.4</v>
      </c>
      <c r="W216" s="35">
        <v>16230</v>
      </c>
      <c r="X216" s="35">
        <v>1082</v>
      </c>
      <c r="Y216" s="35">
        <v>1713</v>
      </c>
      <c r="Z216" s="41">
        <v>6.37</v>
      </c>
      <c r="AA216" s="36">
        <v>126</v>
      </c>
      <c r="AB216" s="21">
        <v>1252</v>
      </c>
      <c r="AC216" s="42">
        <v>37540</v>
      </c>
      <c r="AD216" s="21">
        <v>1</v>
      </c>
      <c r="AE216" s="21">
        <v>1</v>
      </c>
      <c r="AF216" s="43">
        <v>1</v>
      </c>
      <c r="AG216" s="21">
        <v>4</v>
      </c>
      <c r="AH216" s="21">
        <v>4</v>
      </c>
      <c r="AI216" s="42">
        <v>4</v>
      </c>
      <c r="AJ216" s="21" t="s">
        <v>661</v>
      </c>
    </row>
    <row r="217" spans="1:36" s="443" customFormat="1" ht="13.5" customHeight="1">
      <c r="A217" s="404" t="s">
        <v>1291</v>
      </c>
      <c r="B217" s="409">
        <v>350</v>
      </c>
      <c r="C217" s="398">
        <v>1008</v>
      </c>
      <c r="D217" s="398">
        <v>302</v>
      </c>
      <c r="E217" s="406">
        <v>21.1</v>
      </c>
      <c r="F217" s="406">
        <v>40</v>
      </c>
      <c r="G217" s="398">
        <v>30</v>
      </c>
      <c r="H217" s="470">
        <v>445.1</v>
      </c>
      <c r="I217" s="398">
        <v>928</v>
      </c>
      <c r="J217" s="398">
        <v>868</v>
      </c>
      <c r="K217" s="398" t="s">
        <v>667</v>
      </c>
      <c r="L217" s="408">
        <v>140</v>
      </c>
      <c r="M217" s="409">
        <v>196</v>
      </c>
      <c r="N217" s="411">
        <v>3.13</v>
      </c>
      <c r="O217" s="411">
        <v>8.9600000000000009</v>
      </c>
      <c r="P217" s="404" t="s">
        <v>1292</v>
      </c>
      <c r="Q217" s="409">
        <v>235</v>
      </c>
      <c r="R217" s="408">
        <v>723000</v>
      </c>
      <c r="S217" s="408">
        <v>14350</v>
      </c>
      <c r="T217" s="408">
        <v>16590</v>
      </c>
      <c r="U217" s="411">
        <v>40.299999999999997</v>
      </c>
      <c r="V217" s="407">
        <v>236</v>
      </c>
      <c r="W217" s="408">
        <v>18460</v>
      </c>
      <c r="X217" s="408">
        <v>1223</v>
      </c>
      <c r="Y217" s="408">
        <v>1941</v>
      </c>
      <c r="Z217" s="407">
        <v>6.44</v>
      </c>
      <c r="AA217" s="406">
        <v>136.19999999999999</v>
      </c>
      <c r="AB217" s="398">
        <v>1707</v>
      </c>
      <c r="AC217" s="400">
        <v>43020</v>
      </c>
      <c r="AD217" s="398">
        <v>1</v>
      </c>
      <c r="AE217" s="398">
        <v>1</v>
      </c>
      <c r="AF217" s="399">
        <v>1</v>
      </c>
      <c r="AG217" s="398">
        <v>3</v>
      </c>
      <c r="AH217" s="398">
        <v>4</v>
      </c>
      <c r="AI217" s="400">
        <v>4</v>
      </c>
      <c r="AJ217" s="398" t="s">
        <v>661</v>
      </c>
    </row>
    <row r="218" spans="1:36" s="46" customFormat="1" ht="13.5" customHeight="1">
      <c r="A218" s="33" t="s">
        <v>1293</v>
      </c>
      <c r="B218" s="44">
        <v>393</v>
      </c>
      <c r="C218" s="21">
        <v>1016</v>
      </c>
      <c r="D218" s="21">
        <v>303</v>
      </c>
      <c r="E218" s="36">
        <v>24.4</v>
      </c>
      <c r="F218" s="36">
        <v>43.9</v>
      </c>
      <c r="G218" s="21">
        <v>30</v>
      </c>
      <c r="H218" s="47">
        <v>500.2</v>
      </c>
      <c r="I218" s="21">
        <v>928</v>
      </c>
      <c r="J218" s="21">
        <v>868</v>
      </c>
      <c r="K218" s="21" t="s">
        <v>667</v>
      </c>
      <c r="L218" s="35">
        <v>142</v>
      </c>
      <c r="M218" s="38">
        <v>198</v>
      </c>
      <c r="N218" s="40">
        <v>3.14</v>
      </c>
      <c r="O218" s="40">
        <v>8.01</v>
      </c>
      <c r="P218" s="33" t="s">
        <v>1294</v>
      </c>
      <c r="Q218" s="44">
        <v>264</v>
      </c>
      <c r="R218" s="35">
        <v>807700</v>
      </c>
      <c r="S218" s="35">
        <v>15900</v>
      </c>
      <c r="T218" s="35">
        <v>18540</v>
      </c>
      <c r="U218" s="40">
        <v>40.18</v>
      </c>
      <c r="V218" s="41">
        <v>271.3</v>
      </c>
      <c r="W218" s="35">
        <v>20500</v>
      </c>
      <c r="X218" s="35">
        <v>1353</v>
      </c>
      <c r="Y218" s="35">
        <v>2168</v>
      </c>
      <c r="Z218" s="41">
        <v>6.4</v>
      </c>
      <c r="AA218" s="36">
        <v>147.30000000000001</v>
      </c>
      <c r="AB218" s="21">
        <v>2332</v>
      </c>
      <c r="AC218" s="42">
        <v>48080</v>
      </c>
      <c r="AD218" s="21">
        <v>1</v>
      </c>
      <c r="AE218" s="21">
        <v>1</v>
      </c>
      <c r="AF218" s="43">
        <v>1</v>
      </c>
      <c r="AG218" s="21">
        <v>2</v>
      </c>
      <c r="AH218" s="21">
        <v>4</v>
      </c>
      <c r="AI218" s="42">
        <v>4</v>
      </c>
      <c r="AJ218" s="21" t="s">
        <v>661</v>
      </c>
    </row>
    <row r="219" spans="1:36" s="443" customFormat="1" ht="13.5" customHeight="1">
      <c r="A219" s="404" t="s">
        <v>1295</v>
      </c>
      <c r="B219" s="409">
        <v>415</v>
      </c>
      <c r="C219" s="398">
        <v>1020</v>
      </c>
      <c r="D219" s="398">
        <v>304</v>
      </c>
      <c r="E219" s="406">
        <v>26</v>
      </c>
      <c r="F219" s="406">
        <v>46</v>
      </c>
      <c r="G219" s="398">
        <v>30</v>
      </c>
      <c r="H219" s="470">
        <v>528.70000000000005</v>
      </c>
      <c r="I219" s="398">
        <v>928</v>
      </c>
      <c r="J219" s="398">
        <v>868</v>
      </c>
      <c r="K219" s="398" t="s">
        <v>667</v>
      </c>
      <c r="L219" s="408">
        <v>144</v>
      </c>
      <c r="M219" s="409">
        <v>198</v>
      </c>
      <c r="N219" s="411">
        <v>3.15</v>
      </c>
      <c r="O219" s="411">
        <v>7.6</v>
      </c>
      <c r="P219" s="404" t="s">
        <v>1296</v>
      </c>
      <c r="Q219" s="409">
        <v>278</v>
      </c>
      <c r="R219" s="408">
        <v>853100</v>
      </c>
      <c r="S219" s="408">
        <v>16728</v>
      </c>
      <c r="T219" s="408">
        <v>19571</v>
      </c>
      <c r="U219" s="411">
        <v>40.17</v>
      </c>
      <c r="V219" s="407">
        <v>288.60000000000002</v>
      </c>
      <c r="W219" s="408">
        <v>21710</v>
      </c>
      <c r="X219" s="408">
        <v>1428</v>
      </c>
      <c r="Y219" s="408">
        <v>2298</v>
      </c>
      <c r="Z219" s="407">
        <v>6.41</v>
      </c>
      <c r="AA219" s="406">
        <v>153.1</v>
      </c>
      <c r="AB219" s="398">
        <v>2713</v>
      </c>
      <c r="AC219" s="400">
        <v>51080</v>
      </c>
      <c r="AD219" s="398">
        <v>1</v>
      </c>
      <c r="AE219" s="398">
        <v>1</v>
      </c>
      <c r="AF219" s="399">
        <v>1</v>
      </c>
      <c r="AG219" s="398">
        <v>2</v>
      </c>
      <c r="AH219" s="398">
        <v>3</v>
      </c>
      <c r="AI219" s="400">
        <v>4</v>
      </c>
      <c r="AJ219" s="398" t="s">
        <v>661</v>
      </c>
    </row>
    <row r="220" spans="1:36" s="46" customFormat="1" ht="13.5" customHeight="1">
      <c r="A220" s="33" t="s">
        <v>1297</v>
      </c>
      <c r="B220" s="44">
        <v>494</v>
      </c>
      <c r="C220" s="21">
        <v>1036</v>
      </c>
      <c r="D220" s="21">
        <v>309</v>
      </c>
      <c r="E220" s="36">
        <v>31</v>
      </c>
      <c r="F220" s="36">
        <v>54</v>
      </c>
      <c r="G220" s="21">
        <v>30</v>
      </c>
      <c r="H220" s="47">
        <v>629.1</v>
      </c>
      <c r="I220" s="21">
        <v>928</v>
      </c>
      <c r="J220" s="21">
        <v>868</v>
      </c>
      <c r="K220" s="21" t="s">
        <v>667</v>
      </c>
      <c r="L220" s="35">
        <v>148</v>
      </c>
      <c r="M220" s="38">
        <v>204</v>
      </c>
      <c r="N220" s="40">
        <v>3.19</v>
      </c>
      <c r="O220" s="40">
        <v>6.47</v>
      </c>
      <c r="P220" s="33" t="s">
        <v>1298</v>
      </c>
      <c r="Q220" s="44">
        <v>331</v>
      </c>
      <c r="R220" s="35">
        <v>1028000</v>
      </c>
      <c r="S220" s="35">
        <v>19845</v>
      </c>
      <c r="T220" s="35">
        <v>23413</v>
      </c>
      <c r="U220" s="40">
        <v>40.42</v>
      </c>
      <c r="V220" s="41">
        <v>344.5</v>
      </c>
      <c r="W220" s="35">
        <v>26820</v>
      </c>
      <c r="X220" s="35">
        <v>1736</v>
      </c>
      <c r="Y220" s="35">
        <v>2818</v>
      </c>
      <c r="Z220" s="41">
        <v>6.53</v>
      </c>
      <c r="AA220" s="36">
        <v>174.1</v>
      </c>
      <c r="AB220" s="21">
        <v>4433</v>
      </c>
      <c r="AC220" s="42">
        <v>64010</v>
      </c>
      <c r="AD220" s="21">
        <v>1</v>
      </c>
      <c r="AE220" s="21">
        <v>1</v>
      </c>
      <c r="AF220" s="43">
        <v>1</v>
      </c>
      <c r="AG220" s="21">
        <v>1</v>
      </c>
      <c r="AH220" s="21">
        <v>2</v>
      </c>
      <c r="AI220" s="42">
        <v>3</v>
      </c>
      <c r="AJ220" s="21" t="s">
        <v>661</v>
      </c>
    </row>
    <row r="221" spans="1:36" s="443" customFormat="1" ht="13.5" customHeight="1">
      <c r="A221" s="404" t="s">
        <v>1299</v>
      </c>
      <c r="B221" s="409">
        <v>584</v>
      </c>
      <c r="C221" s="398">
        <v>1056</v>
      </c>
      <c r="D221" s="398">
        <v>314</v>
      </c>
      <c r="E221" s="406">
        <v>36</v>
      </c>
      <c r="F221" s="406">
        <v>64</v>
      </c>
      <c r="G221" s="398">
        <v>30</v>
      </c>
      <c r="H221" s="470">
        <v>743.7</v>
      </c>
      <c r="I221" s="398">
        <v>928</v>
      </c>
      <c r="J221" s="398">
        <v>868</v>
      </c>
      <c r="K221" s="398" t="s">
        <v>667</v>
      </c>
      <c r="L221" s="408">
        <v>154</v>
      </c>
      <c r="M221" s="409">
        <v>208</v>
      </c>
      <c r="N221" s="411">
        <v>3.24</v>
      </c>
      <c r="O221" s="411">
        <v>5.56</v>
      </c>
      <c r="P221" s="404" t="s">
        <v>1300</v>
      </c>
      <c r="Q221" s="409">
        <v>392</v>
      </c>
      <c r="R221" s="408">
        <v>1246100</v>
      </c>
      <c r="S221" s="408">
        <v>23600</v>
      </c>
      <c r="T221" s="408">
        <v>28039</v>
      </c>
      <c r="U221" s="411">
        <v>40.93</v>
      </c>
      <c r="V221" s="407">
        <v>403.2</v>
      </c>
      <c r="W221" s="408">
        <v>33430</v>
      </c>
      <c r="X221" s="408">
        <v>2130</v>
      </c>
      <c r="Y221" s="408">
        <v>3475</v>
      </c>
      <c r="Z221" s="407">
        <v>6.7</v>
      </c>
      <c r="AA221" s="406">
        <v>199.1</v>
      </c>
      <c r="AB221" s="398">
        <v>7230</v>
      </c>
      <c r="AC221" s="400">
        <v>81240</v>
      </c>
      <c r="AD221" s="398">
        <v>1</v>
      </c>
      <c r="AE221" s="398">
        <v>1</v>
      </c>
      <c r="AF221" s="399">
        <v>1</v>
      </c>
      <c r="AG221" s="398">
        <v>1</v>
      </c>
      <c r="AH221" s="398">
        <v>1</v>
      </c>
      <c r="AI221" s="400">
        <v>2</v>
      </c>
      <c r="AJ221" s="398" t="s">
        <v>661</v>
      </c>
    </row>
    <row r="222" spans="1:36" s="46" customFormat="1" ht="13.5" customHeight="1">
      <c r="A222" s="33"/>
      <c r="B222" s="44"/>
      <c r="C222" s="21"/>
      <c r="D222" s="21"/>
      <c r="E222" s="36"/>
      <c r="F222" s="36"/>
      <c r="G222" s="21"/>
      <c r="H222" s="47"/>
      <c r="I222" s="21"/>
      <c r="J222" s="21"/>
      <c r="K222" s="21"/>
      <c r="L222" s="35"/>
      <c r="M222" s="38"/>
      <c r="N222" s="40"/>
      <c r="O222" s="40"/>
      <c r="P222" s="33"/>
      <c r="Q222" s="44"/>
      <c r="R222" s="35"/>
      <c r="S222" s="35"/>
      <c r="T222" s="35"/>
      <c r="U222" s="40"/>
      <c r="V222" s="41"/>
      <c r="W222" s="35"/>
      <c r="X222" s="35"/>
      <c r="Y222" s="35"/>
      <c r="Z222" s="41"/>
      <c r="AA222" s="36"/>
      <c r="AB222" s="21"/>
      <c r="AC222" s="42"/>
      <c r="AD222" s="21"/>
      <c r="AE222" s="21"/>
      <c r="AF222" s="43"/>
      <c r="AG222" s="21"/>
      <c r="AH222" s="21"/>
      <c r="AI222" s="42"/>
      <c r="AJ222" s="21"/>
    </row>
    <row r="223" spans="1:36" s="443" customFormat="1" ht="13.5" customHeight="1">
      <c r="A223" s="404" t="s">
        <v>1301</v>
      </c>
      <c r="B223" s="409">
        <v>296</v>
      </c>
      <c r="C223" s="398">
        <v>982</v>
      </c>
      <c r="D223" s="398">
        <v>400</v>
      </c>
      <c r="E223" s="406">
        <v>16.5</v>
      </c>
      <c r="F223" s="406">
        <v>27.1</v>
      </c>
      <c r="G223" s="398">
        <v>30</v>
      </c>
      <c r="H223" s="470">
        <v>376.8</v>
      </c>
      <c r="I223" s="398">
        <v>928</v>
      </c>
      <c r="J223" s="398">
        <v>868</v>
      </c>
      <c r="K223" s="398" t="s">
        <v>667</v>
      </c>
      <c r="L223" s="408">
        <v>134</v>
      </c>
      <c r="M223" s="409">
        <v>294</v>
      </c>
      <c r="N223" s="411">
        <v>3.48</v>
      </c>
      <c r="O223" s="411">
        <v>11.76</v>
      </c>
      <c r="P223" s="404" t="s">
        <v>1302</v>
      </c>
      <c r="Q223" s="409">
        <v>199</v>
      </c>
      <c r="R223" s="408">
        <v>618700</v>
      </c>
      <c r="S223" s="408">
        <v>12600</v>
      </c>
      <c r="T223" s="408">
        <v>14220</v>
      </c>
      <c r="U223" s="411">
        <v>40.520000000000003</v>
      </c>
      <c r="V223" s="407">
        <v>181.5</v>
      </c>
      <c r="W223" s="408">
        <v>28850</v>
      </c>
      <c r="X223" s="408">
        <v>1443</v>
      </c>
      <c r="Y223" s="408">
        <v>2235</v>
      </c>
      <c r="Z223" s="407">
        <v>8.75</v>
      </c>
      <c r="AA223" s="406">
        <v>105.6</v>
      </c>
      <c r="AB223" s="398">
        <v>762.6</v>
      </c>
      <c r="AC223" s="400">
        <v>65900</v>
      </c>
      <c r="AD223" s="398">
        <v>1</v>
      </c>
      <c r="AE223" s="398">
        <v>1</v>
      </c>
      <c r="AF223" s="399">
        <v>2</v>
      </c>
      <c r="AG223" s="398">
        <v>4</v>
      </c>
      <c r="AH223" s="398">
        <v>4</v>
      </c>
      <c r="AI223" s="400">
        <v>4</v>
      </c>
      <c r="AJ223" s="398" t="s">
        <v>661</v>
      </c>
    </row>
    <row r="224" spans="1:36" s="46" customFormat="1" ht="13.5" customHeight="1">
      <c r="A224" s="33" t="s">
        <v>1303</v>
      </c>
      <c r="B224" s="44">
        <v>321</v>
      </c>
      <c r="C224" s="21">
        <v>990</v>
      </c>
      <c r="D224" s="21">
        <v>400</v>
      </c>
      <c r="E224" s="36">
        <v>16.5</v>
      </c>
      <c r="F224" s="36">
        <v>31</v>
      </c>
      <c r="G224" s="21">
        <v>30</v>
      </c>
      <c r="H224" s="47">
        <v>408.8</v>
      </c>
      <c r="I224" s="21">
        <v>928</v>
      </c>
      <c r="J224" s="21">
        <v>868</v>
      </c>
      <c r="K224" s="21" t="s">
        <v>667</v>
      </c>
      <c r="L224" s="35">
        <v>134</v>
      </c>
      <c r="M224" s="38">
        <v>294</v>
      </c>
      <c r="N224" s="40">
        <v>3.5</v>
      </c>
      <c r="O224" s="40">
        <v>10.89</v>
      </c>
      <c r="P224" s="33" t="s">
        <v>1304</v>
      </c>
      <c r="Q224" s="44">
        <v>215</v>
      </c>
      <c r="R224" s="35">
        <v>696400</v>
      </c>
      <c r="S224" s="35">
        <v>14070</v>
      </c>
      <c r="T224" s="35">
        <v>15800</v>
      </c>
      <c r="U224" s="40">
        <v>41.27</v>
      </c>
      <c r="V224" s="41">
        <v>184.6</v>
      </c>
      <c r="W224" s="35">
        <v>33120</v>
      </c>
      <c r="X224" s="35">
        <v>1656</v>
      </c>
      <c r="Y224" s="35">
        <v>2555</v>
      </c>
      <c r="Z224" s="41">
        <v>9</v>
      </c>
      <c r="AA224" s="36">
        <v>113.6</v>
      </c>
      <c r="AB224" s="21">
        <v>1021</v>
      </c>
      <c r="AC224" s="42">
        <v>76030</v>
      </c>
      <c r="AD224" s="21">
        <v>1</v>
      </c>
      <c r="AE224" s="21">
        <v>1</v>
      </c>
      <c r="AF224" s="43">
        <v>2</v>
      </c>
      <c r="AG224" s="21">
        <v>4</v>
      </c>
      <c r="AH224" s="21">
        <v>4</v>
      </c>
      <c r="AI224" s="42">
        <v>4</v>
      </c>
      <c r="AJ224" s="21" t="s">
        <v>661</v>
      </c>
    </row>
    <row r="225" spans="1:36" s="443" customFormat="1" ht="13.5" customHeight="1">
      <c r="A225" s="404" t="s">
        <v>1305</v>
      </c>
      <c r="B225" s="409">
        <v>371</v>
      </c>
      <c r="C225" s="398">
        <v>1000</v>
      </c>
      <c r="D225" s="398">
        <v>400</v>
      </c>
      <c r="E225" s="406">
        <v>19</v>
      </c>
      <c r="F225" s="406">
        <v>36.1</v>
      </c>
      <c r="G225" s="398">
        <v>30</v>
      </c>
      <c r="H225" s="470">
        <v>472</v>
      </c>
      <c r="I225" s="398">
        <v>928</v>
      </c>
      <c r="J225" s="398">
        <v>868</v>
      </c>
      <c r="K225" s="398" t="s">
        <v>667</v>
      </c>
      <c r="L225" s="408">
        <v>136</v>
      </c>
      <c r="M225" s="409">
        <v>294</v>
      </c>
      <c r="N225" s="411">
        <v>3.51</v>
      </c>
      <c r="O225" s="411">
        <v>9.4700000000000006</v>
      </c>
      <c r="P225" s="404" t="s">
        <v>1306</v>
      </c>
      <c r="Q225" s="409">
        <v>249</v>
      </c>
      <c r="R225" s="408">
        <v>812100</v>
      </c>
      <c r="S225" s="408">
        <v>16240</v>
      </c>
      <c r="T225" s="408">
        <v>18330</v>
      </c>
      <c r="U225" s="411">
        <v>41.48</v>
      </c>
      <c r="V225" s="407">
        <v>212.5</v>
      </c>
      <c r="W225" s="408">
        <v>38480</v>
      </c>
      <c r="X225" s="408">
        <v>1924</v>
      </c>
      <c r="Y225" s="408">
        <v>2976</v>
      </c>
      <c r="Z225" s="407">
        <v>9.0299999999999994</v>
      </c>
      <c r="AA225" s="406">
        <v>126.1</v>
      </c>
      <c r="AB225" s="398">
        <v>1575</v>
      </c>
      <c r="AC225" s="400">
        <v>89440</v>
      </c>
      <c r="AD225" s="398">
        <v>1</v>
      </c>
      <c r="AE225" s="398">
        <v>1</v>
      </c>
      <c r="AF225" s="399">
        <v>1</v>
      </c>
      <c r="AG225" s="398">
        <v>4</v>
      </c>
      <c r="AH225" s="398">
        <v>4</v>
      </c>
      <c r="AI225" s="400">
        <v>4</v>
      </c>
      <c r="AJ225" s="398" t="s">
        <v>661</v>
      </c>
    </row>
    <row r="226" spans="1:36" s="46" customFormat="1" ht="13.5" customHeight="1">
      <c r="A226" s="33" t="s">
        <v>1307</v>
      </c>
      <c r="B226" s="44">
        <v>412</v>
      </c>
      <c r="C226" s="21">
        <v>1008</v>
      </c>
      <c r="D226" s="21">
        <v>402</v>
      </c>
      <c r="E226" s="36">
        <v>21.1</v>
      </c>
      <c r="F226" s="36">
        <v>40</v>
      </c>
      <c r="G226" s="21">
        <v>30</v>
      </c>
      <c r="H226" s="47">
        <v>524.20000000000005</v>
      </c>
      <c r="I226" s="21">
        <v>928</v>
      </c>
      <c r="J226" s="21">
        <v>868</v>
      </c>
      <c r="K226" s="21" t="s">
        <v>667</v>
      </c>
      <c r="L226" s="35">
        <v>140</v>
      </c>
      <c r="M226" s="38">
        <v>296</v>
      </c>
      <c r="N226" s="40">
        <v>3.53</v>
      </c>
      <c r="O226" s="40">
        <v>8.58</v>
      </c>
      <c r="P226" s="33" t="s">
        <v>1308</v>
      </c>
      <c r="Q226" s="44">
        <v>277</v>
      </c>
      <c r="R226" s="35">
        <v>909800</v>
      </c>
      <c r="S226" s="35">
        <v>18050</v>
      </c>
      <c r="T226" s="35">
        <v>20440</v>
      </c>
      <c r="U226" s="40">
        <v>41.66</v>
      </c>
      <c r="V226" s="41">
        <v>235</v>
      </c>
      <c r="W226" s="35">
        <v>43410</v>
      </c>
      <c r="X226" s="35">
        <v>2160</v>
      </c>
      <c r="Y226" s="35">
        <v>3348</v>
      </c>
      <c r="Z226" s="41">
        <v>9.1</v>
      </c>
      <c r="AA226" s="36">
        <v>136.1</v>
      </c>
      <c r="AB226" s="21">
        <v>2134</v>
      </c>
      <c r="AC226" s="42">
        <v>101460</v>
      </c>
      <c r="AD226" s="21">
        <v>1</v>
      </c>
      <c r="AE226" s="21">
        <v>1</v>
      </c>
      <c r="AF226" s="43">
        <v>1</v>
      </c>
      <c r="AG226" s="21">
        <v>3</v>
      </c>
      <c r="AH226" s="21">
        <v>4</v>
      </c>
      <c r="AI226" s="42">
        <v>4</v>
      </c>
      <c r="AJ226" s="21" t="s">
        <v>661</v>
      </c>
    </row>
    <row r="227" spans="1:36" s="443" customFormat="1" ht="13.5" customHeight="1">
      <c r="A227" s="404" t="s">
        <v>1309</v>
      </c>
      <c r="B227" s="409">
        <v>443</v>
      </c>
      <c r="C227" s="398">
        <v>1012</v>
      </c>
      <c r="D227" s="398">
        <v>402</v>
      </c>
      <c r="E227" s="406">
        <v>23.6</v>
      </c>
      <c r="F227" s="406">
        <v>41.9</v>
      </c>
      <c r="G227" s="398">
        <v>30</v>
      </c>
      <c r="H227" s="470">
        <v>563.70000000000005</v>
      </c>
      <c r="I227" s="398">
        <v>928.2</v>
      </c>
      <c r="J227" s="398">
        <v>868.2</v>
      </c>
      <c r="K227" s="398" t="s">
        <v>667</v>
      </c>
      <c r="L227" s="408">
        <v>142</v>
      </c>
      <c r="M227" s="409">
        <v>296</v>
      </c>
      <c r="N227" s="411">
        <v>3.53</v>
      </c>
      <c r="O227" s="411">
        <v>7.99</v>
      </c>
      <c r="P227" s="404" t="s">
        <v>1310</v>
      </c>
      <c r="Q227" s="409">
        <v>297</v>
      </c>
      <c r="R227" s="408">
        <v>966510</v>
      </c>
      <c r="S227" s="408">
        <v>19101</v>
      </c>
      <c r="T227" s="408">
        <v>21777</v>
      </c>
      <c r="U227" s="411">
        <v>41.41</v>
      </c>
      <c r="V227" s="407">
        <v>261.8</v>
      </c>
      <c r="W227" s="408">
        <v>45500</v>
      </c>
      <c r="X227" s="408">
        <v>2264</v>
      </c>
      <c r="Y227" s="408">
        <v>3529</v>
      </c>
      <c r="Z227" s="407">
        <v>8.98</v>
      </c>
      <c r="AA227" s="406">
        <v>142.5</v>
      </c>
      <c r="AB227" s="398">
        <v>2545</v>
      </c>
      <c r="AC227" s="400">
        <v>106740</v>
      </c>
      <c r="AD227" s="398">
        <v>1</v>
      </c>
      <c r="AE227" s="398">
        <v>1</v>
      </c>
      <c r="AF227" s="399">
        <v>1</v>
      </c>
      <c r="AG227" s="398">
        <v>2</v>
      </c>
      <c r="AH227" s="398">
        <v>4</v>
      </c>
      <c r="AI227" s="400">
        <v>4</v>
      </c>
      <c r="AJ227" s="398" t="s">
        <v>661</v>
      </c>
    </row>
    <row r="228" spans="1:36" s="46" customFormat="1" ht="13.5" customHeight="1">
      <c r="A228" s="33" t="s">
        <v>1311</v>
      </c>
      <c r="B228" s="44">
        <v>483</v>
      </c>
      <c r="C228" s="21">
        <v>1020</v>
      </c>
      <c r="D228" s="21">
        <v>404</v>
      </c>
      <c r="E228" s="36">
        <v>25.4</v>
      </c>
      <c r="F228" s="36">
        <v>46</v>
      </c>
      <c r="G228" s="21">
        <v>30</v>
      </c>
      <c r="H228" s="47">
        <v>615.1</v>
      </c>
      <c r="I228" s="21">
        <v>928</v>
      </c>
      <c r="J228" s="21">
        <v>868</v>
      </c>
      <c r="K228" s="21" t="s">
        <v>667</v>
      </c>
      <c r="L228" s="35">
        <v>144</v>
      </c>
      <c r="M228" s="38">
        <v>298</v>
      </c>
      <c r="N228" s="40">
        <v>3.55</v>
      </c>
      <c r="O228" s="40">
        <v>7.36</v>
      </c>
      <c r="P228" s="33" t="s">
        <v>1312</v>
      </c>
      <c r="Q228" s="44">
        <v>324</v>
      </c>
      <c r="R228" s="35">
        <v>1067480</v>
      </c>
      <c r="S228" s="35">
        <v>20931</v>
      </c>
      <c r="T228" s="35">
        <v>23923</v>
      </c>
      <c r="U228" s="40">
        <v>41.66</v>
      </c>
      <c r="V228" s="41">
        <v>282.7</v>
      </c>
      <c r="W228" s="35">
        <v>50710</v>
      </c>
      <c r="X228" s="35">
        <v>2510</v>
      </c>
      <c r="Y228" s="35">
        <v>3919</v>
      </c>
      <c r="Z228" s="41">
        <v>9.08</v>
      </c>
      <c r="AA228" s="36">
        <v>152.5</v>
      </c>
      <c r="AB228" s="21">
        <v>3311</v>
      </c>
      <c r="AC228" s="42">
        <v>119900</v>
      </c>
      <c r="AD228" s="21">
        <v>1</v>
      </c>
      <c r="AE228" s="21">
        <v>1</v>
      </c>
      <c r="AF228" s="43">
        <v>1</v>
      </c>
      <c r="AG228" s="21">
        <v>2</v>
      </c>
      <c r="AH228" s="21">
        <v>4</v>
      </c>
      <c r="AI228" s="42">
        <v>4</v>
      </c>
      <c r="AJ228" s="21" t="s">
        <v>661</v>
      </c>
    </row>
    <row r="229" spans="1:36" s="443" customFormat="1" ht="13.5" customHeight="1">
      <c r="A229" s="404" t="s">
        <v>1313</v>
      </c>
      <c r="B229" s="409">
        <v>539</v>
      </c>
      <c r="C229" s="398">
        <v>1030</v>
      </c>
      <c r="D229" s="398">
        <v>407</v>
      </c>
      <c r="E229" s="406">
        <v>28.4</v>
      </c>
      <c r="F229" s="406">
        <v>51.1</v>
      </c>
      <c r="G229" s="398">
        <v>30</v>
      </c>
      <c r="H229" s="470">
        <v>687.2</v>
      </c>
      <c r="I229" s="398">
        <v>927.8</v>
      </c>
      <c r="J229" s="398">
        <v>867.8</v>
      </c>
      <c r="K229" s="398" t="s">
        <v>667</v>
      </c>
      <c r="L229" s="408">
        <v>146</v>
      </c>
      <c r="M229" s="409">
        <v>302</v>
      </c>
      <c r="N229" s="411">
        <v>3.58</v>
      </c>
      <c r="O229" s="411">
        <v>6.64</v>
      </c>
      <c r="P229" s="404" t="s">
        <v>1314</v>
      </c>
      <c r="Q229" s="409">
        <v>362</v>
      </c>
      <c r="R229" s="408">
        <v>1202540</v>
      </c>
      <c r="S229" s="408">
        <v>23350</v>
      </c>
      <c r="T229" s="408">
        <v>26824</v>
      </c>
      <c r="U229" s="411">
        <v>41.83</v>
      </c>
      <c r="V229" s="407">
        <v>316.39999999999998</v>
      </c>
      <c r="W229" s="408">
        <v>57630</v>
      </c>
      <c r="X229" s="408">
        <v>2832</v>
      </c>
      <c r="Y229" s="408">
        <v>4436</v>
      </c>
      <c r="Z229" s="407">
        <v>9.16</v>
      </c>
      <c r="AA229" s="406">
        <v>165.7</v>
      </c>
      <c r="AB229" s="398">
        <v>4546</v>
      </c>
      <c r="AC229" s="400">
        <v>137550</v>
      </c>
      <c r="AD229" s="398">
        <v>1</v>
      </c>
      <c r="AE229" s="398">
        <v>1</v>
      </c>
      <c r="AF229" s="399">
        <v>1</v>
      </c>
      <c r="AG229" s="398">
        <v>1</v>
      </c>
      <c r="AH229" s="398">
        <v>2</v>
      </c>
      <c r="AI229" s="400">
        <v>4</v>
      </c>
      <c r="AJ229" s="398" t="s">
        <v>661</v>
      </c>
    </row>
    <row r="230" spans="1:36" s="46" customFormat="1" ht="13.5" customHeight="1">
      <c r="A230" s="33" t="s">
        <v>1315</v>
      </c>
      <c r="B230" s="44">
        <v>591</v>
      </c>
      <c r="C230" s="21">
        <v>1040</v>
      </c>
      <c r="D230" s="21">
        <v>409</v>
      </c>
      <c r="E230" s="36">
        <v>31</v>
      </c>
      <c r="F230" s="36">
        <v>55.9</v>
      </c>
      <c r="G230" s="21">
        <v>30</v>
      </c>
      <c r="H230" s="47">
        <v>752.7</v>
      </c>
      <c r="I230" s="21">
        <v>928.2</v>
      </c>
      <c r="J230" s="21">
        <v>868.2</v>
      </c>
      <c r="K230" s="21" t="s">
        <v>667</v>
      </c>
      <c r="L230" s="35">
        <v>148</v>
      </c>
      <c r="M230" s="38">
        <v>304</v>
      </c>
      <c r="N230" s="40">
        <v>3.6</v>
      </c>
      <c r="O230" s="40">
        <v>6.1</v>
      </c>
      <c r="P230" s="33" t="s">
        <v>1316</v>
      </c>
      <c r="Q230" s="44">
        <v>397</v>
      </c>
      <c r="R230" s="35">
        <v>1331040</v>
      </c>
      <c r="S230" s="35">
        <v>25597</v>
      </c>
      <c r="T230" s="35">
        <v>29530</v>
      </c>
      <c r="U230" s="40">
        <v>42.05</v>
      </c>
      <c r="V230" s="41">
        <v>346.3</v>
      </c>
      <c r="W230" s="35">
        <v>64010</v>
      </c>
      <c r="X230" s="35">
        <v>3130</v>
      </c>
      <c r="Y230" s="35">
        <v>4916</v>
      </c>
      <c r="Z230" s="41">
        <v>9.2200000000000006</v>
      </c>
      <c r="AA230" s="36">
        <v>177.9</v>
      </c>
      <c r="AB230" s="21">
        <v>5927</v>
      </c>
      <c r="AC230" s="42">
        <v>154330</v>
      </c>
      <c r="AD230" s="21">
        <v>1</v>
      </c>
      <c r="AE230" s="21">
        <v>1</v>
      </c>
      <c r="AF230" s="43">
        <v>1</v>
      </c>
      <c r="AG230" s="21">
        <v>1</v>
      </c>
      <c r="AH230" s="21">
        <v>2</v>
      </c>
      <c r="AI230" s="42">
        <v>3</v>
      </c>
      <c r="AJ230" s="21" t="s">
        <v>661</v>
      </c>
    </row>
    <row r="231" spans="1:36" s="443" customFormat="1" ht="13.5" customHeight="1">
      <c r="A231" s="404" t="s">
        <v>1317</v>
      </c>
      <c r="B231" s="409">
        <v>642</v>
      </c>
      <c r="C231" s="398">
        <v>1048</v>
      </c>
      <c r="D231" s="398">
        <v>412</v>
      </c>
      <c r="E231" s="406">
        <v>34</v>
      </c>
      <c r="F231" s="406">
        <v>60</v>
      </c>
      <c r="G231" s="398">
        <v>30</v>
      </c>
      <c r="H231" s="470">
        <v>817.6</v>
      </c>
      <c r="I231" s="398">
        <v>928</v>
      </c>
      <c r="J231" s="398">
        <v>868</v>
      </c>
      <c r="K231" s="398" t="s">
        <v>667</v>
      </c>
      <c r="L231" s="408">
        <v>154</v>
      </c>
      <c r="M231" s="409">
        <v>300</v>
      </c>
      <c r="N231" s="411">
        <v>3.62</v>
      </c>
      <c r="O231" s="411">
        <v>5.65</v>
      </c>
      <c r="P231" s="404" t="s">
        <v>1318</v>
      </c>
      <c r="Q231" s="409">
        <v>431</v>
      </c>
      <c r="R231" s="408">
        <v>1450590</v>
      </c>
      <c r="S231" s="408">
        <v>27683</v>
      </c>
      <c r="T231" s="408">
        <v>32097</v>
      </c>
      <c r="U231" s="411">
        <v>42.12</v>
      </c>
      <c r="V231" s="407">
        <v>379.6</v>
      </c>
      <c r="W231" s="408">
        <v>70280</v>
      </c>
      <c r="X231" s="408">
        <v>3412</v>
      </c>
      <c r="Y231" s="408">
        <v>5379</v>
      </c>
      <c r="Z231" s="407">
        <v>9.27</v>
      </c>
      <c r="AA231" s="406">
        <v>189.1</v>
      </c>
      <c r="AB231" s="398">
        <v>7440</v>
      </c>
      <c r="AC231" s="400">
        <v>170670</v>
      </c>
      <c r="AD231" s="398">
        <v>1</v>
      </c>
      <c r="AE231" s="398">
        <v>1</v>
      </c>
      <c r="AF231" s="399">
        <v>1</v>
      </c>
      <c r="AG231" s="398">
        <v>1</v>
      </c>
      <c r="AH231" s="398">
        <v>1</v>
      </c>
      <c r="AI231" s="400">
        <v>2</v>
      </c>
      <c r="AJ231" s="398" t="s">
        <v>661</v>
      </c>
    </row>
    <row r="232" spans="1:36" s="46" customFormat="1" ht="13.5" customHeight="1">
      <c r="A232" s="33" t="s">
        <v>1319</v>
      </c>
      <c r="B232" s="44">
        <v>748</v>
      </c>
      <c r="C232" s="21">
        <v>1068</v>
      </c>
      <c r="D232" s="21">
        <v>417</v>
      </c>
      <c r="E232" s="36">
        <v>39</v>
      </c>
      <c r="F232" s="36">
        <v>70</v>
      </c>
      <c r="G232" s="21">
        <v>30</v>
      </c>
      <c r="H232" s="47">
        <v>953.4</v>
      </c>
      <c r="I232" s="21">
        <v>928</v>
      </c>
      <c r="J232" s="21">
        <v>868</v>
      </c>
      <c r="K232" s="21" t="s">
        <v>667</v>
      </c>
      <c r="L232" s="35">
        <v>160</v>
      </c>
      <c r="M232" s="38">
        <v>306</v>
      </c>
      <c r="N232" s="40">
        <v>3.67</v>
      </c>
      <c r="O232" s="40">
        <v>4.91</v>
      </c>
      <c r="P232" s="33" t="s">
        <v>1320</v>
      </c>
      <c r="Q232" s="44">
        <v>503</v>
      </c>
      <c r="R232" s="35">
        <v>1731940</v>
      </c>
      <c r="S232" s="35">
        <v>32433</v>
      </c>
      <c r="T232" s="35">
        <v>37881</v>
      </c>
      <c r="U232" s="40">
        <v>42.62</v>
      </c>
      <c r="V232" s="41">
        <v>438.9</v>
      </c>
      <c r="W232" s="35">
        <v>85110</v>
      </c>
      <c r="X232" s="35">
        <v>4082</v>
      </c>
      <c r="Y232" s="35">
        <v>6459</v>
      </c>
      <c r="Z232" s="41">
        <v>9.4499999999999993</v>
      </c>
      <c r="AA232" s="36">
        <v>214.1</v>
      </c>
      <c r="AB232" s="21">
        <v>11670</v>
      </c>
      <c r="AC232" s="42">
        <v>210650</v>
      </c>
      <c r="AD232" s="21">
        <v>1</v>
      </c>
      <c r="AE232" s="21">
        <v>1</v>
      </c>
      <c r="AF232" s="43">
        <v>1</v>
      </c>
      <c r="AG232" s="21">
        <v>1</v>
      </c>
      <c r="AH232" s="21">
        <v>1</v>
      </c>
      <c r="AI232" s="42">
        <v>1</v>
      </c>
      <c r="AJ232" s="21" t="s">
        <v>661</v>
      </c>
    </row>
    <row r="233" spans="1:36" s="443" customFormat="1" ht="13.5" customHeight="1">
      <c r="A233" s="404" t="s">
        <v>1321</v>
      </c>
      <c r="B233" s="409">
        <v>883</v>
      </c>
      <c r="C233" s="398">
        <v>1092</v>
      </c>
      <c r="D233" s="398">
        <v>424</v>
      </c>
      <c r="E233" s="406">
        <v>45.5</v>
      </c>
      <c r="F233" s="406">
        <v>82</v>
      </c>
      <c r="G233" s="398">
        <v>30</v>
      </c>
      <c r="H233" s="470">
        <v>1125.3</v>
      </c>
      <c r="I233" s="398">
        <v>928</v>
      </c>
      <c r="J233" s="398">
        <v>868</v>
      </c>
      <c r="K233" s="398" t="s">
        <v>667</v>
      </c>
      <c r="L233" s="408">
        <v>166</v>
      </c>
      <c r="M233" s="409">
        <v>312</v>
      </c>
      <c r="N233" s="411">
        <v>3.74</v>
      </c>
      <c r="O233" s="411">
        <v>4.2300000000000004</v>
      </c>
      <c r="P233" s="404" t="s">
        <v>1322</v>
      </c>
      <c r="Q233" s="409">
        <v>593</v>
      </c>
      <c r="R233" s="408">
        <v>2096420</v>
      </c>
      <c r="S233" s="408">
        <v>38396</v>
      </c>
      <c r="T233" s="408">
        <v>45265</v>
      </c>
      <c r="U233" s="411">
        <v>43.16</v>
      </c>
      <c r="V233" s="407">
        <v>516.5</v>
      </c>
      <c r="W233" s="408">
        <v>104970</v>
      </c>
      <c r="X233" s="408">
        <v>4952</v>
      </c>
      <c r="Y233" s="408">
        <v>7874</v>
      </c>
      <c r="Z233" s="407">
        <v>9.66</v>
      </c>
      <c r="AA233" s="406">
        <v>244.6</v>
      </c>
      <c r="AB233" s="398">
        <v>18750</v>
      </c>
      <c r="AC233" s="400">
        <v>265670</v>
      </c>
      <c r="AD233" s="398">
        <v>1</v>
      </c>
      <c r="AE233" s="398">
        <v>1</v>
      </c>
      <c r="AF233" s="399" t="s">
        <v>616</v>
      </c>
      <c r="AG233" s="398">
        <v>1</v>
      </c>
      <c r="AH233" s="398">
        <v>1</v>
      </c>
      <c r="AI233" s="400" t="s">
        <v>616</v>
      </c>
      <c r="AJ233" s="398"/>
    </row>
    <row r="234" spans="1:36" s="46" customFormat="1" ht="13.5" customHeight="1">
      <c r="A234" s="33"/>
      <c r="B234" s="44"/>
      <c r="C234" s="21"/>
      <c r="D234" s="21"/>
      <c r="E234" s="36"/>
      <c r="F234" s="36"/>
      <c r="G234" s="21"/>
      <c r="H234" s="47"/>
      <c r="I234" s="21"/>
      <c r="J234" s="21"/>
      <c r="K234" s="21"/>
      <c r="L234" s="35"/>
      <c r="M234" s="38"/>
      <c r="N234" s="40"/>
      <c r="O234" s="40"/>
      <c r="P234" s="33"/>
      <c r="Q234" s="44"/>
      <c r="R234" s="35"/>
      <c r="S234" s="35"/>
      <c r="T234" s="35"/>
      <c r="U234" s="40"/>
      <c r="V234" s="41"/>
      <c r="W234" s="35"/>
      <c r="X234" s="35"/>
      <c r="Y234" s="35"/>
      <c r="Z234" s="41"/>
      <c r="AA234" s="36"/>
      <c r="AB234" s="21"/>
      <c r="AC234" s="42"/>
      <c r="AD234" s="21"/>
      <c r="AE234" s="21"/>
      <c r="AF234" s="43"/>
      <c r="AG234" s="21"/>
      <c r="AH234" s="21"/>
      <c r="AI234" s="42"/>
      <c r="AJ234" s="21"/>
    </row>
    <row r="235" spans="1:36" s="443" customFormat="1" ht="13.5" customHeight="1">
      <c r="A235" s="404" t="s">
        <v>1323</v>
      </c>
      <c r="B235" s="409">
        <v>343</v>
      </c>
      <c r="C235" s="398">
        <v>1090</v>
      </c>
      <c r="D235" s="398">
        <v>400</v>
      </c>
      <c r="E235" s="406">
        <v>18</v>
      </c>
      <c r="F235" s="406">
        <v>31</v>
      </c>
      <c r="G235" s="398">
        <v>20</v>
      </c>
      <c r="H235" s="470">
        <v>436.5</v>
      </c>
      <c r="I235" s="398">
        <v>1028</v>
      </c>
      <c r="J235" s="398">
        <v>988</v>
      </c>
      <c r="K235" s="398" t="s">
        <v>667</v>
      </c>
      <c r="L235" s="408">
        <v>116</v>
      </c>
      <c r="M235" s="409">
        <v>294</v>
      </c>
      <c r="N235" s="411">
        <v>3.71</v>
      </c>
      <c r="O235" s="411">
        <v>10.83</v>
      </c>
      <c r="P235" s="404" t="s">
        <v>1324</v>
      </c>
      <c r="Q235" s="409">
        <v>230</v>
      </c>
      <c r="R235" s="408">
        <v>867400</v>
      </c>
      <c r="S235" s="408">
        <v>15920</v>
      </c>
      <c r="T235" s="408">
        <v>18060</v>
      </c>
      <c r="U235" s="411">
        <v>44.58</v>
      </c>
      <c r="V235" s="407">
        <v>206.5</v>
      </c>
      <c r="W235" s="408">
        <v>33120</v>
      </c>
      <c r="X235" s="408">
        <v>1656</v>
      </c>
      <c r="Y235" s="408">
        <v>2568</v>
      </c>
      <c r="Z235" s="407">
        <v>8.7100000000000009</v>
      </c>
      <c r="AA235" s="406">
        <v>103.4</v>
      </c>
      <c r="AB235" s="398">
        <v>1037</v>
      </c>
      <c r="AC235" s="400">
        <v>92710</v>
      </c>
      <c r="AD235" s="398">
        <v>1</v>
      </c>
      <c r="AE235" s="398">
        <v>1</v>
      </c>
      <c r="AF235" s="399">
        <v>2</v>
      </c>
      <c r="AG235" s="398">
        <v>4</v>
      </c>
      <c r="AH235" s="398">
        <v>4</v>
      </c>
      <c r="AI235" s="400">
        <v>4</v>
      </c>
      <c r="AJ235" s="398" t="s">
        <v>661</v>
      </c>
    </row>
    <row r="236" spans="1:36" s="46" customFormat="1" ht="13.5" customHeight="1">
      <c r="A236" s="33" t="s">
        <v>1325</v>
      </c>
      <c r="B236" s="44">
        <v>390</v>
      </c>
      <c r="C236" s="21">
        <v>1100</v>
      </c>
      <c r="D236" s="21">
        <v>400</v>
      </c>
      <c r="E236" s="36">
        <v>20</v>
      </c>
      <c r="F236" s="36">
        <v>36</v>
      </c>
      <c r="G236" s="21">
        <v>20</v>
      </c>
      <c r="H236" s="47">
        <v>497</v>
      </c>
      <c r="I236" s="21">
        <v>1028</v>
      </c>
      <c r="J236" s="21">
        <v>988</v>
      </c>
      <c r="K236" s="21" t="s">
        <v>667</v>
      </c>
      <c r="L236" s="35">
        <v>118</v>
      </c>
      <c r="M236" s="38">
        <v>294</v>
      </c>
      <c r="N236" s="40">
        <v>3.73</v>
      </c>
      <c r="O236" s="40">
        <v>9.5500000000000007</v>
      </c>
      <c r="P236" s="33" t="s">
        <v>1326</v>
      </c>
      <c r="Q236" s="44">
        <v>262</v>
      </c>
      <c r="R236" s="35">
        <v>1005000</v>
      </c>
      <c r="S236" s="35">
        <v>18280</v>
      </c>
      <c r="T236" s="35">
        <v>20780</v>
      </c>
      <c r="U236" s="40">
        <v>44.98</v>
      </c>
      <c r="V236" s="41">
        <v>230.6</v>
      </c>
      <c r="W236" s="35">
        <v>38480</v>
      </c>
      <c r="X236" s="35">
        <v>1924</v>
      </c>
      <c r="Y236" s="35">
        <v>2988</v>
      </c>
      <c r="Z236" s="41">
        <v>8.8000000000000007</v>
      </c>
      <c r="AA236" s="36">
        <v>115.4</v>
      </c>
      <c r="AB236" s="21">
        <v>1564</v>
      </c>
      <c r="AC236" s="42">
        <v>108680</v>
      </c>
      <c r="AD236" s="21">
        <v>1</v>
      </c>
      <c r="AE236" s="21">
        <v>1</v>
      </c>
      <c r="AF236" s="43">
        <v>1</v>
      </c>
      <c r="AG236" s="21">
        <v>4</v>
      </c>
      <c r="AH236" s="21">
        <v>4</v>
      </c>
      <c r="AI236" s="42">
        <v>4</v>
      </c>
      <c r="AJ236" s="21" t="s">
        <v>661</v>
      </c>
    </row>
    <row r="237" spans="1:36" s="443" customFormat="1" ht="13.5" customHeight="1">
      <c r="A237" s="404" t="s">
        <v>1327</v>
      </c>
      <c r="B237" s="409">
        <v>433</v>
      </c>
      <c r="C237" s="398">
        <v>1108</v>
      </c>
      <c r="D237" s="398">
        <v>402</v>
      </c>
      <c r="E237" s="406">
        <v>22</v>
      </c>
      <c r="F237" s="406">
        <v>40</v>
      </c>
      <c r="G237" s="398">
        <v>20</v>
      </c>
      <c r="H237" s="470">
        <v>551.20000000000005</v>
      </c>
      <c r="I237" s="398">
        <v>1028</v>
      </c>
      <c r="J237" s="398">
        <v>988</v>
      </c>
      <c r="K237" s="398" t="s">
        <v>667</v>
      </c>
      <c r="L237" s="408">
        <v>120</v>
      </c>
      <c r="M237" s="409">
        <v>296</v>
      </c>
      <c r="N237" s="411">
        <v>3.75</v>
      </c>
      <c r="O237" s="411">
        <v>8.66</v>
      </c>
      <c r="P237" s="404" t="s">
        <v>1328</v>
      </c>
      <c r="Q237" s="409">
        <v>290</v>
      </c>
      <c r="R237" s="408">
        <v>1126000</v>
      </c>
      <c r="S237" s="408">
        <v>20320</v>
      </c>
      <c r="T237" s="408">
        <v>23160</v>
      </c>
      <c r="U237" s="411">
        <v>45.19</v>
      </c>
      <c r="V237" s="407">
        <v>254.4</v>
      </c>
      <c r="W237" s="408">
        <v>43410</v>
      </c>
      <c r="X237" s="408">
        <v>2160</v>
      </c>
      <c r="Y237" s="408">
        <v>3362</v>
      </c>
      <c r="Z237" s="407">
        <v>8.8699999999999992</v>
      </c>
      <c r="AA237" s="406">
        <v>125.4</v>
      </c>
      <c r="AB237" s="398">
        <v>2130</v>
      </c>
      <c r="AC237" s="400">
        <v>123500</v>
      </c>
      <c r="AD237" s="398">
        <v>1</v>
      </c>
      <c r="AE237" s="398">
        <v>1</v>
      </c>
      <c r="AF237" s="399">
        <v>1</v>
      </c>
      <c r="AG237" s="398">
        <v>4</v>
      </c>
      <c r="AH237" s="398">
        <v>4</v>
      </c>
      <c r="AI237" s="400">
        <v>4</v>
      </c>
      <c r="AJ237" s="398" t="s">
        <v>661</v>
      </c>
    </row>
    <row r="238" spans="1:36" s="46" customFormat="1" ht="13.5" customHeight="1">
      <c r="A238" s="33" t="s">
        <v>1329</v>
      </c>
      <c r="B238" s="44">
        <v>499</v>
      </c>
      <c r="C238" s="21">
        <v>1118</v>
      </c>
      <c r="D238" s="21">
        <v>405</v>
      </c>
      <c r="E238" s="36">
        <v>26</v>
      </c>
      <c r="F238" s="36">
        <v>45</v>
      </c>
      <c r="G238" s="21">
        <v>20</v>
      </c>
      <c r="H238" s="47">
        <v>635.20000000000005</v>
      </c>
      <c r="I238" s="21">
        <v>1028</v>
      </c>
      <c r="J238" s="21">
        <v>988</v>
      </c>
      <c r="K238" s="21" t="s">
        <v>667</v>
      </c>
      <c r="L238" s="35">
        <v>124</v>
      </c>
      <c r="M238" s="38">
        <v>300</v>
      </c>
      <c r="N238" s="40">
        <v>3.77</v>
      </c>
      <c r="O238" s="40">
        <v>7.56</v>
      </c>
      <c r="P238" s="33" t="s">
        <v>1330</v>
      </c>
      <c r="Q238" s="44">
        <v>335</v>
      </c>
      <c r="R238" s="35">
        <v>1294000</v>
      </c>
      <c r="S238" s="35">
        <v>23150</v>
      </c>
      <c r="T238" s="35">
        <v>26600</v>
      </c>
      <c r="U238" s="40">
        <v>45.14</v>
      </c>
      <c r="V238" s="41">
        <v>300.39999999999998</v>
      </c>
      <c r="W238" s="35">
        <v>49980</v>
      </c>
      <c r="X238" s="35">
        <v>2468</v>
      </c>
      <c r="Y238" s="35">
        <v>3870</v>
      </c>
      <c r="Z238" s="41">
        <v>8.8699999999999992</v>
      </c>
      <c r="AA238" s="36">
        <v>139.4</v>
      </c>
      <c r="AB238" s="21">
        <v>3135</v>
      </c>
      <c r="AC238" s="42">
        <v>143410</v>
      </c>
      <c r="AD238" s="21">
        <v>1</v>
      </c>
      <c r="AE238" s="21">
        <v>1</v>
      </c>
      <c r="AF238" s="43">
        <v>1</v>
      </c>
      <c r="AG238" s="21">
        <v>2</v>
      </c>
      <c r="AH238" s="21">
        <v>4</v>
      </c>
      <c r="AI238" s="42">
        <v>4</v>
      </c>
      <c r="AJ238" s="21" t="s">
        <v>661</v>
      </c>
    </row>
    <row r="239" spans="1:36" s="46" customFormat="1" ht="13.5" customHeight="1" thickBot="1">
      <c r="A239" s="33"/>
      <c r="B239" s="44"/>
      <c r="C239" s="21"/>
      <c r="D239" s="21"/>
      <c r="E239" s="36"/>
      <c r="F239" s="36"/>
      <c r="G239" s="21"/>
      <c r="H239" s="47"/>
      <c r="I239" s="21"/>
      <c r="J239" s="21"/>
      <c r="K239" s="21"/>
      <c r="L239" s="35"/>
      <c r="M239" s="38"/>
      <c r="N239" s="39"/>
      <c r="O239" s="40"/>
      <c r="P239" s="33"/>
      <c r="Q239" s="44"/>
      <c r="R239" s="35"/>
      <c r="S239" s="35"/>
      <c r="T239" s="35"/>
      <c r="U239" s="40"/>
      <c r="V239" s="51"/>
      <c r="W239" s="35"/>
      <c r="X239" s="35"/>
      <c r="Y239" s="35"/>
      <c r="Z239" s="41"/>
      <c r="AA239" s="36"/>
      <c r="AB239" s="35"/>
      <c r="AC239" s="52"/>
      <c r="AD239" s="53"/>
      <c r="AE239" s="53"/>
      <c r="AF239" s="54"/>
      <c r="AG239" s="53"/>
      <c r="AH239" s="53"/>
      <c r="AI239" s="55"/>
    </row>
    <row r="240" spans="1:36" s="46" customFormat="1" ht="13.5" hidden="1" customHeight="1" thickTop="1">
      <c r="A240" s="5"/>
      <c r="B240" s="6"/>
      <c r="C240" s="7"/>
      <c r="D240" s="7"/>
      <c r="E240" s="8"/>
      <c r="F240" s="8"/>
      <c r="G240" s="7"/>
      <c r="H240" s="7"/>
      <c r="I240" s="7"/>
      <c r="J240" s="7"/>
      <c r="K240" s="7"/>
      <c r="L240" s="6"/>
      <c r="M240" s="7"/>
      <c r="N240" s="7"/>
      <c r="O240" s="7"/>
      <c r="P240" s="5"/>
      <c r="Q240" s="6"/>
      <c r="R240" s="6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9"/>
    </row>
    <row r="241" spans="1:36" s="46" customFormat="1" ht="13.5" hidden="1" customHeight="1">
      <c r="A241" s="5"/>
      <c r="B241" s="6"/>
      <c r="C241" s="7"/>
      <c r="D241" s="7"/>
      <c r="E241" s="8"/>
      <c r="F241" s="8"/>
      <c r="G241" s="7"/>
      <c r="H241" s="7"/>
      <c r="I241" s="7"/>
      <c r="J241" s="7"/>
      <c r="K241" s="7"/>
      <c r="L241" s="6"/>
      <c r="M241" s="7"/>
      <c r="N241" s="7"/>
      <c r="O241" s="7"/>
      <c r="P241" s="5"/>
      <c r="Q241" s="6"/>
      <c r="R241" s="6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9"/>
    </row>
    <row r="242" spans="1:36" s="46" customFormat="1" ht="13.5" hidden="1" customHeight="1">
      <c r="A242" s="5"/>
      <c r="B242" s="6"/>
      <c r="C242" s="7"/>
      <c r="D242" s="7"/>
      <c r="E242" s="8"/>
      <c r="F242" s="8"/>
      <c r="G242" s="7"/>
      <c r="H242" s="7"/>
      <c r="I242" s="7"/>
      <c r="J242" s="7"/>
      <c r="K242" s="7"/>
      <c r="L242" s="6"/>
      <c r="M242" s="7"/>
      <c r="N242" s="7"/>
      <c r="O242" s="7"/>
      <c r="P242" s="5"/>
      <c r="Q242" s="6"/>
      <c r="R242" s="6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9"/>
    </row>
    <row r="243" spans="1:36" s="46" customFormat="1" ht="13.5" hidden="1" customHeight="1">
      <c r="A243" s="5"/>
      <c r="B243" s="6"/>
      <c r="C243" s="7"/>
      <c r="D243" s="7"/>
      <c r="E243" s="8"/>
      <c r="F243" s="8"/>
      <c r="G243" s="7"/>
      <c r="H243" s="7"/>
      <c r="I243" s="7"/>
      <c r="J243" s="7"/>
      <c r="K243" s="7"/>
      <c r="L243" s="6"/>
      <c r="M243" s="7"/>
      <c r="N243" s="7"/>
      <c r="O243" s="7"/>
      <c r="P243" s="5"/>
      <c r="Q243" s="6"/>
      <c r="R243" s="6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9"/>
    </row>
    <row r="244" spans="1:36" s="46" customFormat="1" ht="13.5" hidden="1" customHeight="1">
      <c r="A244" s="5"/>
      <c r="B244" s="6"/>
      <c r="C244" s="7"/>
      <c r="D244" s="7"/>
      <c r="E244" s="8"/>
      <c r="F244" s="8"/>
      <c r="G244" s="7"/>
      <c r="H244" s="7"/>
      <c r="I244" s="56"/>
      <c r="J244" s="7"/>
      <c r="K244" s="7"/>
      <c r="L244" s="6"/>
      <c r="M244" s="7"/>
      <c r="N244" s="7"/>
      <c r="O244" s="7"/>
      <c r="P244" s="5"/>
      <c r="Q244" s="6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9"/>
    </row>
    <row r="245" spans="1:36" s="46" customFormat="1" ht="13.5" hidden="1" customHeight="1">
      <c r="A245" s="5"/>
      <c r="B245" s="6"/>
      <c r="C245" s="7"/>
      <c r="D245" s="7"/>
      <c r="E245" s="8"/>
      <c r="F245" s="8"/>
      <c r="G245" s="7"/>
      <c r="H245" s="7"/>
      <c r="I245" s="7"/>
      <c r="J245" s="7"/>
      <c r="K245" s="7"/>
      <c r="L245" s="6"/>
      <c r="M245" s="7"/>
      <c r="N245" s="7"/>
      <c r="O245" s="7"/>
      <c r="P245" s="5"/>
      <c r="Q245" s="6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9"/>
    </row>
    <row r="246" spans="1:36" s="46" customFormat="1" ht="13.5" hidden="1" customHeight="1">
      <c r="A246" s="5"/>
      <c r="B246" s="6"/>
      <c r="C246" s="7"/>
      <c r="D246" s="7"/>
      <c r="E246" s="8"/>
      <c r="F246" s="8"/>
      <c r="G246" s="7"/>
      <c r="H246" s="7"/>
      <c r="I246" s="7"/>
      <c r="J246" s="7"/>
      <c r="K246" s="7"/>
      <c r="L246" s="6"/>
      <c r="M246" s="7"/>
      <c r="N246" s="7"/>
      <c r="O246" s="7"/>
      <c r="P246" s="5"/>
      <c r="Q246" s="6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9"/>
    </row>
    <row r="247" spans="1:36" s="46" customFormat="1" ht="13.5" hidden="1" customHeight="1">
      <c r="A247" s="57"/>
      <c r="B247" s="6"/>
      <c r="C247" s="7"/>
      <c r="D247" s="7"/>
      <c r="E247" s="57"/>
      <c r="F247" s="8"/>
      <c r="G247" s="7"/>
      <c r="H247" s="7"/>
      <c r="I247" s="7"/>
      <c r="J247" s="7"/>
      <c r="K247" s="57"/>
      <c r="L247" s="6"/>
      <c r="M247" s="7"/>
      <c r="N247" s="7"/>
      <c r="O247" s="7"/>
      <c r="P247" s="5"/>
      <c r="Q247" s="58"/>
      <c r="R247" s="59"/>
      <c r="S247" s="59"/>
      <c r="T247" s="59"/>
      <c r="U247" s="59"/>
      <c r="V247" s="59"/>
      <c r="W247" s="60"/>
      <c r="X247" s="59"/>
      <c r="Y247" s="59"/>
      <c r="Z247" s="59"/>
      <c r="AA247" s="59"/>
      <c r="AB247" s="59"/>
      <c r="AC247" s="59"/>
      <c r="AD247" s="60"/>
      <c r="AE247" s="7"/>
      <c r="AF247" s="7"/>
      <c r="AG247" s="7"/>
      <c r="AH247" s="7"/>
      <c r="AI247" s="7"/>
      <c r="AJ247" s="9"/>
    </row>
    <row r="248" spans="1:36" ht="13.5" hidden="1" customHeight="1">
      <c r="A248" s="60"/>
      <c r="E248" s="60"/>
      <c r="K248" s="60"/>
      <c r="Q248" s="58"/>
      <c r="R248" s="59"/>
      <c r="S248" s="59"/>
      <c r="T248" s="59"/>
      <c r="U248" s="59"/>
      <c r="V248" s="59"/>
      <c r="W248" s="60"/>
      <c r="X248" s="59"/>
      <c r="Y248" s="59"/>
      <c r="Z248" s="59"/>
      <c r="AA248" s="59"/>
      <c r="AB248" s="59"/>
      <c r="AC248" s="59"/>
      <c r="AD248" s="60"/>
    </row>
    <row r="249" spans="1:36" ht="13.5" hidden="1" customHeight="1">
      <c r="A249" s="60"/>
      <c r="E249" s="60"/>
      <c r="K249" s="60"/>
      <c r="Q249" s="58"/>
      <c r="R249" s="59"/>
      <c r="S249" s="59"/>
      <c r="T249" s="59"/>
      <c r="U249" s="59"/>
      <c r="V249" s="59"/>
      <c r="W249" s="60"/>
      <c r="X249" s="59"/>
      <c r="Y249" s="59"/>
      <c r="Z249" s="59"/>
      <c r="AA249" s="59"/>
      <c r="AB249" s="59"/>
      <c r="AC249" s="59"/>
      <c r="AD249" s="60"/>
    </row>
    <row r="250" spans="1:36" ht="13.5" hidden="1" customHeight="1">
      <c r="A250" s="60"/>
      <c r="E250" s="60"/>
      <c r="K250" s="60"/>
      <c r="Q250" s="58"/>
      <c r="R250" s="59"/>
      <c r="S250" s="59"/>
      <c r="T250" s="59"/>
      <c r="U250" s="59"/>
      <c r="V250" s="59"/>
      <c r="W250" s="60"/>
      <c r="X250" s="59"/>
      <c r="Y250" s="59"/>
      <c r="Z250" s="59"/>
      <c r="AA250" s="59"/>
      <c r="AB250" s="59"/>
      <c r="AC250" s="59"/>
      <c r="AD250" s="60"/>
    </row>
    <row r="251" spans="1:36" ht="13.5" hidden="1" customHeight="1"/>
    <row r="252" spans="1:36" ht="13.5" hidden="1" customHeight="1"/>
    <row r="253" spans="1:36" ht="13.5" hidden="1" customHeight="1"/>
    <row r="254" spans="1:36" ht="13.5" hidden="1" customHeight="1"/>
    <row r="255" spans="1:36" ht="13.5" hidden="1" customHeight="1"/>
    <row r="256" spans="1:36" ht="13.5" hidden="1" customHeight="1"/>
    <row r="257" ht="13.5" hidden="1" customHeight="1"/>
    <row r="258" ht="13.5" hidden="1" customHeight="1"/>
    <row r="259" ht="13.5" hidden="1" customHeight="1"/>
    <row r="260" ht="13.5" hidden="1" customHeight="1"/>
    <row r="261" ht="13.5" hidden="1" customHeight="1"/>
    <row r="262" ht="13.5" hidden="1" customHeight="1"/>
    <row r="263" ht="13.5" hidden="1" customHeight="1"/>
    <row r="264" ht="13.5" hidden="1" customHeight="1"/>
    <row r="265" ht="13.5" hidden="1" customHeight="1"/>
    <row r="266" ht="13.5" hidden="1" customHeight="1"/>
    <row r="267" ht="13.5" hidden="1" customHeight="1"/>
    <row r="268" ht="13.5" hidden="1" customHeight="1"/>
    <row r="269" ht="13.5" hidden="1" customHeight="1"/>
    <row r="270" ht="13.5" hidden="1" customHeight="1"/>
    <row r="271" ht="13.5" hidden="1" customHeight="1"/>
    <row r="272" ht="13.5" hidden="1" customHeight="1"/>
    <row r="273" ht="13.5" hidden="1" customHeight="1"/>
    <row r="274" ht="13.5" hidden="1" customHeight="1"/>
    <row r="275" ht="13.5" hidden="1" customHeight="1"/>
    <row r="276" ht="13.5" hidden="1" customHeight="1"/>
    <row r="277" ht="13.5" hidden="1" customHeight="1"/>
    <row r="278" ht="13.5" hidden="1" customHeight="1"/>
    <row r="279" ht="13.5" hidden="1" customHeight="1"/>
    <row r="280" ht="13.5" hidden="1" customHeight="1"/>
    <row r="281" ht="13.5" hidden="1" customHeight="1"/>
    <row r="282" ht="13.5" hidden="1" customHeight="1"/>
    <row r="283" ht="13.5" hidden="1" customHeight="1"/>
    <row r="284" ht="13.5" hidden="1" customHeight="1"/>
    <row r="285" ht="13.5" hidden="1" customHeight="1"/>
    <row r="286" ht="13.5" hidden="1" customHeight="1"/>
    <row r="287" ht="13.5" hidden="1" customHeight="1"/>
    <row r="288" ht="13.5" hidden="1" customHeight="1"/>
    <row r="289" ht="13.5" hidden="1" customHeight="1"/>
    <row r="290" ht="13.5" hidden="1" customHeight="1"/>
    <row r="291" ht="13.5" hidden="1" customHeight="1"/>
    <row r="292" ht="13.5" hidden="1" customHeight="1"/>
    <row r="293" ht="13.5" hidden="1" customHeight="1"/>
    <row r="294" ht="13.5" hidden="1" customHeight="1"/>
    <row r="295" ht="13.5" hidden="1" customHeight="1"/>
    <row r="296" ht="13.5" hidden="1" customHeight="1"/>
    <row r="297" ht="13.5" hidden="1" customHeight="1"/>
    <row r="298" ht="13.5" hidden="1" customHeight="1"/>
    <row r="299" ht="13.5" hidden="1" customHeight="1"/>
    <row r="300" ht="13.5" hidden="1" customHeight="1"/>
    <row r="301" ht="13.5" hidden="1" customHeight="1"/>
    <row r="302" ht="13.5" hidden="1" customHeight="1"/>
    <row r="303" ht="13.5" hidden="1" customHeight="1"/>
    <row r="304" ht="13.5" hidden="1" customHeight="1"/>
    <row r="305" ht="13.5" hidden="1" customHeight="1"/>
    <row r="306" ht="13.5" hidden="1" customHeight="1"/>
    <row r="307" ht="13.5" hidden="1" customHeight="1"/>
    <row r="308" ht="13.5" hidden="1" customHeight="1"/>
    <row r="309" ht="13.5" hidden="1" customHeight="1"/>
    <row r="310" ht="13.5" hidden="1" customHeight="1"/>
    <row r="311" ht="13.5" hidden="1" customHeight="1"/>
    <row r="312" ht="13.5" hidden="1" customHeight="1"/>
    <row r="313" ht="13.5" hidden="1" customHeight="1"/>
    <row r="314" ht="13.5" hidden="1" customHeight="1"/>
    <row r="315" ht="13.5" hidden="1" customHeight="1"/>
    <row r="316" ht="13.5" hidden="1" customHeight="1"/>
    <row r="317" ht="13.5" hidden="1" customHeight="1"/>
    <row r="318" ht="13.5" hidden="1" customHeight="1"/>
    <row r="319" ht="13.5" hidden="1" customHeight="1"/>
    <row r="320" ht="13.5" hidden="1" customHeight="1"/>
    <row r="321" ht="13.5" hidden="1" customHeight="1"/>
    <row r="322" ht="13.5" hidden="1" customHeight="1"/>
    <row r="323" ht="13.5" hidden="1" customHeight="1"/>
    <row r="324" ht="13.5" hidden="1" customHeight="1"/>
    <row r="325" ht="13.5" hidden="1" customHeight="1"/>
    <row r="326" ht="13.5" hidden="1" customHeight="1"/>
    <row r="327" ht="13.5" hidden="1" customHeight="1"/>
    <row r="328" ht="13.5" hidden="1" customHeight="1"/>
    <row r="329" ht="13.5" hidden="1" customHeight="1"/>
    <row r="330" ht="13.5" hidden="1" customHeight="1"/>
    <row r="331" ht="13.5" hidden="1" customHeight="1"/>
    <row r="332" ht="13.5" hidden="1" customHeight="1"/>
    <row r="333" ht="13.5" hidden="1" customHeight="1"/>
    <row r="334" ht="13.5" hidden="1" customHeight="1"/>
    <row r="335" ht="13.5" hidden="1" customHeight="1"/>
    <row r="336" ht="13.5" hidden="1" customHeight="1"/>
    <row r="337" ht="13.5" hidden="1" customHeight="1"/>
    <row r="338" ht="13.5" hidden="1" customHeight="1"/>
    <row r="339" ht="13.5" hidden="1" customHeight="1"/>
    <row r="340" ht="13.5" hidden="1" customHeight="1"/>
    <row r="341" ht="13.5" hidden="1" customHeight="1"/>
    <row r="342" ht="13.5" hidden="1" customHeight="1"/>
    <row r="343" ht="13.5" hidden="1" customHeight="1"/>
    <row r="344" ht="13.5" hidden="1" customHeight="1"/>
    <row r="345" ht="13.5" hidden="1" customHeight="1"/>
    <row r="346" ht="13.5" hidden="1" customHeight="1"/>
    <row r="347" ht="13.5" hidden="1" customHeight="1"/>
    <row r="348" ht="13.5" hidden="1" customHeight="1"/>
    <row r="349" ht="13.5" hidden="1" customHeight="1"/>
    <row r="350" ht="13.5" hidden="1" customHeight="1"/>
    <row r="351" ht="13.5" hidden="1" customHeight="1"/>
  </sheetData>
  <phoneticPr fontId="0" type="noConversion"/>
  <pageMargins left="0.75" right="0.75" top="1" bottom="1" header="0.4921259845" footer="0.4921259845"/>
  <pageSetup paperSize="9" scale="52" orientation="landscape" horizontalDpi="4294967292" verticalDpi="4294967292" r:id="rId1"/>
  <headerFooter alignWithMargins="0">
    <oddFooter>&amp;LLe &amp;D&amp;CProfilés &amp;A du &amp;F&amp;RPage &amp;P sur &amp;N</oddFooter>
  </headerFooter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AJ65"/>
  <sheetViews>
    <sheetView workbookViewId="0"/>
  </sheetViews>
  <sheetFormatPr defaultColWidth="0" defaultRowHeight="12" zeroHeight="1"/>
  <cols>
    <col min="1" max="1" width="16.42578125" style="191" customWidth="1"/>
    <col min="2" max="4" width="5.7109375" style="189" customWidth="1"/>
    <col min="5" max="5" width="5" style="189" customWidth="1"/>
    <col min="6" max="7" width="4.7109375" style="189" customWidth="1"/>
    <col min="8" max="8" width="6" style="189" customWidth="1"/>
    <col min="9" max="9" width="5.7109375" style="189" customWidth="1"/>
    <col min="10" max="10" width="5.28515625" style="189" customWidth="1"/>
    <col min="11" max="11" width="5.140625" style="189" customWidth="1"/>
    <col min="12" max="12" width="6.28515625" style="192" customWidth="1"/>
    <col min="13" max="13" width="5.28515625" style="189" customWidth="1"/>
    <col min="14" max="14" width="6" style="189" customWidth="1"/>
    <col min="15" max="15" width="5.7109375" style="189" customWidth="1"/>
    <col min="16" max="16" width="16.42578125" style="191" customWidth="1"/>
    <col min="17" max="17" width="5.7109375" style="188" customWidth="1"/>
    <col min="18" max="18" width="5.28515625" style="189" customWidth="1"/>
    <col min="19" max="20" width="5.7109375" style="189" customWidth="1"/>
    <col min="21" max="21" width="5" style="189" customWidth="1"/>
    <col min="22" max="22" width="5.140625" style="189" customWidth="1"/>
    <col min="23" max="23" width="5.42578125" style="189" customWidth="1"/>
    <col min="24" max="24" width="4.85546875" style="189" customWidth="1"/>
    <col min="25" max="25" width="5.7109375" style="189" customWidth="1"/>
    <col min="26" max="26" width="4.140625" style="189" customWidth="1"/>
    <col min="27" max="27" width="4.85546875" style="189" customWidth="1"/>
    <col min="28" max="28" width="5.7109375" style="189" customWidth="1"/>
    <col min="29" max="29" width="6.140625" style="189" customWidth="1"/>
    <col min="30" max="35" width="3.28515625" style="189" customWidth="1"/>
    <col min="36" max="36" width="2.42578125" style="189" customWidth="1"/>
    <col min="37" max="16384" width="10.85546875" style="189" hidden="1"/>
  </cols>
  <sheetData>
    <row r="1" spans="1:36" s="170" customFormat="1" ht="18.75" customHeight="1">
      <c r="A1" s="321"/>
      <c r="B1" s="322"/>
      <c r="C1" s="322"/>
      <c r="D1" s="322"/>
      <c r="E1" s="321"/>
      <c r="F1" s="324"/>
      <c r="G1" s="322"/>
      <c r="H1" s="324"/>
      <c r="I1" s="322"/>
      <c r="J1" s="322"/>
      <c r="K1" s="473"/>
      <c r="L1" s="474"/>
      <c r="M1" s="475"/>
      <c r="N1" s="475"/>
      <c r="O1" s="475"/>
      <c r="P1" s="475"/>
      <c r="Q1" s="476"/>
      <c r="R1" s="475"/>
      <c r="S1" s="475"/>
      <c r="T1" s="475"/>
      <c r="U1" s="475"/>
      <c r="V1" s="475"/>
      <c r="W1" s="475"/>
      <c r="X1" s="475"/>
      <c r="Y1" s="475"/>
      <c r="Z1" s="475"/>
      <c r="AA1" s="475"/>
      <c r="AB1" s="475"/>
      <c r="AC1" s="475"/>
      <c r="AD1" s="475"/>
      <c r="AE1" s="475"/>
      <c r="AF1" s="475"/>
      <c r="AG1" s="475"/>
      <c r="AH1" s="475"/>
      <c r="AI1" s="475"/>
      <c r="AJ1" s="475"/>
    </row>
    <row r="2" spans="1:36" s="170" customFormat="1" ht="20.25">
      <c r="A2" s="479" t="s">
        <v>1824</v>
      </c>
      <c r="B2" s="322"/>
      <c r="C2" s="322"/>
      <c r="D2" s="322"/>
      <c r="E2" s="321"/>
      <c r="F2" s="324"/>
      <c r="G2" s="322"/>
      <c r="H2" s="324"/>
      <c r="I2" s="322"/>
      <c r="J2" s="322"/>
      <c r="K2" s="321"/>
      <c r="L2" s="474"/>
      <c r="M2" s="475"/>
      <c r="N2" s="475"/>
      <c r="O2" s="475"/>
      <c r="P2" s="475"/>
      <c r="Q2" s="476"/>
      <c r="R2" s="475"/>
      <c r="S2" s="475"/>
      <c r="T2" s="475"/>
      <c r="U2" s="475"/>
      <c r="V2" s="475"/>
      <c r="W2" s="475"/>
      <c r="X2" s="475"/>
      <c r="Y2" s="475"/>
      <c r="Z2" s="475"/>
      <c r="AA2" s="475"/>
      <c r="AB2" s="475"/>
      <c r="AC2" s="475"/>
      <c r="AD2" s="475"/>
      <c r="AE2" s="475"/>
      <c r="AF2" s="475"/>
      <c r="AG2" s="475"/>
      <c r="AH2" s="475"/>
      <c r="AI2" s="475"/>
      <c r="AJ2" s="475"/>
    </row>
    <row r="3" spans="1:36" s="170" customFormat="1" ht="20.25">
      <c r="A3" s="423" t="s">
        <v>1829</v>
      </c>
      <c r="B3" s="417"/>
      <c r="C3" s="417"/>
      <c r="D3" s="417"/>
      <c r="E3" s="321"/>
      <c r="F3" s="324"/>
      <c r="G3" s="324"/>
      <c r="H3" s="422"/>
      <c r="I3" s="417"/>
      <c r="J3" s="417"/>
      <c r="K3" s="417"/>
      <c r="L3" s="474"/>
      <c r="M3" s="475"/>
      <c r="N3" s="475"/>
      <c r="O3" s="475"/>
      <c r="P3" s="475"/>
      <c r="Q3" s="476"/>
      <c r="R3" s="475"/>
      <c r="S3" s="475"/>
      <c r="T3" s="475"/>
      <c r="U3" s="475"/>
      <c r="V3" s="475"/>
      <c r="W3" s="475"/>
      <c r="X3" s="475"/>
      <c r="Y3" s="475"/>
      <c r="Z3" s="475"/>
      <c r="AA3" s="475"/>
      <c r="AB3" s="475"/>
      <c r="AC3" s="475"/>
      <c r="AD3" s="475"/>
      <c r="AE3" s="475"/>
      <c r="AF3" s="475"/>
      <c r="AG3" s="475"/>
      <c r="AH3" s="475"/>
      <c r="AI3" s="475"/>
      <c r="AJ3" s="475"/>
    </row>
    <row r="4" spans="1:36" s="170" customFormat="1" ht="20.25">
      <c r="A4" s="423" t="s">
        <v>1861</v>
      </c>
      <c r="B4" s="419"/>
      <c r="C4" s="419"/>
      <c r="D4" s="419"/>
      <c r="E4" s="419"/>
      <c r="F4" s="459"/>
      <c r="G4" s="459"/>
      <c r="H4" s="462"/>
      <c r="I4" s="419"/>
      <c r="J4" s="419"/>
      <c r="K4" s="419"/>
      <c r="L4" s="459"/>
      <c r="M4" s="475"/>
      <c r="N4" s="475"/>
      <c r="O4" s="475"/>
      <c r="P4" s="475"/>
      <c r="Q4" s="476"/>
      <c r="R4" s="475"/>
      <c r="S4" s="475"/>
      <c r="T4" s="475"/>
      <c r="U4" s="475"/>
      <c r="V4" s="475"/>
      <c r="W4" s="475"/>
      <c r="X4" s="475"/>
      <c r="Y4" s="475"/>
      <c r="Z4" s="475"/>
      <c r="AA4" s="475"/>
      <c r="AB4" s="475"/>
      <c r="AC4" s="475"/>
      <c r="AD4" s="475"/>
      <c r="AE4" s="475"/>
      <c r="AF4" s="475"/>
      <c r="AG4" s="475"/>
      <c r="AH4" s="475"/>
      <c r="AI4" s="475"/>
      <c r="AJ4" s="475"/>
    </row>
    <row r="5" spans="1:36" s="170" customFormat="1">
      <c r="A5" s="419" t="s">
        <v>1816</v>
      </c>
      <c r="B5" s="475"/>
      <c r="C5" s="475"/>
      <c r="D5" s="475"/>
      <c r="E5" s="475"/>
      <c r="F5" s="475"/>
      <c r="G5" s="475"/>
      <c r="H5" s="475"/>
      <c r="I5" s="475"/>
      <c r="J5" s="475"/>
      <c r="K5" s="475"/>
      <c r="L5" s="475"/>
      <c r="M5" s="475"/>
      <c r="N5" s="475"/>
      <c r="O5" s="475"/>
      <c r="P5" s="475"/>
      <c r="Q5" s="476"/>
      <c r="R5" s="475"/>
      <c r="S5" s="475"/>
      <c r="T5" s="475"/>
      <c r="U5" s="475"/>
      <c r="V5" s="475"/>
      <c r="W5" s="475"/>
      <c r="X5" s="475"/>
      <c r="Y5" s="475"/>
      <c r="Z5" s="475"/>
      <c r="AA5" s="475"/>
      <c r="AB5" s="475"/>
      <c r="AC5" s="475"/>
      <c r="AD5" s="475"/>
      <c r="AE5" s="475"/>
      <c r="AF5" s="475"/>
      <c r="AG5" s="475"/>
      <c r="AH5" s="475"/>
      <c r="AI5" s="475"/>
      <c r="AJ5" s="475"/>
    </row>
    <row r="6" spans="1:36" s="170" customFormat="1">
      <c r="A6" s="477"/>
      <c r="B6" s="477"/>
      <c r="C6" s="477"/>
      <c r="D6" s="477"/>
      <c r="E6" s="477"/>
      <c r="F6" s="477"/>
      <c r="G6" s="477"/>
      <c r="H6" s="477"/>
      <c r="I6" s="477"/>
      <c r="J6" s="477"/>
      <c r="K6" s="477"/>
      <c r="L6" s="478"/>
      <c r="M6" s="475"/>
      <c r="N6" s="475"/>
      <c r="O6" s="475"/>
      <c r="P6" s="475"/>
      <c r="Q6" s="476"/>
      <c r="R6" s="475"/>
      <c r="S6" s="475"/>
      <c r="T6" s="475"/>
      <c r="U6" s="475"/>
      <c r="V6" s="475"/>
      <c r="W6" s="475"/>
      <c r="X6" s="475"/>
      <c r="Y6" s="475"/>
      <c r="Z6" s="475"/>
      <c r="AA6" s="475"/>
      <c r="AB6" s="475"/>
      <c r="AC6" s="475"/>
      <c r="AD6" s="475"/>
      <c r="AE6" s="475"/>
      <c r="AF6" s="475"/>
      <c r="AG6" s="475"/>
      <c r="AH6" s="475"/>
      <c r="AI6" s="475"/>
      <c r="AJ6" s="475"/>
    </row>
    <row r="7" spans="1:36" s="170" customFormat="1">
      <c r="A7" s="477"/>
      <c r="B7" s="477"/>
      <c r="C7" s="477"/>
      <c r="D7" s="477"/>
      <c r="E7" s="477"/>
      <c r="F7" s="477"/>
      <c r="G7" s="477"/>
      <c r="H7" s="477"/>
      <c r="I7" s="477"/>
      <c r="J7" s="477"/>
      <c r="K7" s="477"/>
      <c r="L7" s="478"/>
      <c r="M7" s="475"/>
      <c r="N7" s="475"/>
      <c r="O7" s="475"/>
      <c r="P7" s="475"/>
      <c r="Q7" s="476"/>
      <c r="R7" s="475"/>
      <c r="S7" s="475"/>
      <c r="T7" s="475"/>
      <c r="U7" s="475"/>
      <c r="V7" s="475"/>
      <c r="W7" s="475"/>
      <c r="X7" s="475"/>
      <c r="Y7" s="475"/>
      <c r="Z7" s="475"/>
      <c r="AA7" s="475"/>
      <c r="AB7" s="475"/>
      <c r="AC7" s="475"/>
      <c r="AD7" s="475"/>
      <c r="AE7" s="475"/>
      <c r="AF7" s="475"/>
      <c r="AG7" s="475"/>
      <c r="AH7" s="475"/>
      <c r="AI7" s="475"/>
      <c r="AJ7" s="475"/>
    </row>
    <row r="8" spans="1:36" s="170" customFormat="1" ht="12.75" thickBot="1">
      <c r="A8" s="477"/>
      <c r="B8" s="477"/>
      <c r="C8" s="477"/>
      <c r="D8" s="477"/>
      <c r="E8" s="477"/>
      <c r="F8" s="477"/>
      <c r="G8" s="477"/>
      <c r="H8" s="477"/>
      <c r="I8" s="477"/>
      <c r="J8" s="477"/>
      <c r="K8" s="477"/>
      <c r="L8" s="478"/>
      <c r="M8" s="475"/>
      <c r="N8" s="475"/>
      <c r="O8" s="475"/>
      <c r="P8" s="475"/>
      <c r="Q8" s="476"/>
      <c r="R8" s="475"/>
      <c r="S8" s="475"/>
      <c r="T8" s="475"/>
      <c r="U8" s="475"/>
      <c r="V8" s="475"/>
      <c r="W8" s="475"/>
      <c r="X8" s="475"/>
      <c r="Y8" s="475"/>
      <c r="Z8" s="475"/>
      <c r="AA8" s="475"/>
      <c r="AB8" s="475"/>
      <c r="AC8" s="475"/>
      <c r="AD8" s="475"/>
      <c r="AE8" s="475"/>
      <c r="AF8" s="475"/>
      <c r="AG8" s="475"/>
      <c r="AH8" s="475"/>
      <c r="AI8" s="475"/>
      <c r="AJ8" s="475"/>
    </row>
    <row r="9" spans="1:36" s="170" customFormat="1" ht="13.5" thickTop="1" thickBot="1">
      <c r="A9" s="327"/>
      <c r="B9" s="328"/>
      <c r="C9" s="327"/>
      <c r="D9" s="363"/>
      <c r="E9" s="363"/>
      <c r="F9" s="363"/>
      <c r="G9" s="364"/>
      <c r="H9" s="366" t="s">
        <v>1799</v>
      </c>
      <c r="I9" s="327"/>
      <c r="J9" s="363"/>
      <c r="K9" s="363"/>
      <c r="L9" s="368"/>
      <c r="M9" s="364"/>
      <c r="N9" s="327"/>
      <c r="O9" s="364"/>
      <c r="P9" s="327"/>
      <c r="Q9" s="364"/>
      <c r="R9" s="370"/>
      <c r="S9" s="362"/>
      <c r="T9" s="362"/>
      <c r="U9" s="362"/>
      <c r="V9" s="362"/>
      <c r="W9" s="362" t="s">
        <v>1804</v>
      </c>
      <c r="X9" s="362"/>
      <c r="Y9" s="362"/>
      <c r="Z9" s="362"/>
      <c r="AA9" s="362"/>
      <c r="AB9" s="371"/>
      <c r="AC9" s="372"/>
      <c r="AD9" s="374"/>
      <c r="AE9" s="375"/>
      <c r="AF9" s="375" t="s">
        <v>1806</v>
      </c>
      <c r="AG9" s="375"/>
      <c r="AH9" s="375"/>
      <c r="AI9" s="376"/>
      <c r="AJ9" s="66" t="s">
        <v>570</v>
      </c>
    </row>
    <row r="10" spans="1:36" s="170" customFormat="1" ht="13.5" thickTop="1" thickBot="1">
      <c r="A10" s="329" t="s">
        <v>1799</v>
      </c>
      <c r="B10" s="330"/>
      <c r="C10" s="329"/>
      <c r="D10" s="360"/>
      <c r="E10" s="360" t="s">
        <v>1800</v>
      </c>
      <c r="F10" s="360"/>
      <c r="G10" s="365"/>
      <c r="H10" s="367" t="s">
        <v>1801</v>
      </c>
      <c r="I10" s="329"/>
      <c r="J10" s="360" t="s">
        <v>1802</v>
      </c>
      <c r="K10" s="360"/>
      <c r="L10" s="369"/>
      <c r="M10" s="365"/>
      <c r="N10" s="329" t="s">
        <v>1803</v>
      </c>
      <c r="O10" s="365"/>
      <c r="P10" s="329" t="s">
        <v>1799</v>
      </c>
      <c r="Q10" s="365"/>
      <c r="R10" s="370"/>
      <c r="S10" s="362" t="s">
        <v>1859</v>
      </c>
      <c r="T10" s="362"/>
      <c r="U10" s="362"/>
      <c r="V10" s="373"/>
      <c r="W10" s="370"/>
      <c r="X10" s="362" t="s">
        <v>1860</v>
      </c>
      <c r="Y10" s="362"/>
      <c r="Z10" s="373"/>
      <c r="AA10" s="331"/>
      <c r="AB10" s="332"/>
      <c r="AC10" s="333"/>
      <c r="AD10" s="377"/>
      <c r="AE10" s="378"/>
      <c r="AF10" s="378" t="s">
        <v>1807</v>
      </c>
      <c r="AG10" s="378"/>
      <c r="AH10" s="378"/>
      <c r="AI10" s="379"/>
      <c r="AJ10" s="66" t="s">
        <v>571</v>
      </c>
    </row>
    <row r="11" spans="1:36" s="170" customFormat="1" ht="20.25" thickTop="1">
      <c r="A11" s="69" t="s">
        <v>1823</v>
      </c>
      <c r="B11" s="67" t="s">
        <v>572</v>
      </c>
      <c r="C11" s="18" t="s">
        <v>573</v>
      </c>
      <c r="D11" s="18" t="s">
        <v>574</v>
      </c>
      <c r="E11" s="18" t="s">
        <v>575</v>
      </c>
      <c r="F11" s="18" t="s">
        <v>576</v>
      </c>
      <c r="G11" s="67" t="s">
        <v>577</v>
      </c>
      <c r="H11" s="67" t="s">
        <v>578</v>
      </c>
      <c r="I11" s="18" t="s">
        <v>579</v>
      </c>
      <c r="J11" s="18" t="s">
        <v>580</v>
      </c>
      <c r="K11" s="18" t="s">
        <v>581</v>
      </c>
      <c r="L11" s="130" t="s">
        <v>582</v>
      </c>
      <c r="M11" s="67" t="s">
        <v>583</v>
      </c>
      <c r="N11" s="18" t="s">
        <v>584</v>
      </c>
      <c r="O11" s="18" t="s">
        <v>585</v>
      </c>
      <c r="P11" s="69" t="s">
        <v>948</v>
      </c>
      <c r="Q11" s="171" t="s">
        <v>572</v>
      </c>
      <c r="R11" s="18" t="s">
        <v>586</v>
      </c>
      <c r="S11" s="18" t="s">
        <v>587</v>
      </c>
      <c r="T11" s="18" t="s">
        <v>588</v>
      </c>
      <c r="U11" s="18" t="s">
        <v>589</v>
      </c>
      <c r="V11" s="67" t="s">
        <v>590</v>
      </c>
      <c r="W11" s="18" t="s">
        <v>591</v>
      </c>
      <c r="X11" s="18" t="s">
        <v>592</v>
      </c>
      <c r="Y11" s="18" t="s">
        <v>593</v>
      </c>
      <c r="Z11" s="67" t="s">
        <v>594</v>
      </c>
      <c r="AA11" s="18" t="s">
        <v>595</v>
      </c>
      <c r="AB11" s="18" t="s">
        <v>1331</v>
      </c>
      <c r="AC11" s="172" t="s">
        <v>1332</v>
      </c>
      <c r="AD11" s="374"/>
      <c r="AE11" s="375"/>
      <c r="AF11" s="376"/>
      <c r="AG11" s="374"/>
      <c r="AH11" s="375"/>
      <c r="AI11" s="376"/>
      <c r="AJ11" s="66" t="s">
        <v>598</v>
      </c>
    </row>
    <row r="12" spans="1:36" s="174" customFormat="1" ht="13.5" customHeight="1" thickBot="1">
      <c r="A12" s="69"/>
      <c r="B12" s="67" t="s">
        <v>599</v>
      </c>
      <c r="C12" s="18" t="s">
        <v>600</v>
      </c>
      <c r="D12" s="18" t="s">
        <v>601</v>
      </c>
      <c r="E12" s="18" t="s">
        <v>601</v>
      </c>
      <c r="F12" s="18" t="s">
        <v>601</v>
      </c>
      <c r="G12" s="67" t="s">
        <v>601</v>
      </c>
      <c r="H12" s="67" t="s">
        <v>602</v>
      </c>
      <c r="I12" s="18" t="s">
        <v>601</v>
      </c>
      <c r="J12" s="18" t="s">
        <v>601</v>
      </c>
      <c r="K12" s="18"/>
      <c r="L12" s="129" t="s">
        <v>601</v>
      </c>
      <c r="M12" s="67" t="s">
        <v>601</v>
      </c>
      <c r="N12" s="18" t="s">
        <v>603</v>
      </c>
      <c r="O12" s="18" t="s">
        <v>604</v>
      </c>
      <c r="P12" s="69"/>
      <c r="Q12" s="171" t="s">
        <v>950</v>
      </c>
      <c r="R12" s="18" t="s">
        <v>605</v>
      </c>
      <c r="S12" s="18" t="s">
        <v>606</v>
      </c>
      <c r="T12" s="18" t="s">
        <v>606</v>
      </c>
      <c r="U12" s="18" t="s">
        <v>607</v>
      </c>
      <c r="V12" s="67" t="s">
        <v>608</v>
      </c>
      <c r="W12" s="18" t="s">
        <v>609</v>
      </c>
      <c r="X12" s="18" t="s">
        <v>610</v>
      </c>
      <c r="Y12" s="18" t="s">
        <v>610</v>
      </c>
      <c r="Z12" s="67" t="s">
        <v>607</v>
      </c>
      <c r="AA12" s="18" t="s">
        <v>601</v>
      </c>
      <c r="AB12" s="18" t="s">
        <v>609</v>
      </c>
      <c r="AC12" s="172" t="s">
        <v>1333</v>
      </c>
      <c r="AD12" s="377"/>
      <c r="AE12" s="378" t="s">
        <v>1808</v>
      </c>
      <c r="AF12" s="379"/>
      <c r="AG12" s="377"/>
      <c r="AH12" s="378" t="s">
        <v>1809</v>
      </c>
      <c r="AI12" s="379"/>
      <c r="AJ12" s="66" t="s">
        <v>613</v>
      </c>
    </row>
    <row r="13" spans="1:36" s="174" customFormat="1" ht="13.5" customHeight="1" thickTop="1" thickBot="1">
      <c r="A13" s="131"/>
      <c r="B13" s="132"/>
      <c r="C13" s="133"/>
      <c r="D13" s="133"/>
      <c r="E13" s="133"/>
      <c r="F13" s="133"/>
      <c r="G13" s="132"/>
      <c r="H13" s="132"/>
      <c r="I13" s="133"/>
      <c r="J13" s="133"/>
      <c r="K13" s="133"/>
      <c r="L13" s="134"/>
      <c r="M13" s="132"/>
      <c r="N13" s="133"/>
      <c r="O13" s="133"/>
      <c r="P13" s="131"/>
      <c r="Q13" s="175"/>
      <c r="R13" s="133"/>
      <c r="S13" s="133"/>
      <c r="T13" s="133"/>
      <c r="U13" s="133"/>
      <c r="V13" s="132"/>
      <c r="W13" s="133"/>
      <c r="X13" s="133"/>
      <c r="Y13" s="133"/>
      <c r="Z13" s="132"/>
      <c r="AA13" s="133"/>
      <c r="AB13" s="133"/>
      <c r="AC13" s="176"/>
      <c r="AD13" s="177">
        <v>235</v>
      </c>
      <c r="AE13" s="177">
        <v>355</v>
      </c>
      <c r="AF13" s="177">
        <v>460</v>
      </c>
      <c r="AG13" s="177">
        <v>235</v>
      </c>
      <c r="AH13" s="177">
        <v>355</v>
      </c>
      <c r="AI13" s="178">
        <v>460</v>
      </c>
      <c r="AJ13" s="66" t="s">
        <v>578</v>
      </c>
    </row>
    <row r="14" spans="1:36" s="174" customFormat="1" ht="13.5" customHeight="1" thickTop="1">
      <c r="A14" s="69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29"/>
      <c r="M14" s="18"/>
      <c r="N14" s="18"/>
      <c r="O14" s="18"/>
      <c r="P14" s="69"/>
      <c r="Q14" s="129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17"/>
      <c r="AE14" s="117"/>
      <c r="AF14" s="117"/>
      <c r="AG14" s="117"/>
      <c r="AH14" s="117"/>
      <c r="AI14" s="117"/>
      <c r="AJ14" s="66" t="s">
        <v>614</v>
      </c>
    </row>
    <row r="15" spans="1:36" s="480" customFormat="1" ht="13.5" customHeight="1">
      <c r="A15" s="404" t="s">
        <v>886</v>
      </c>
      <c r="B15" s="405">
        <v>42.5</v>
      </c>
      <c r="C15" s="398">
        <v>200</v>
      </c>
      <c r="D15" s="398">
        <v>205</v>
      </c>
      <c r="E15" s="398">
        <v>9</v>
      </c>
      <c r="F15" s="398">
        <v>9</v>
      </c>
      <c r="G15" s="399">
        <v>10</v>
      </c>
      <c r="H15" s="407">
        <v>54.14</v>
      </c>
      <c r="I15" s="408">
        <v>182</v>
      </c>
      <c r="J15" s="408">
        <v>162</v>
      </c>
      <c r="K15" s="398" t="s">
        <v>656</v>
      </c>
      <c r="L15" s="408">
        <v>96</v>
      </c>
      <c r="M15" s="409">
        <v>112</v>
      </c>
      <c r="N15" s="411">
        <v>1.18</v>
      </c>
      <c r="O15" s="411">
        <v>27.88</v>
      </c>
      <c r="P15" s="404" t="s">
        <v>1334</v>
      </c>
      <c r="Q15" s="409">
        <v>29</v>
      </c>
      <c r="R15" s="408">
        <v>3888</v>
      </c>
      <c r="S15" s="406">
        <v>388.8</v>
      </c>
      <c r="T15" s="406">
        <v>434.5</v>
      </c>
      <c r="U15" s="411">
        <v>8.4700000000000006</v>
      </c>
      <c r="V15" s="407">
        <v>19.850000000000001</v>
      </c>
      <c r="W15" s="408">
        <v>1294</v>
      </c>
      <c r="X15" s="406">
        <v>126.2</v>
      </c>
      <c r="Y15" s="406">
        <v>193.4</v>
      </c>
      <c r="Z15" s="407">
        <v>4.8899999999999997</v>
      </c>
      <c r="AA15" s="411">
        <v>38.72</v>
      </c>
      <c r="AB15" s="396">
        <v>17.68</v>
      </c>
      <c r="AC15" s="414">
        <v>117.9</v>
      </c>
      <c r="AD15" s="398">
        <v>3</v>
      </c>
      <c r="AE15" s="398">
        <v>3</v>
      </c>
      <c r="AF15" s="399" t="s">
        <v>616</v>
      </c>
      <c r="AG15" s="398">
        <v>3</v>
      </c>
      <c r="AH15" s="398">
        <v>3</v>
      </c>
      <c r="AI15" s="400" t="s">
        <v>616</v>
      </c>
      <c r="AJ15" s="398"/>
    </row>
    <row r="16" spans="1:36" s="174" customFormat="1" ht="13.5" customHeight="1">
      <c r="A16" s="33" t="s">
        <v>887</v>
      </c>
      <c r="B16" s="51">
        <v>53.5</v>
      </c>
      <c r="C16" s="21">
        <v>204</v>
      </c>
      <c r="D16" s="21">
        <v>207</v>
      </c>
      <c r="E16" s="21">
        <v>11.3</v>
      </c>
      <c r="F16" s="21">
        <v>11.3</v>
      </c>
      <c r="G16" s="43">
        <v>10</v>
      </c>
      <c r="H16" s="41">
        <v>68.14</v>
      </c>
      <c r="I16" s="35">
        <v>181</v>
      </c>
      <c r="J16" s="35">
        <v>161</v>
      </c>
      <c r="K16" s="21" t="s">
        <v>656</v>
      </c>
      <c r="L16" s="35">
        <v>98</v>
      </c>
      <c r="M16" s="38">
        <v>114</v>
      </c>
      <c r="N16" s="40">
        <v>1.2</v>
      </c>
      <c r="O16" s="40">
        <v>22.36</v>
      </c>
      <c r="P16" s="33" t="s">
        <v>1335</v>
      </c>
      <c r="Q16" s="38">
        <v>36</v>
      </c>
      <c r="R16" s="35">
        <v>4977</v>
      </c>
      <c r="S16" s="36">
        <v>488</v>
      </c>
      <c r="T16" s="36">
        <v>551.29999999999995</v>
      </c>
      <c r="U16" s="40">
        <v>8.5500000000000007</v>
      </c>
      <c r="V16" s="41">
        <v>24.89</v>
      </c>
      <c r="W16" s="35">
        <v>1673</v>
      </c>
      <c r="X16" s="36">
        <v>161.69999999999999</v>
      </c>
      <c r="Y16" s="36">
        <v>248.6</v>
      </c>
      <c r="Z16" s="41">
        <v>4.96</v>
      </c>
      <c r="AA16" s="40">
        <v>45.62</v>
      </c>
      <c r="AB16" s="89">
        <v>34.200000000000003</v>
      </c>
      <c r="AC16" s="158">
        <v>155.1</v>
      </c>
      <c r="AD16" s="21">
        <v>1</v>
      </c>
      <c r="AE16" s="21">
        <v>3</v>
      </c>
      <c r="AF16" s="43" t="s">
        <v>616</v>
      </c>
      <c r="AG16" s="21">
        <v>1</v>
      </c>
      <c r="AH16" s="21">
        <v>3</v>
      </c>
      <c r="AI16" s="42" t="s">
        <v>616</v>
      </c>
      <c r="AJ16" s="21"/>
    </row>
    <row r="17" spans="1:36" s="174" customFormat="1" ht="13.5" customHeight="1">
      <c r="A17" s="33"/>
      <c r="B17" s="51"/>
      <c r="C17" s="21"/>
      <c r="D17" s="21"/>
      <c r="E17" s="21"/>
      <c r="F17" s="21"/>
      <c r="G17" s="43"/>
      <c r="H17" s="51"/>
      <c r="I17" s="35"/>
      <c r="J17" s="35"/>
      <c r="K17" s="21"/>
      <c r="L17" s="35"/>
      <c r="M17" s="38"/>
      <c r="N17" s="40"/>
      <c r="O17" s="40"/>
      <c r="P17" s="33"/>
      <c r="Q17" s="38"/>
      <c r="R17" s="35"/>
      <c r="S17" s="36"/>
      <c r="T17" s="36"/>
      <c r="U17" s="40"/>
      <c r="V17" s="41"/>
      <c r="W17" s="35"/>
      <c r="X17" s="36"/>
      <c r="Y17" s="36"/>
      <c r="Z17" s="41"/>
      <c r="AA17" s="40"/>
      <c r="AB17" s="83"/>
      <c r="AC17" s="158"/>
      <c r="AD17" s="21"/>
      <c r="AE17" s="21"/>
      <c r="AF17" s="43"/>
      <c r="AG17" s="21"/>
      <c r="AH17" s="21"/>
      <c r="AI17" s="42"/>
      <c r="AJ17" s="21"/>
    </row>
    <row r="18" spans="1:36" s="443" customFormat="1" ht="13.5" customHeight="1">
      <c r="A18" s="404" t="s">
        <v>1336</v>
      </c>
      <c r="B18" s="405">
        <v>62.7</v>
      </c>
      <c r="C18" s="398">
        <v>246</v>
      </c>
      <c r="D18" s="398">
        <v>256</v>
      </c>
      <c r="E18" s="398">
        <v>10.5</v>
      </c>
      <c r="F18" s="398">
        <v>10.7</v>
      </c>
      <c r="G18" s="399">
        <v>13</v>
      </c>
      <c r="H18" s="407">
        <v>79.819999999999993</v>
      </c>
      <c r="I18" s="408">
        <v>225</v>
      </c>
      <c r="J18" s="408">
        <v>199</v>
      </c>
      <c r="K18" s="398" t="s">
        <v>667</v>
      </c>
      <c r="L18" s="408">
        <v>104</v>
      </c>
      <c r="M18" s="409">
        <v>150</v>
      </c>
      <c r="N18" s="411">
        <v>1.47</v>
      </c>
      <c r="O18" s="411">
        <v>23.5</v>
      </c>
      <c r="P18" s="404" t="s">
        <v>1337</v>
      </c>
      <c r="Q18" s="409">
        <v>42</v>
      </c>
      <c r="R18" s="408">
        <v>8753</v>
      </c>
      <c r="S18" s="406">
        <v>711.6</v>
      </c>
      <c r="T18" s="406">
        <v>792.8</v>
      </c>
      <c r="U18" s="411">
        <v>10.47</v>
      </c>
      <c r="V18" s="407">
        <v>28.94</v>
      </c>
      <c r="W18" s="408">
        <v>2995</v>
      </c>
      <c r="X18" s="406">
        <v>234</v>
      </c>
      <c r="Y18" s="406">
        <v>358</v>
      </c>
      <c r="Z18" s="407">
        <v>6.13</v>
      </c>
      <c r="AA18" s="411">
        <v>47.13</v>
      </c>
      <c r="AB18" s="389">
        <v>37.020000000000003</v>
      </c>
      <c r="AC18" s="414">
        <v>414.1</v>
      </c>
      <c r="AD18" s="398">
        <v>3</v>
      </c>
      <c r="AE18" s="398">
        <v>3</v>
      </c>
      <c r="AF18" s="399" t="s">
        <v>616</v>
      </c>
      <c r="AG18" s="398">
        <v>3</v>
      </c>
      <c r="AH18" s="398">
        <v>3</v>
      </c>
      <c r="AI18" s="400" t="s">
        <v>616</v>
      </c>
      <c r="AJ18" s="398"/>
    </row>
    <row r="19" spans="1:36" s="46" customFormat="1" ht="13.5" customHeight="1">
      <c r="A19" s="33" t="s">
        <v>1338</v>
      </c>
      <c r="B19" s="51">
        <v>85.4</v>
      </c>
      <c r="C19" s="21">
        <v>254</v>
      </c>
      <c r="D19" s="21">
        <v>260</v>
      </c>
      <c r="E19" s="21">
        <v>14.4</v>
      </c>
      <c r="F19" s="21">
        <v>14.4</v>
      </c>
      <c r="G19" s="43">
        <v>13</v>
      </c>
      <c r="H19" s="51">
        <v>108.8</v>
      </c>
      <c r="I19" s="35">
        <v>225</v>
      </c>
      <c r="J19" s="35">
        <v>199</v>
      </c>
      <c r="K19" s="21" t="s">
        <v>667</v>
      </c>
      <c r="L19" s="35">
        <v>108</v>
      </c>
      <c r="M19" s="38">
        <v>154</v>
      </c>
      <c r="N19" s="40">
        <v>1.5</v>
      </c>
      <c r="O19" s="40">
        <v>17.53</v>
      </c>
      <c r="P19" s="33" t="s">
        <v>1339</v>
      </c>
      <c r="Q19" s="38">
        <v>57</v>
      </c>
      <c r="R19" s="35">
        <v>12305</v>
      </c>
      <c r="S19" s="36">
        <v>968.9</v>
      </c>
      <c r="T19" s="35">
        <v>1096</v>
      </c>
      <c r="U19" s="40">
        <v>10.64</v>
      </c>
      <c r="V19" s="41">
        <v>39.700000000000003</v>
      </c>
      <c r="W19" s="35">
        <v>4225</v>
      </c>
      <c r="X19" s="36">
        <v>325</v>
      </c>
      <c r="Y19" s="36">
        <v>499.9</v>
      </c>
      <c r="Z19" s="41">
        <v>6.23</v>
      </c>
      <c r="AA19" s="40">
        <v>58.43</v>
      </c>
      <c r="AB19" s="83">
        <v>89.32</v>
      </c>
      <c r="AC19" s="158">
        <v>605.4</v>
      </c>
      <c r="AD19" s="21">
        <v>1</v>
      </c>
      <c r="AE19" s="21">
        <v>3</v>
      </c>
      <c r="AF19" s="43" t="s">
        <v>616</v>
      </c>
      <c r="AG19" s="21">
        <v>1</v>
      </c>
      <c r="AH19" s="21">
        <v>3</v>
      </c>
      <c r="AI19" s="42" t="s">
        <v>616</v>
      </c>
      <c r="AJ19" s="21"/>
    </row>
    <row r="20" spans="1:36" s="46" customFormat="1" ht="13.5" customHeight="1">
      <c r="A20" s="33"/>
      <c r="B20" s="51"/>
      <c r="C20" s="21"/>
      <c r="D20" s="21"/>
      <c r="E20" s="21"/>
      <c r="F20" s="21"/>
      <c r="G20" s="43"/>
      <c r="H20" s="41"/>
      <c r="I20" s="35"/>
      <c r="J20" s="35"/>
      <c r="K20" s="21"/>
      <c r="L20" s="35"/>
      <c r="M20" s="38"/>
      <c r="N20" s="40"/>
      <c r="O20" s="40"/>
      <c r="P20" s="33"/>
      <c r="Q20" s="38"/>
      <c r="R20" s="35"/>
      <c r="S20" s="179"/>
      <c r="T20" s="36"/>
      <c r="U20" s="40"/>
      <c r="V20" s="41"/>
      <c r="W20" s="35"/>
      <c r="X20" s="36"/>
      <c r="Y20" s="36"/>
      <c r="Z20" s="41"/>
      <c r="AA20" s="40"/>
      <c r="AB20" s="83"/>
      <c r="AC20" s="158"/>
      <c r="AD20" s="21"/>
      <c r="AE20" s="21"/>
      <c r="AF20" s="43"/>
      <c r="AG20" s="21"/>
      <c r="AH20" s="21"/>
      <c r="AI20" s="42"/>
      <c r="AJ20" s="21"/>
    </row>
    <row r="21" spans="1:36" s="443" customFormat="1" ht="13.5" customHeight="1">
      <c r="A21" s="404" t="s">
        <v>1340</v>
      </c>
      <c r="B21" s="405">
        <v>78.3</v>
      </c>
      <c r="C21" s="398">
        <v>299</v>
      </c>
      <c r="D21" s="398">
        <v>306</v>
      </c>
      <c r="E21" s="398">
        <v>11</v>
      </c>
      <c r="F21" s="398">
        <v>11</v>
      </c>
      <c r="G21" s="399">
        <v>15</v>
      </c>
      <c r="H21" s="407">
        <v>99.72</v>
      </c>
      <c r="I21" s="408">
        <v>277</v>
      </c>
      <c r="J21" s="408">
        <v>247</v>
      </c>
      <c r="K21" s="398" t="s">
        <v>667</v>
      </c>
      <c r="L21" s="408">
        <v>104</v>
      </c>
      <c r="M21" s="409">
        <v>200</v>
      </c>
      <c r="N21" s="411">
        <v>1.77</v>
      </c>
      <c r="O21" s="411">
        <v>22.67</v>
      </c>
      <c r="P21" s="404" t="s">
        <v>1341</v>
      </c>
      <c r="Q21" s="409">
        <v>53</v>
      </c>
      <c r="R21" s="408">
        <v>16270</v>
      </c>
      <c r="S21" s="408">
        <v>1088</v>
      </c>
      <c r="T21" s="408">
        <v>1207</v>
      </c>
      <c r="U21" s="411">
        <v>12.77</v>
      </c>
      <c r="V21" s="407">
        <v>36.909999999999997</v>
      </c>
      <c r="W21" s="408">
        <v>5258</v>
      </c>
      <c r="X21" s="406">
        <v>343.6</v>
      </c>
      <c r="Y21" s="406">
        <v>525.1</v>
      </c>
      <c r="Z21" s="407">
        <v>7.26</v>
      </c>
      <c r="AA21" s="411">
        <v>50.57</v>
      </c>
      <c r="AB21" s="389">
        <v>50.3</v>
      </c>
      <c r="AC21" s="414">
        <v>1089</v>
      </c>
      <c r="AD21" s="398">
        <v>3</v>
      </c>
      <c r="AE21" s="398">
        <v>4</v>
      </c>
      <c r="AF21" s="399" t="s">
        <v>616</v>
      </c>
      <c r="AG21" s="398">
        <v>3</v>
      </c>
      <c r="AH21" s="398">
        <v>4</v>
      </c>
      <c r="AI21" s="400" t="s">
        <v>616</v>
      </c>
      <c r="AJ21" s="398"/>
    </row>
    <row r="22" spans="1:36" s="46" customFormat="1" ht="13.5" customHeight="1">
      <c r="A22" s="33" t="s">
        <v>1342</v>
      </c>
      <c r="B22" s="51">
        <v>93.3</v>
      </c>
      <c r="C22" s="21">
        <v>303</v>
      </c>
      <c r="D22" s="21">
        <v>308</v>
      </c>
      <c r="E22" s="21">
        <v>13.1</v>
      </c>
      <c r="F22" s="21">
        <v>13.1</v>
      </c>
      <c r="G22" s="43">
        <v>15</v>
      </c>
      <c r="H22" s="51">
        <v>118.9</v>
      </c>
      <c r="I22" s="35">
        <v>277</v>
      </c>
      <c r="J22" s="35">
        <v>247</v>
      </c>
      <c r="K22" s="21" t="s">
        <v>667</v>
      </c>
      <c r="L22" s="35">
        <v>106</v>
      </c>
      <c r="M22" s="38">
        <v>202</v>
      </c>
      <c r="N22" s="40">
        <v>1.79</v>
      </c>
      <c r="O22" s="40">
        <v>19.14</v>
      </c>
      <c r="P22" s="33" t="s">
        <v>1343</v>
      </c>
      <c r="Q22" s="38">
        <v>63</v>
      </c>
      <c r="R22" s="35">
        <v>19630</v>
      </c>
      <c r="S22" s="180">
        <v>1296</v>
      </c>
      <c r="T22" s="35">
        <v>1447</v>
      </c>
      <c r="U22" s="40">
        <v>12.85</v>
      </c>
      <c r="V22" s="41">
        <v>43.84</v>
      </c>
      <c r="W22" s="35">
        <v>6387</v>
      </c>
      <c r="X22" s="36">
        <v>414.7</v>
      </c>
      <c r="Y22" s="36">
        <v>635.1</v>
      </c>
      <c r="Z22" s="41">
        <v>7.33</v>
      </c>
      <c r="AA22" s="40">
        <v>56.87</v>
      </c>
      <c r="AB22" s="89">
        <v>82.53</v>
      </c>
      <c r="AC22" s="158">
        <v>1340</v>
      </c>
      <c r="AD22" s="21">
        <v>3</v>
      </c>
      <c r="AE22" s="21">
        <v>3</v>
      </c>
      <c r="AF22" s="43" t="s">
        <v>616</v>
      </c>
      <c r="AG22" s="21">
        <v>3</v>
      </c>
      <c r="AH22" s="21">
        <v>3</v>
      </c>
      <c r="AI22" s="42" t="s">
        <v>616</v>
      </c>
      <c r="AJ22" s="21"/>
    </row>
    <row r="23" spans="1:36" s="443" customFormat="1" ht="13.5" customHeight="1">
      <c r="A23" s="404" t="s">
        <v>1344</v>
      </c>
      <c r="B23" s="409">
        <v>110</v>
      </c>
      <c r="C23" s="398">
        <v>308</v>
      </c>
      <c r="D23" s="398">
        <v>310</v>
      </c>
      <c r="E23" s="398">
        <v>15.4</v>
      </c>
      <c r="F23" s="398">
        <v>15.5</v>
      </c>
      <c r="G23" s="399">
        <v>15</v>
      </c>
      <c r="H23" s="405">
        <v>140.69999999999999</v>
      </c>
      <c r="I23" s="408">
        <v>277</v>
      </c>
      <c r="J23" s="408">
        <v>247</v>
      </c>
      <c r="K23" s="398" t="s">
        <v>667</v>
      </c>
      <c r="L23" s="408">
        <v>108</v>
      </c>
      <c r="M23" s="409">
        <v>204</v>
      </c>
      <c r="N23" s="411">
        <v>1.8</v>
      </c>
      <c r="O23" s="411">
        <v>16.29</v>
      </c>
      <c r="P23" s="404" t="s">
        <v>1345</v>
      </c>
      <c r="Q23" s="409">
        <v>74</v>
      </c>
      <c r="R23" s="408">
        <v>23660</v>
      </c>
      <c r="S23" s="481">
        <v>1536</v>
      </c>
      <c r="T23" s="408">
        <v>1727</v>
      </c>
      <c r="U23" s="411">
        <v>12.97</v>
      </c>
      <c r="V23" s="407">
        <v>51.63</v>
      </c>
      <c r="W23" s="408">
        <v>7707</v>
      </c>
      <c r="X23" s="406">
        <v>497.2</v>
      </c>
      <c r="Y23" s="406">
        <v>763.3</v>
      </c>
      <c r="Z23" s="407">
        <v>7.4</v>
      </c>
      <c r="AA23" s="411">
        <v>63.97</v>
      </c>
      <c r="AB23" s="389">
        <v>133.1</v>
      </c>
      <c r="AC23" s="414">
        <v>1646</v>
      </c>
      <c r="AD23" s="398">
        <v>1</v>
      </c>
      <c r="AE23" s="398">
        <v>3</v>
      </c>
      <c r="AF23" s="399">
        <v>3</v>
      </c>
      <c r="AG23" s="398">
        <v>1</v>
      </c>
      <c r="AH23" s="398">
        <v>3</v>
      </c>
      <c r="AI23" s="400">
        <v>3</v>
      </c>
      <c r="AJ23" s="398" t="s">
        <v>661</v>
      </c>
    </row>
    <row r="24" spans="1:36" s="46" customFormat="1" ht="13.5" customHeight="1">
      <c r="A24" s="33" t="s">
        <v>1346</v>
      </c>
      <c r="B24" s="38">
        <v>125</v>
      </c>
      <c r="C24" s="21">
        <v>312</v>
      </c>
      <c r="D24" s="21">
        <v>312</v>
      </c>
      <c r="E24" s="21">
        <v>17.399999999999999</v>
      </c>
      <c r="F24" s="21">
        <v>17.399999999999999</v>
      </c>
      <c r="G24" s="43">
        <v>15</v>
      </c>
      <c r="H24" s="51">
        <v>158.69999999999999</v>
      </c>
      <c r="I24" s="35">
        <v>277</v>
      </c>
      <c r="J24" s="35">
        <v>247</v>
      </c>
      <c r="K24" s="21" t="s">
        <v>667</v>
      </c>
      <c r="L24" s="35">
        <v>110</v>
      </c>
      <c r="M24" s="38">
        <v>206</v>
      </c>
      <c r="N24" s="40">
        <v>1.81</v>
      </c>
      <c r="O24" s="40">
        <v>14.54</v>
      </c>
      <c r="P24" s="33" t="s">
        <v>1347</v>
      </c>
      <c r="Q24" s="38">
        <v>84</v>
      </c>
      <c r="R24" s="35">
        <v>27030</v>
      </c>
      <c r="S24" s="180">
        <v>1733</v>
      </c>
      <c r="T24" s="35">
        <v>1960</v>
      </c>
      <c r="U24" s="40">
        <v>13.05</v>
      </c>
      <c r="V24" s="41">
        <v>58.41</v>
      </c>
      <c r="W24" s="35">
        <v>8823</v>
      </c>
      <c r="X24" s="36">
        <v>565.6</v>
      </c>
      <c r="Y24" s="36">
        <v>870.2</v>
      </c>
      <c r="Z24" s="41">
        <v>7.46</v>
      </c>
      <c r="AA24" s="40">
        <v>69.77</v>
      </c>
      <c r="AB24" s="83">
        <v>188.2</v>
      </c>
      <c r="AC24" s="158">
        <v>1911</v>
      </c>
      <c r="AD24" s="21">
        <v>1</v>
      </c>
      <c r="AE24" s="21">
        <v>3</v>
      </c>
      <c r="AF24" s="43">
        <v>3</v>
      </c>
      <c r="AG24" s="21">
        <v>1</v>
      </c>
      <c r="AH24" s="21">
        <v>3</v>
      </c>
      <c r="AI24" s="42">
        <v>3</v>
      </c>
      <c r="AJ24" s="21" t="s">
        <v>661</v>
      </c>
    </row>
    <row r="25" spans="1:36" s="443" customFormat="1" ht="13.5" customHeight="1">
      <c r="A25" s="404" t="s">
        <v>1348</v>
      </c>
      <c r="B25" s="409">
        <v>132</v>
      </c>
      <c r="C25" s="398">
        <v>314</v>
      </c>
      <c r="D25" s="398">
        <v>313</v>
      </c>
      <c r="E25" s="398">
        <v>18.3</v>
      </c>
      <c r="F25" s="398">
        <v>18.3</v>
      </c>
      <c r="G25" s="399">
        <v>15</v>
      </c>
      <c r="H25" s="405">
        <v>167.3</v>
      </c>
      <c r="I25" s="408">
        <v>277</v>
      </c>
      <c r="J25" s="408">
        <v>247</v>
      </c>
      <c r="K25" s="398" t="s">
        <v>667</v>
      </c>
      <c r="L25" s="408">
        <v>112</v>
      </c>
      <c r="M25" s="409">
        <v>208</v>
      </c>
      <c r="N25" s="411">
        <v>1.82</v>
      </c>
      <c r="O25" s="411">
        <v>13.84</v>
      </c>
      <c r="P25" s="404" t="s">
        <v>1349</v>
      </c>
      <c r="Q25" s="409">
        <v>89</v>
      </c>
      <c r="R25" s="408">
        <v>28680</v>
      </c>
      <c r="S25" s="481">
        <v>1827</v>
      </c>
      <c r="T25" s="408">
        <v>2072</v>
      </c>
      <c r="U25" s="411">
        <v>13.1</v>
      </c>
      <c r="V25" s="407">
        <v>61.53</v>
      </c>
      <c r="W25" s="408">
        <v>9370</v>
      </c>
      <c r="X25" s="406">
        <v>598.70000000000005</v>
      </c>
      <c r="Y25" s="406">
        <v>922.1</v>
      </c>
      <c r="Z25" s="407">
        <v>7.48</v>
      </c>
      <c r="AA25" s="411">
        <v>72.47</v>
      </c>
      <c r="AB25" s="389">
        <v>218.5</v>
      </c>
      <c r="AC25" s="414">
        <v>2044</v>
      </c>
      <c r="AD25" s="398">
        <v>1</v>
      </c>
      <c r="AE25" s="398">
        <v>2</v>
      </c>
      <c r="AF25" s="399">
        <v>3</v>
      </c>
      <c r="AG25" s="398">
        <v>1</v>
      </c>
      <c r="AH25" s="398">
        <v>2</v>
      </c>
      <c r="AI25" s="400">
        <v>3</v>
      </c>
      <c r="AJ25" s="398" t="s">
        <v>661</v>
      </c>
    </row>
    <row r="26" spans="1:36" s="46" customFormat="1" ht="13.5" customHeight="1">
      <c r="A26" s="33"/>
      <c r="B26" s="38"/>
      <c r="C26" s="21"/>
      <c r="D26" s="21"/>
      <c r="E26" s="21"/>
      <c r="F26" s="21"/>
      <c r="G26" s="43"/>
      <c r="H26" s="51"/>
      <c r="I26" s="35"/>
      <c r="J26" s="35"/>
      <c r="K26" s="21"/>
      <c r="L26" s="35"/>
      <c r="M26" s="38"/>
      <c r="N26" s="40"/>
      <c r="O26" s="40"/>
      <c r="P26" s="33"/>
      <c r="Q26" s="38"/>
      <c r="R26" s="35"/>
      <c r="S26" s="180"/>
      <c r="T26" s="35"/>
      <c r="U26" s="40"/>
      <c r="V26" s="41"/>
      <c r="W26" s="35"/>
      <c r="X26" s="36"/>
      <c r="Y26" s="36"/>
      <c r="Z26" s="41"/>
      <c r="AA26" s="40"/>
      <c r="AB26" s="83"/>
      <c r="AC26" s="158"/>
      <c r="AD26" s="21"/>
      <c r="AE26" s="21"/>
      <c r="AF26" s="43"/>
      <c r="AG26" s="21"/>
      <c r="AH26" s="21"/>
      <c r="AI26" s="42"/>
      <c r="AJ26" s="21"/>
    </row>
    <row r="27" spans="1:36" s="443" customFormat="1" ht="13.5" customHeight="1">
      <c r="A27" s="404" t="s">
        <v>1350</v>
      </c>
      <c r="B27" s="409">
        <v>108</v>
      </c>
      <c r="C27" s="398">
        <v>346</v>
      </c>
      <c r="D27" s="398">
        <v>370</v>
      </c>
      <c r="E27" s="398">
        <v>12.8</v>
      </c>
      <c r="F27" s="398">
        <v>12.8</v>
      </c>
      <c r="G27" s="399">
        <v>15</v>
      </c>
      <c r="H27" s="405">
        <v>137.69999999999999</v>
      </c>
      <c r="I27" s="408">
        <v>320</v>
      </c>
      <c r="J27" s="408">
        <v>290</v>
      </c>
      <c r="K27" s="398" t="s">
        <v>667</v>
      </c>
      <c r="L27" s="408">
        <v>102</v>
      </c>
      <c r="M27" s="409">
        <v>264</v>
      </c>
      <c r="N27" s="411">
        <v>2.12</v>
      </c>
      <c r="O27" s="411">
        <v>19.62</v>
      </c>
      <c r="P27" s="404" t="s">
        <v>1351</v>
      </c>
      <c r="Q27" s="409">
        <v>73</v>
      </c>
      <c r="R27" s="408">
        <v>30290</v>
      </c>
      <c r="S27" s="481">
        <v>1751</v>
      </c>
      <c r="T27" s="408">
        <v>1937</v>
      </c>
      <c r="U27" s="411">
        <v>14.83</v>
      </c>
      <c r="V27" s="407">
        <v>48.42</v>
      </c>
      <c r="W27" s="408">
        <v>10810</v>
      </c>
      <c r="X27" s="406">
        <v>584.5</v>
      </c>
      <c r="Y27" s="406">
        <v>891.2</v>
      </c>
      <c r="Z27" s="407">
        <v>8.86</v>
      </c>
      <c r="AA27" s="411">
        <v>55.97</v>
      </c>
      <c r="AB27" s="389">
        <v>88.99</v>
      </c>
      <c r="AC27" s="414">
        <v>2999</v>
      </c>
      <c r="AD27" s="398">
        <v>3</v>
      </c>
      <c r="AE27" s="398">
        <v>4</v>
      </c>
      <c r="AF27" s="399" t="s">
        <v>616</v>
      </c>
      <c r="AG27" s="398">
        <v>3</v>
      </c>
      <c r="AH27" s="398">
        <v>4</v>
      </c>
      <c r="AI27" s="400" t="s">
        <v>616</v>
      </c>
      <c r="AJ27" s="398"/>
    </row>
    <row r="28" spans="1:36" s="46" customFormat="1" ht="13.5" customHeight="1">
      <c r="A28" s="33" t="s">
        <v>1352</v>
      </c>
      <c r="B28" s="38">
        <v>132</v>
      </c>
      <c r="C28" s="21">
        <v>351</v>
      </c>
      <c r="D28" s="21">
        <v>373</v>
      </c>
      <c r="E28" s="21">
        <v>15.6</v>
      </c>
      <c r="F28" s="21">
        <v>15.6</v>
      </c>
      <c r="G28" s="43">
        <v>15</v>
      </c>
      <c r="H28" s="51">
        <v>168.2</v>
      </c>
      <c r="I28" s="35">
        <v>320</v>
      </c>
      <c r="J28" s="35">
        <v>290</v>
      </c>
      <c r="K28" s="21" t="s">
        <v>667</v>
      </c>
      <c r="L28" s="35">
        <v>104</v>
      </c>
      <c r="M28" s="38">
        <v>268</v>
      </c>
      <c r="N28" s="40">
        <v>2.14</v>
      </c>
      <c r="O28" s="40">
        <v>16.190000000000001</v>
      </c>
      <c r="P28" s="33" t="s">
        <v>1353</v>
      </c>
      <c r="Q28" s="38">
        <v>89</v>
      </c>
      <c r="R28" s="35">
        <v>37480</v>
      </c>
      <c r="S28" s="180">
        <v>2135</v>
      </c>
      <c r="T28" s="35">
        <v>2381</v>
      </c>
      <c r="U28" s="40">
        <v>14.93</v>
      </c>
      <c r="V28" s="41">
        <v>58.93</v>
      </c>
      <c r="W28" s="35">
        <v>13510</v>
      </c>
      <c r="X28" s="36">
        <v>724.2</v>
      </c>
      <c r="Y28" s="35">
        <v>1107</v>
      </c>
      <c r="Z28" s="41">
        <v>8.9600000000000009</v>
      </c>
      <c r="AA28" s="40">
        <v>64.37</v>
      </c>
      <c r="AB28" s="83">
        <v>158</v>
      </c>
      <c r="AC28" s="158">
        <v>3795</v>
      </c>
      <c r="AD28" s="21">
        <v>3</v>
      </c>
      <c r="AE28" s="21">
        <v>3</v>
      </c>
      <c r="AF28" s="43">
        <v>4</v>
      </c>
      <c r="AG28" s="21">
        <v>3</v>
      </c>
      <c r="AH28" s="21">
        <v>3</v>
      </c>
      <c r="AI28" s="42">
        <v>4</v>
      </c>
      <c r="AJ28" s="21" t="s">
        <v>661</v>
      </c>
    </row>
    <row r="29" spans="1:36" s="443" customFormat="1" ht="13.5" customHeight="1">
      <c r="A29" s="404" t="s">
        <v>908</v>
      </c>
      <c r="B29" s="409">
        <v>152</v>
      </c>
      <c r="C29" s="398">
        <v>356</v>
      </c>
      <c r="D29" s="398">
        <v>376</v>
      </c>
      <c r="E29" s="398">
        <v>17.899999999999999</v>
      </c>
      <c r="F29" s="398">
        <v>17.899999999999999</v>
      </c>
      <c r="G29" s="399">
        <v>15</v>
      </c>
      <c r="H29" s="405">
        <v>193.9</v>
      </c>
      <c r="I29" s="408">
        <v>320</v>
      </c>
      <c r="J29" s="408">
        <v>290</v>
      </c>
      <c r="K29" s="398" t="s">
        <v>667</v>
      </c>
      <c r="L29" s="408">
        <v>106</v>
      </c>
      <c r="M29" s="409">
        <v>270</v>
      </c>
      <c r="N29" s="411">
        <v>2.15</v>
      </c>
      <c r="O29" s="411">
        <v>14.16</v>
      </c>
      <c r="P29" s="404" t="s">
        <v>1354</v>
      </c>
      <c r="Q29" s="409">
        <v>102</v>
      </c>
      <c r="R29" s="408">
        <v>43880</v>
      </c>
      <c r="S29" s="481">
        <v>2465</v>
      </c>
      <c r="T29" s="408">
        <v>2765</v>
      </c>
      <c r="U29" s="411">
        <v>15.04</v>
      </c>
      <c r="V29" s="407">
        <v>67.819999999999993</v>
      </c>
      <c r="W29" s="408">
        <v>15880</v>
      </c>
      <c r="X29" s="406">
        <v>844.5</v>
      </c>
      <c r="Y29" s="408">
        <v>1293</v>
      </c>
      <c r="Z29" s="407">
        <v>9.0500000000000007</v>
      </c>
      <c r="AA29" s="411">
        <v>71.27</v>
      </c>
      <c r="AB29" s="389">
        <v>237.1</v>
      </c>
      <c r="AC29" s="414">
        <v>4532</v>
      </c>
      <c r="AD29" s="398">
        <v>2</v>
      </c>
      <c r="AE29" s="398">
        <v>3</v>
      </c>
      <c r="AF29" s="399">
        <v>3</v>
      </c>
      <c r="AG29" s="398">
        <v>2</v>
      </c>
      <c r="AH29" s="398">
        <v>3</v>
      </c>
      <c r="AI29" s="400">
        <v>3</v>
      </c>
      <c r="AJ29" s="398" t="s">
        <v>661</v>
      </c>
    </row>
    <row r="30" spans="1:36" s="46" customFormat="1" ht="13.5" customHeight="1">
      <c r="A30" s="33" t="s">
        <v>909</v>
      </c>
      <c r="B30" s="38">
        <v>174</v>
      </c>
      <c r="C30" s="21">
        <v>361</v>
      </c>
      <c r="D30" s="21">
        <v>378</v>
      </c>
      <c r="E30" s="21">
        <v>20.399999999999999</v>
      </c>
      <c r="F30" s="21">
        <v>20.399999999999999</v>
      </c>
      <c r="G30" s="43">
        <v>15</v>
      </c>
      <c r="H30" s="51">
        <v>221.5</v>
      </c>
      <c r="I30" s="35">
        <v>320</v>
      </c>
      <c r="J30" s="35">
        <v>290</v>
      </c>
      <c r="K30" s="21" t="s">
        <v>667</v>
      </c>
      <c r="L30" s="35">
        <v>110</v>
      </c>
      <c r="M30" s="38">
        <v>272</v>
      </c>
      <c r="N30" s="40">
        <v>2.17</v>
      </c>
      <c r="O30" s="40">
        <v>12.47</v>
      </c>
      <c r="P30" s="33" t="s">
        <v>1355</v>
      </c>
      <c r="Q30" s="38">
        <v>117</v>
      </c>
      <c r="R30" s="35">
        <v>50840</v>
      </c>
      <c r="S30" s="180">
        <v>2816</v>
      </c>
      <c r="T30" s="35">
        <v>3180</v>
      </c>
      <c r="U30" s="40">
        <v>15.15</v>
      </c>
      <c r="V30" s="41">
        <v>77.53</v>
      </c>
      <c r="W30" s="35">
        <v>18390</v>
      </c>
      <c r="X30" s="36">
        <v>973</v>
      </c>
      <c r="Y30" s="35">
        <v>1493</v>
      </c>
      <c r="Z30" s="41">
        <v>9.11</v>
      </c>
      <c r="AA30" s="40">
        <v>78.77</v>
      </c>
      <c r="AB30" s="83">
        <v>349.1</v>
      </c>
      <c r="AC30" s="158">
        <v>5326</v>
      </c>
      <c r="AD30" s="21">
        <v>1</v>
      </c>
      <c r="AE30" s="21">
        <v>3</v>
      </c>
      <c r="AF30" s="43">
        <v>3</v>
      </c>
      <c r="AG30" s="21">
        <v>1</v>
      </c>
      <c r="AH30" s="21">
        <v>3</v>
      </c>
      <c r="AI30" s="42">
        <v>3</v>
      </c>
      <c r="AJ30" s="21" t="s">
        <v>661</v>
      </c>
    </row>
    <row r="31" spans="1:36" s="46" customFormat="1" ht="13.5" customHeight="1" thickBot="1">
      <c r="A31" s="81"/>
      <c r="B31" s="87"/>
      <c r="C31" s="83"/>
      <c r="D31" s="83"/>
      <c r="E31" s="83"/>
      <c r="F31" s="83"/>
      <c r="G31" s="90"/>
      <c r="H31" s="82"/>
      <c r="I31" s="84"/>
      <c r="J31" s="84"/>
      <c r="K31" s="83"/>
      <c r="L31" s="86"/>
      <c r="M31" s="87"/>
      <c r="N31" s="89"/>
      <c r="O31" s="89"/>
      <c r="P31" s="81"/>
      <c r="Q31" s="87"/>
      <c r="R31" s="86"/>
      <c r="S31" s="86"/>
      <c r="T31" s="86"/>
      <c r="U31" s="89"/>
      <c r="V31" s="91"/>
      <c r="W31" s="83"/>
      <c r="X31" s="84"/>
      <c r="Y31" s="84"/>
      <c r="Z31" s="91"/>
      <c r="AA31" s="89"/>
      <c r="AB31" s="181"/>
      <c r="AC31" s="182"/>
      <c r="AD31" s="183"/>
      <c r="AE31" s="183"/>
      <c r="AF31" s="184"/>
      <c r="AG31" s="183"/>
      <c r="AH31" s="183"/>
      <c r="AI31" s="185"/>
      <c r="AJ31" s="80"/>
    </row>
    <row r="32" spans="1:36" s="46" customFormat="1" ht="13.5" hidden="1" customHeight="1" thickTop="1">
      <c r="A32" s="186"/>
      <c r="B32" s="187"/>
      <c r="C32" s="187"/>
      <c r="D32" s="187"/>
      <c r="E32" s="187"/>
      <c r="F32" s="187"/>
      <c r="G32" s="187"/>
      <c r="H32" s="187"/>
      <c r="I32" s="187"/>
      <c r="J32" s="187"/>
      <c r="K32" s="187"/>
      <c r="L32" s="188"/>
      <c r="M32" s="187"/>
      <c r="N32" s="187"/>
      <c r="O32" s="187"/>
      <c r="P32" s="186"/>
      <c r="Q32" s="188"/>
      <c r="R32" s="187"/>
      <c r="S32" s="187"/>
      <c r="T32" s="187"/>
      <c r="U32" s="187"/>
      <c r="V32" s="187"/>
      <c r="W32" s="187"/>
      <c r="X32" s="187"/>
      <c r="Y32" s="187"/>
      <c r="Z32" s="187"/>
      <c r="AA32" s="187"/>
      <c r="AB32" s="187"/>
      <c r="AC32" s="187"/>
      <c r="AD32" s="189"/>
      <c r="AE32" s="189"/>
      <c r="AF32" s="189"/>
      <c r="AG32" s="189"/>
      <c r="AH32" s="189"/>
      <c r="AI32" s="189"/>
      <c r="AJ32" s="189"/>
    </row>
    <row r="33" spans="1:36" s="46" customFormat="1" ht="13.5" hidden="1" customHeight="1">
      <c r="A33" s="186"/>
      <c r="B33" s="187"/>
      <c r="C33" s="187"/>
      <c r="D33" s="187"/>
      <c r="E33" s="187"/>
      <c r="F33" s="187"/>
      <c r="G33" s="187"/>
      <c r="H33" s="187"/>
      <c r="I33" s="187"/>
      <c r="J33" s="187"/>
      <c r="K33" s="187"/>
      <c r="L33" s="188"/>
      <c r="M33" s="187"/>
      <c r="N33" s="187"/>
      <c r="O33" s="187"/>
      <c r="P33" s="186"/>
      <c r="Q33" s="188"/>
      <c r="R33" s="187"/>
      <c r="S33" s="190"/>
      <c r="T33" s="187"/>
      <c r="U33" s="187"/>
      <c r="V33" s="187"/>
      <c r="W33" s="187"/>
      <c r="X33" s="187"/>
      <c r="Y33" s="187"/>
      <c r="Z33" s="187"/>
      <c r="AA33" s="187"/>
      <c r="AB33" s="187"/>
      <c r="AC33" s="187"/>
      <c r="AD33" s="189"/>
      <c r="AE33" s="189"/>
      <c r="AF33" s="189"/>
      <c r="AG33" s="189"/>
      <c r="AH33" s="189"/>
      <c r="AI33" s="189"/>
      <c r="AJ33" s="189"/>
    </row>
    <row r="34" spans="1:36" s="80" customFormat="1" ht="13.5" hidden="1" customHeight="1">
      <c r="A34" s="186"/>
      <c r="B34" s="187"/>
      <c r="C34" s="187"/>
      <c r="D34" s="187"/>
      <c r="E34" s="187"/>
      <c r="F34" s="187"/>
      <c r="G34" s="187"/>
      <c r="H34" s="187"/>
      <c r="I34" s="187"/>
      <c r="J34" s="187"/>
      <c r="K34" s="187"/>
      <c r="L34" s="188"/>
      <c r="M34" s="187"/>
      <c r="N34" s="187"/>
      <c r="O34" s="187"/>
      <c r="P34" s="186"/>
      <c r="Q34" s="188"/>
      <c r="R34" s="187"/>
      <c r="S34" s="187"/>
      <c r="T34" s="187"/>
      <c r="U34" s="187"/>
      <c r="V34" s="187"/>
      <c r="W34" s="187"/>
      <c r="X34" s="187"/>
      <c r="Y34" s="187"/>
      <c r="Z34" s="187"/>
      <c r="AA34" s="187"/>
      <c r="AB34" s="187"/>
      <c r="AC34" s="187"/>
      <c r="AD34" s="189"/>
      <c r="AE34" s="189"/>
      <c r="AF34" s="189"/>
      <c r="AG34" s="189"/>
      <c r="AH34" s="189"/>
      <c r="AI34" s="189"/>
      <c r="AJ34" s="189"/>
    </row>
    <row r="35" spans="1:36" ht="13.5" hidden="1" customHeight="1">
      <c r="A35" s="186"/>
      <c r="B35" s="187"/>
      <c r="C35" s="187"/>
      <c r="D35" s="187"/>
      <c r="E35" s="187"/>
      <c r="F35" s="187"/>
      <c r="G35" s="187"/>
      <c r="H35" s="187"/>
      <c r="I35" s="187"/>
      <c r="J35" s="187"/>
      <c r="K35" s="187"/>
      <c r="L35" s="188"/>
      <c r="M35" s="187"/>
      <c r="N35" s="187"/>
      <c r="O35" s="187"/>
      <c r="P35" s="186"/>
      <c r="R35" s="187"/>
      <c r="S35" s="187"/>
      <c r="T35" s="187"/>
      <c r="U35" s="187"/>
      <c r="V35" s="187"/>
      <c r="W35" s="187"/>
      <c r="X35" s="187"/>
      <c r="Y35" s="187"/>
      <c r="Z35" s="187"/>
      <c r="AA35" s="187"/>
      <c r="AB35" s="187"/>
      <c r="AC35" s="187"/>
    </row>
    <row r="36" spans="1:36" ht="13.5" hidden="1" customHeight="1">
      <c r="A36" s="186"/>
      <c r="B36" s="187"/>
      <c r="C36" s="187"/>
      <c r="D36" s="187"/>
      <c r="E36" s="187"/>
      <c r="F36" s="187"/>
      <c r="G36" s="187"/>
      <c r="H36" s="187"/>
      <c r="I36" s="187"/>
      <c r="J36" s="187"/>
      <c r="K36" s="187"/>
      <c r="L36" s="188"/>
      <c r="M36" s="187"/>
      <c r="N36" s="187"/>
      <c r="O36" s="187"/>
      <c r="P36" s="186"/>
      <c r="R36" s="187"/>
      <c r="S36" s="187"/>
      <c r="T36" s="187"/>
      <c r="U36" s="187"/>
      <c r="V36" s="187"/>
      <c r="W36" s="187"/>
      <c r="X36" s="187"/>
      <c r="Y36" s="187"/>
      <c r="Z36" s="187"/>
      <c r="AA36" s="187"/>
      <c r="AB36" s="187"/>
      <c r="AC36" s="187"/>
    </row>
    <row r="37" spans="1:36" ht="13.5" hidden="1" customHeight="1">
      <c r="A37" s="186"/>
      <c r="B37" s="187"/>
      <c r="C37" s="187"/>
      <c r="D37" s="187"/>
      <c r="E37" s="187"/>
      <c r="F37" s="187"/>
      <c r="G37" s="187"/>
      <c r="H37" s="187"/>
      <c r="I37" s="187"/>
      <c r="J37" s="187"/>
      <c r="K37" s="187"/>
      <c r="L37" s="188"/>
      <c r="M37" s="187"/>
      <c r="N37" s="187"/>
      <c r="O37" s="187"/>
      <c r="P37" s="186"/>
      <c r="R37" s="187"/>
      <c r="S37" s="187"/>
      <c r="T37" s="187"/>
      <c r="U37" s="187"/>
      <c r="V37" s="187"/>
      <c r="W37" s="187"/>
      <c r="X37" s="187"/>
      <c r="Y37" s="187"/>
      <c r="Z37" s="187"/>
      <c r="AA37" s="187"/>
      <c r="AB37" s="187"/>
      <c r="AC37" s="187"/>
    </row>
    <row r="38" spans="1:36" ht="13.5" hidden="1" customHeight="1">
      <c r="A38" s="186"/>
      <c r="B38" s="187"/>
      <c r="C38" s="187"/>
      <c r="D38" s="187"/>
      <c r="E38" s="187"/>
      <c r="F38" s="187"/>
      <c r="G38" s="187"/>
      <c r="H38" s="187"/>
      <c r="I38" s="187"/>
      <c r="J38" s="187"/>
      <c r="K38" s="187"/>
      <c r="L38" s="188"/>
      <c r="M38" s="187"/>
      <c r="N38" s="187"/>
      <c r="O38" s="187"/>
      <c r="P38" s="186"/>
      <c r="R38" s="187"/>
      <c r="S38" s="187"/>
      <c r="T38" s="187"/>
      <c r="U38" s="187"/>
      <c r="V38" s="187"/>
      <c r="W38" s="187"/>
      <c r="X38" s="187"/>
      <c r="Y38" s="187"/>
      <c r="Z38" s="187"/>
      <c r="AA38" s="187"/>
      <c r="AB38" s="187"/>
      <c r="AC38" s="187"/>
    </row>
    <row r="39" spans="1:36" ht="13.5" hidden="1" customHeight="1">
      <c r="A39" s="186"/>
      <c r="B39" s="187"/>
      <c r="C39" s="187"/>
      <c r="D39" s="187"/>
      <c r="E39" s="187"/>
      <c r="F39" s="187"/>
      <c r="G39" s="187"/>
      <c r="H39" s="187"/>
      <c r="I39" s="187"/>
      <c r="J39" s="187"/>
      <c r="K39" s="187"/>
      <c r="L39" s="188"/>
      <c r="M39" s="187"/>
      <c r="N39" s="187"/>
      <c r="O39" s="187"/>
      <c r="P39" s="186"/>
      <c r="R39" s="187"/>
      <c r="S39" s="187"/>
      <c r="T39" s="187"/>
      <c r="U39" s="187"/>
      <c r="V39" s="187"/>
      <c r="W39" s="187"/>
      <c r="X39" s="187"/>
      <c r="Y39" s="187"/>
      <c r="Z39" s="187"/>
      <c r="AA39" s="187"/>
      <c r="AB39" s="187"/>
      <c r="AC39" s="187"/>
    </row>
    <row r="40" spans="1:36" ht="13.5" hidden="1" customHeight="1">
      <c r="A40" s="186"/>
      <c r="B40" s="187"/>
      <c r="C40" s="187"/>
      <c r="D40" s="187"/>
      <c r="E40" s="187"/>
      <c r="F40" s="187"/>
      <c r="G40" s="187"/>
      <c r="H40" s="187"/>
      <c r="I40" s="187"/>
      <c r="J40" s="187"/>
      <c r="K40" s="187"/>
      <c r="L40" s="188"/>
      <c r="M40" s="187"/>
      <c r="N40" s="187"/>
      <c r="O40" s="187"/>
      <c r="P40" s="186"/>
      <c r="R40" s="187"/>
      <c r="S40" s="187"/>
      <c r="T40" s="187"/>
      <c r="U40" s="187"/>
      <c r="V40" s="187"/>
      <c r="W40" s="187"/>
      <c r="X40" s="187"/>
      <c r="Y40" s="187"/>
      <c r="Z40" s="187"/>
      <c r="AA40" s="187"/>
      <c r="AB40" s="187"/>
      <c r="AC40" s="187"/>
    </row>
    <row r="41" spans="1:36" ht="13.5" hidden="1" customHeight="1">
      <c r="A41" s="186"/>
      <c r="B41" s="187"/>
      <c r="C41" s="187"/>
      <c r="D41" s="187"/>
      <c r="E41" s="187"/>
      <c r="F41" s="187"/>
      <c r="G41" s="187"/>
      <c r="H41" s="187"/>
      <c r="I41" s="187"/>
      <c r="J41" s="187"/>
      <c r="K41" s="187"/>
      <c r="L41" s="188"/>
      <c r="M41" s="187"/>
      <c r="N41" s="187"/>
      <c r="O41" s="187"/>
      <c r="P41" s="186"/>
      <c r="R41" s="187"/>
      <c r="S41" s="187"/>
      <c r="T41" s="187"/>
      <c r="U41" s="187"/>
      <c r="V41" s="187"/>
      <c r="W41" s="187"/>
      <c r="X41" s="187"/>
      <c r="Y41" s="187"/>
      <c r="Z41" s="187"/>
      <c r="AA41" s="187"/>
      <c r="AB41" s="187"/>
      <c r="AC41" s="187"/>
    </row>
    <row r="42" spans="1:36" ht="13.5" hidden="1" customHeight="1">
      <c r="A42" s="186"/>
      <c r="B42" s="187"/>
      <c r="C42" s="187"/>
      <c r="D42" s="187"/>
      <c r="E42" s="187"/>
      <c r="F42" s="187"/>
      <c r="G42" s="187"/>
      <c r="H42" s="187"/>
      <c r="I42" s="187"/>
      <c r="J42" s="187"/>
      <c r="K42" s="187"/>
      <c r="L42" s="188"/>
      <c r="M42" s="187"/>
      <c r="N42" s="187"/>
      <c r="O42" s="187"/>
      <c r="P42" s="186"/>
      <c r="R42" s="187"/>
      <c r="S42" s="187"/>
      <c r="T42" s="187"/>
      <c r="U42" s="187"/>
      <c r="V42" s="187"/>
      <c r="W42" s="187"/>
      <c r="X42" s="187"/>
      <c r="Y42" s="187"/>
      <c r="Z42" s="187"/>
      <c r="AA42" s="187"/>
      <c r="AB42" s="187"/>
      <c r="AC42" s="187"/>
    </row>
    <row r="43" spans="1:36" ht="13.5" hidden="1" customHeight="1">
      <c r="A43" s="186"/>
      <c r="B43" s="187"/>
      <c r="C43" s="187"/>
      <c r="D43" s="187"/>
      <c r="E43" s="187"/>
      <c r="F43" s="187"/>
      <c r="G43" s="187"/>
      <c r="H43" s="187"/>
      <c r="I43" s="187"/>
      <c r="J43" s="187"/>
      <c r="K43" s="187"/>
      <c r="L43" s="188"/>
      <c r="M43" s="187"/>
      <c r="N43" s="187"/>
      <c r="O43" s="187"/>
      <c r="P43" s="186"/>
      <c r="R43" s="187"/>
      <c r="S43" s="187"/>
      <c r="T43" s="187"/>
      <c r="U43" s="187"/>
      <c r="V43" s="187"/>
      <c r="W43" s="187"/>
      <c r="X43" s="187"/>
      <c r="Y43" s="187"/>
      <c r="Z43" s="187"/>
      <c r="AA43" s="187"/>
      <c r="AB43" s="187"/>
      <c r="AC43" s="187"/>
    </row>
    <row r="44" spans="1:36" ht="13.5" hidden="1" customHeight="1">
      <c r="A44" s="186"/>
      <c r="B44" s="187"/>
      <c r="C44" s="187"/>
      <c r="D44" s="187"/>
      <c r="E44" s="187"/>
      <c r="F44" s="187"/>
      <c r="G44" s="187"/>
      <c r="H44" s="187"/>
      <c r="I44" s="187"/>
      <c r="J44" s="187"/>
      <c r="K44" s="187"/>
      <c r="L44" s="188"/>
      <c r="M44" s="187"/>
      <c r="N44" s="187"/>
      <c r="O44" s="187"/>
      <c r="P44" s="186"/>
      <c r="R44" s="187"/>
      <c r="S44" s="187"/>
      <c r="T44" s="187"/>
      <c r="U44" s="187"/>
      <c r="V44" s="187"/>
      <c r="W44" s="187"/>
      <c r="X44" s="187"/>
      <c r="Y44" s="187"/>
      <c r="Z44" s="187"/>
      <c r="AA44" s="187"/>
      <c r="AB44" s="187"/>
      <c r="AC44" s="187"/>
    </row>
    <row r="45" spans="1:36" ht="13.5" hidden="1" customHeight="1">
      <c r="A45" s="186"/>
      <c r="B45" s="187"/>
      <c r="C45" s="187"/>
      <c r="D45" s="187"/>
      <c r="E45" s="187"/>
      <c r="F45" s="187"/>
      <c r="G45" s="187"/>
      <c r="H45" s="187"/>
      <c r="I45" s="187"/>
      <c r="J45" s="187"/>
      <c r="K45" s="187"/>
      <c r="L45" s="188"/>
      <c r="M45" s="187"/>
      <c r="N45" s="187"/>
      <c r="O45" s="187"/>
      <c r="P45" s="186"/>
      <c r="R45" s="187"/>
      <c r="S45" s="187"/>
      <c r="T45" s="187"/>
      <c r="U45" s="187"/>
      <c r="V45" s="187"/>
      <c r="W45" s="187"/>
      <c r="X45" s="187"/>
      <c r="Y45" s="187"/>
      <c r="Z45" s="187"/>
      <c r="AA45" s="187"/>
      <c r="AB45" s="187"/>
      <c r="AC45" s="187"/>
    </row>
    <row r="46" spans="1:36" ht="13.5" hidden="1" customHeight="1">
      <c r="A46" s="186"/>
      <c r="B46" s="187"/>
      <c r="C46" s="187"/>
      <c r="D46" s="187"/>
      <c r="E46" s="187"/>
      <c r="F46" s="187"/>
      <c r="G46" s="187"/>
      <c r="H46" s="187"/>
      <c r="I46" s="187"/>
      <c r="J46" s="187"/>
      <c r="K46" s="187"/>
      <c r="L46" s="188"/>
      <c r="M46" s="187"/>
      <c r="N46" s="187"/>
      <c r="O46" s="187"/>
      <c r="P46" s="186"/>
      <c r="R46" s="187"/>
      <c r="S46" s="187"/>
      <c r="T46" s="187"/>
      <c r="U46" s="187"/>
      <c r="V46" s="187"/>
      <c r="W46" s="187"/>
      <c r="X46" s="187"/>
      <c r="Y46" s="187"/>
      <c r="Z46" s="187"/>
      <c r="AA46" s="187"/>
      <c r="AB46" s="187"/>
      <c r="AC46" s="187"/>
    </row>
    <row r="47" spans="1:36" ht="13.5" hidden="1" customHeight="1">
      <c r="A47" s="186"/>
      <c r="B47" s="187"/>
      <c r="C47" s="187"/>
      <c r="D47" s="187"/>
      <c r="E47" s="187"/>
      <c r="F47" s="187"/>
      <c r="G47" s="187"/>
      <c r="H47" s="187"/>
      <c r="I47" s="187"/>
      <c r="J47" s="187"/>
      <c r="K47" s="187"/>
      <c r="L47" s="188"/>
      <c r="M47" s="187"/>
      <c r="N47" s="187"/>
      <c r="O47" s="187"/>
      <c r="P47" s="186"/>
      <c r="R47" s="187"/>
      <c r="S47" s="187"/>
      <c r="T47" s="187"/>
      <c r="U47" s="187"/>
      <c r="V47" s="187"/>
      <c r="W47" s="187"/>
      <c r="X47" s="187"/>
      <c r="Y47" s="187"/>
      <c r="Z47" s="187"/>
      <c r="AA47" s="187"/>
      <c r="AB47" s="187"/>
      <c r="AC47" s="187"/>
    </row>
    <row r="48" spans="1:36" ht="13.5" hidden="1" customHeight="1">
      <c r="A48" s="186"/>
      <c r="B48" s="187"/>
      <c r="C48" s="187"/>
      <c r="D48" s="187"/>
      <c r="E48" s="187"/>
      <c r="F48" s="187"/>
      <c r="G48" s="187"/>
      <c r="H48" s="187"/>
      <c r="I48" s="187"/>
      <c r="J48" s="187"/>
      <c r="K48" s="187"/>
      <c r="L48" s="188"/>
      <c r="M48" s="187"/>
      <c r="N48" s="187"/>
      <c r="O48" s="187"/>
      <c r="P48" s="186"/>
      <c r="R48" s="187"/>
      <c r="S48" s="187"/>
      <c r="T48" s="187"/>
      <c r="U48" s="187"/>
      <c r="V48" s="187"/>
      <c r="W48" s="187"/>
      <c r="X48" s="187"/>
      <c r="Y48" s="187"/>
      <c r="Z48" s="187"/>
      <c r="AA48" s="187"/>
      <c r="AB48" s="187"/>
      <c r="AC48" s="187"/>
    </row>
    <row r="49" spans="1:29" ht="13.5" hidden="1" customHeight="1">
      <c r="A49" s="186"/>
      <c r="B49" s="187"/>
      <c r="C49" s="187"/>
      <c r="D49" s="187"/>
      <c r="E49" s="187"/>
      <c r="F49" s="187"/>
      <c r="G49" s="187"/>
      <c r="H49" s="187"/>
      <c r="I49" s="187"/>
      <c r="J49" s="187"/>
      <c r="K49" s="187"/>
      <c r="L49" s="188"/>
      <c r="M49" s="187"/>
      <c r="N49" s="187"/>
      <c r="O49" s="187"/>
      <c r="P49" s="186"/>
      <c r="R49" s="187"/>
      <c r="S49" s="187"/>
      <c r="T49" s="187"/>
      <c r="U49" s="187"/>
      <c r="V49" s="187"/>
      <c r="W49" s="187"/>
      <c r="X49" s="187"/>
      <c r="Y49" s="187"/>
      <c r="Z49" s="187"/>
      <c r="AA49" s="187"/>
      <c r="AB49" s="187"/>
      <c r="AC49" s="187"/>
    </row>
    <row r="50" spans="1:29" ht="13.5" hidden="1" customHeight="1">
      <c r="A50" s="186"/>
      <c r="B50" s="187"/>
      <c r="C50" s="187"/>
      <c r="D50" s="187"/>
      <c r="E50" s="187"/>
      <c r="F50" s="187"/>
      <c r="G50" s="187"/>
      <c r="H50" s="187"/>
      <c r="I50" s="187"/>
      <c r="J50" s="187"/>
      <c r="K50" s="187"/>
      <c r="L50" s="188"/>
      <c r="M50" s="187"/>
      <c r="N50" s="187"/>
      <c r="O50" s="187"/>
      <c r="P50" s="186"/>
      <c r="R50" s="187"/>
      <c r="S50" s="187"/>
      <c r="T50" s="187"/>
      <c r="U50" s="187"/>
      <c r="V50" s="187"/>
      <c r="W50" s="187"/>
      <c r="X50" s="187"/>
      <c r="Y50" s="187"/>
      <c r="Z50" s="187"/>
      <c r="AA50" s="187"/>
      <c r="AB50" s="187"/>
      <c r="AC50" s="187"/>
    </row>
    <row r="51" spans="1:29" ht="13.5" hidden="1" customHeight="1">
      <c r="A51" s="186"/>
      <c r="B51" s="187"/>
      <c r="C51" s="187"/>
      <c r="D51" s="187"/>
      <c r="E51" s="187"/>
      <c r="F51" s="187"/>
      <c r="G51" s="187"/>
      <c r="H51" s="187"/>
      <c r="I51" s="187"/>
      <c r="J51" s="187"/>
      <c r="K51" s="187"/>
      <c r="L51" s="188"/>
      <c r="M51" s="187"/>
      <c r="N51" s="187"/>
      <c r="O51" s="187"/>
      <c r="P51" s="186"/>
      <c r="R51" s="187"/>
      <c r="S51" s="187"/>
      <c r="T51" s="187"/>
      <c r="U51" s="187"/>
      <c r="V51" s="187"/>
      <c r="W51" s="187"/>
      <c r="X51" s="187"/>
      <c r="Y51" s="187"/>
      <c r="Z51" s="187"/>
      <c r="AA51" s="187"/>
      <c r="AB51" s="187"/>
      <c r="AC51" s="187"/>
    </row>
    <row r="52" spans="1:29" ht="13.5" hidden="1" customHeight="1">
      <c r="A52" s="186"/>
      <c r="B52" s="187"/>
      <c r="C52" s="187"/>
      <c r="D52" s="187"/>
      <c r="E52" s="187"/>
      <c r="F52" s="187"/>
      <c r="G52" s="187"/>
      <c r="H52" s="187"/>
      <c r="I52" s="187"/>
      <c r="J52" s="187"/>
      <c r="K52" s="187"/>
      <c r="L52" s="188"/>
      <c r="M52" s="187"/>
      <c r="N52" s="187"/>
      <c r="O52" s="187"/>
      <c r="P52" s="186"/>
      <c r="R52" s="187"/>
      <c r="S52" s="187"/>
      <c r="T52" s="187"/>
      <c r="U52" s="187"/>
      <c r="V52" s="187"/>
      <c r="W52" s="187"/>
      <c r="X52" s="187"/>
      <c r="Y52" s="187"/>
      <c r="Z52" s="187"/>
      <c r="AA52" s="187"/>
      <c r="AB52" s="187"/>
      <c r="AC52" s="187"/>
    </row>
    <row r="53" spans="1:29" ht="13.5" hidden="1" customHeight="1"/>
    <row r="54" spans="1:29" ht="13.5" hidden="1" customHeight="1"/>
    <row r="55" spans="1:29" ht="13.5" hidden="1" customHeight="1"/>
    <row r="56" spans="1:29" ht="13.5" hidden="1" customHeight="1"/>
    <row r="57" spans="1:29" ht="13.5" hidden="1" customHeight="1"/>
    <row r="58" spans="1:29" ht="13.5" hidden="1" customHeight="1"/>
    <row r="59" spans="1:29" ht="13.5" hidden="1" customHeight="1"/>
    <row r="60" spans="1:29" ht="13.5" hidden="1" customHeight="1"/>
    <row r="61" spans="1:29" ht="13.5" hidden="1" customHeight="1"/>
    <row r="62" spans="1:29" ht="13.5" hidden="1" customHeight="1"/>
    <row r="63" spans="1:29" ht="13.5" hidden="1" customHeight="1"/>
    <row r="64" spans="1:29" ht="13.5" hidden="1" customHeight="1"/>
    <row r="65" ht="12.75" thickTop="1"/>
  </sheetData>
  <phoneticPr fontId="0" type="noConversion"/>
  <pageMargins left="0.75" right="0.75" top="1" bottom="1" header="0.4921259845" footer="0.4921259845"/>
  <pageSetup paperSize="0" scale="60" orientation="landscape" horizontalDpi="4294967292" verticalDpi="4294967292"/>
  <headerFooter alignWithMargins="0">
    <oddFooter>&amp;LLe &amp;D&amp;CProfilés &amp;A du &amp;F&amp;RPage &amp;P sur &amp;N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AA61"/>
  <sheetViews>
    <sheetView zoomScaleNormal="100" workbookViewId="0">
      <selection activeCell="M12" sqref="M12"/>
    </sheetView>
  </sheetViews>
  <sheetFormatPr defaultColWidth="9.140625" defaultRowHeight="12.75"/>
  <cols>
    <col min="1" max="1" width="8" style="625" customWidth="1"/>
    <col min="2" max="2" width="11" style="625" customWidth="1"/>
    <col min="3" max="3" width="9.28515625" style="625" bestFit="1" customWidth="1"/>
    <col min="4" max="5" width="10.28515625" style="625" customWidth="1"/>
    <col min="6" max="6" width="9.7109375" style="625" bestFit="1" customWidth="1"/>
    <col min="7" max="7" width="11.140625" style="625" customWidth="1"/>
    <col min="8" max="8" width="11" style="625" bestFit="1" customWidth="1"/>
    <col min="9" max="9" width="9.7109375" style="625" customWidth="1"/>
    <col min="10" max="10" width="9.28515625" style="625" customWidth="1"/>
    <col min="11" max="11" width="12.140625" style="625" customWidth="1"/>
    <col min="12" max="12" width="12.5703125" style="625" customWidth="1"/>
    <col min="13" max="13" width="10.42578125" style="625" customWidth="1"/>
    <col min="14" max="14" width="8.28515625" style="625" bestFit="1" customWidth="1"/>
    <col min="15" max="15" width="10.42578125" style="625" customWidth="1"/>
    <col min="16" max="16" width="8" style="625" bestFit="1" customWidth="1"/>
    <col min="17" max="17" width="7.140625" style="625" bestFit="1" customWidth="1"/>
    <col min="18" max="18" width="10.140625" style="625" bestFit="1" customWidth="1"/>
    <col min="19" max="19" width="7.5703125" style="625" bestFit="1" customWidth="1"/>
    <col min="20" max="20" width="6.5703125" style="625" bestFit="1" customWidth="1"/>
    <col min="21" max="21" width="10" style="625" customWidth="1"/>
    <col min="22" max="22" width="9.140625" style="625"/>
    <col min="23" max="26" width="6.85546875" style="625" customWidth="1"/>
    <col min="27" max="16384" width="9.140625" style="625"/>
  </cols>
  <sheetData>
    <row r="1" spans="1:27" s="629" customFormat="1" ht="15.75">
      <c r="A1" s="622" t="s">
        <v>48</v>
      </c>
      <c r="B1" s="623"/>
      <c r="C1" s="623"/>
      <c r="D1" s="623"/>
      <c r="E1" s="624"/>
      <c r="F1" s="625"/>
      <c r="G1" s="626"/>
      <c r="H1" s="627"/>
      <c r="I1" s="627"/>
      <c r="J1" s="627"/>
      <c r="K1" s="628"/>
      <c r="L1" s="627"/>
    </row>
    <row r="2" spans="1:27" s="629" customFormat="1" ht="15.75">
      <c r="A2" s="630" t="s">
        <v>76</v>
      </c>
      <c r="B2" s="631"/>
      <c r="C2" s="631"/>
      <c r="D2" s="631"/>
      <c r="E2" s="631"/>
      <c r="F2" s="632"/>
      <c r="G2" s="633"/>
      <c r="H2" s="634"/>
      <c r="I2" s="634"/>
      <c r="J2" s="634"/>
      <c r="K2" s="635"/>
    </row>
    <row r="3" spans="1:27" s="629" customFormat="1" ht="16.5" thickBot="1">
      <c r="B3" s="623"/>
      <c r="C3" s="623"/>
      <c r="D3" s="636"/>
      <c r="E3" s="624"/>
      <c r="F3" s="636"/>
      <c r="G3" s="626"/>
      <c r="H3" s="627"/>
      <c r="I3" s="627"/>
      <c r="J3" s="627"/>
      <c r="K3" s="633"/>
    </row>
    <row r="4" spans="1:27" s="629" customFormat="1" ht="16.5" thickBot="1">
      <c r="B4" s="623"/>
      <c r="C4" s="623"/>
      <c r="D4" s="636"/>
      <c r="E4" s="624"/>
      <c r="F4" s="636"/>
      <c r="G4" s="626"/>
      <c r="H4" s="627"/>
      <c r="I4" s="627"/>
      <c r="J4" s="627"/>
      <c r="K4" s="637"/>
      <c r="L4" s="1736" t="s">
        <v>104</v>
      </c>
      <c r="M4" s="1737"/>
      <c r="N4" s="1737"/>
      <c r="O4" s="1737"/>
      <c r="P4" s="1737"/>
      <c r="Q4" s="1737"/>
      <c r="R4" s="1737"/>
      <c r="S4" s="1737"/>
      <c r="T4" s="1737"/>
      <c r="U4" s="1737"/>
      <c r="V4" s="1737"/>
      <c r="W4" s="1737"/>
      <c r="X4" s="1738"/>
    </row>
    <row r="5" spans="1:27">
      <c r="A5" s="639" t="s">
        <v>49</v>
      </c>
      <c r="B5" s="640" t="s">
        <v>50</v>
      </c>
      <c r="C5" s="640"/>
      <c r="D5" s="640" t="s">
        <v>51</v>
      </c>
      <c r="E5" s="640"/>
      <c r="F5" s="641" t="s">
        <v>52</v>
      </c>
      <c r="G5" s="642" t="s">
        <v>53</v>
      </c>
      <c r="H5" s="642" t="s">
        <v>54</v>
      </c>
      <c r="I5" s="642"/>
      <c r="J5" s="642" t="s">
        <v>55</v>
      </c>
      <c r="K5" s="641" t="s">
        <v>56</v>
      </c>
      <c r="L5" s="1704" t="s">
        <v>132</v>
      </c>
      <c r="M5" s="1705"/>
      <c r="N5" s="1705"/>
      <c r="O5" s="1705"/>
      <c r="P5" s="1706" t="s">
        <v>578</v>
      </c>
      <c r="Q5" s="1706" t="s">
        <v>572</v>
      </c>
      <c r="R5" s="1706" t="s">
        <v>56</v>
      </c>
      <c r="S5" s="1706" t="s">
        <v>1952</v>
      </c>
      <c r="T5" s="1706" t="s">
        <v>105</v>
      </c>
      <c r="U5" s="1706" t="s">
        <v>106</v>
      </c>
      <c r="V5" s="1706" t="s">
        <v>0</v>
      </c>
      <c r="W5" s="1707" t="s">
        <v>107</v>
      </c>
      <c r="X5" s="1708" t="s">
        <v>460</v>
      </c>
    </row>
    <row r="6" spans="1:27">
      <c r="A6" s="641" t="s">
        <v>57</v>
      </c>
      <c r="B6" s="641" t="s">
        <v>58</v>
      </c>
      <c r="C6" s="641" t="s">
        <v>59</v>
      </c>
      <c r="D6" s="641" t="s">
        <v>60</v>
      </c>
      <c r="E6" s="641" t="s">
        <v>61</v>
      </c>
      <c r="F6" s="641" t="s">
        <v>62</v>
      </c>
      <c r="G6" s="642" t="s">
        <v>63</v>
      </c>
      <c r="H6" s="642" t="s">
        <v>64</v>
      </c>
      <c r="I6" s="642" t="s">
        <v>601</v>
      </c>
      <c r="J6" s="642" t="s">
        <v>601</v>
      </c>
      <c r="K6" s="641" t="s">
        <v>65</v>
      </c>
      <c r="L6" s="1393" t="s">
        <v>570</v>
      </c>
      <c r="M6" s="837" t="s">
        <v>1746</v>
      </c>
      <c r="N6" s="837" t="s">
        <v>108</v>
      </c>
      <c r="O6" s="837" t="s">
        <v>109</v>
      </c>
      <c r="P6" s="838" t="s">
        <v>110</v>
      </c>
      <c r="Q6" s="838" t="s">
        <v>599</v>
      </c>
      <c r="R6" s="838" t="s">
        <v>111</v>
      </c>
      <c r="S6" s="838" t="s">
        <v>72</v>
      </c>
      <c r="T6" s="838" t="s">
        <v>607</v>
      </c>
      <c r="U6" s="838" t="s">
        <v>111</v>
      </c>
      <c r="V6" s="838" t="s">
        <v>72</v>
      </c>
      <c r="W6" s="1394" t="s">
        <v>607</v>
      </c>
      <c r="X6" s="1701" t="s">
        <v>58</v>
      </c>
      <c r="AA6" s="643"/>
    </row>
    <row r="7" spans="1:27">
      <c r="A7" s="641">
        <v>1</v>
      </c>
      <c r="B7" s="644">
        <v>200</v>
      </c>
      <c r="C7" s="1522">
        <f t="shared" ref="C7:C12" si="0">B7*10</f>
        <v>2000</v>
      </c>
      <c r="D7" s="646">
        <v>4250</v>
      </c>
      <c r="E7" s="1523">
        <f>D7</f>
        <v>4250</v>
      </c>
      <c r="F7" s="647">
        <f t="shared" ref="F7:F12" si="1">B7*(D7+E7)/2000</f>
        <v>850</v>
      </c>
      <c r="G7" s="651">
        <v>8.5</v>
      </c>
      <c r="H7" s="649">
        <v>300</v>
      </c>
      <c r="I7" s="650">
        <f t="shared" ref="I7:I12" si="2">G7*1000/H7</f>
        <v>28.333333333333332</v>
      </c>
      <c r="J7" s="651">
        <f>I7</f>
        <v>28.333333333333332</v>
      </c>
      <c r="K7" s="652">
        <f>5*$F7*$G7*$G7*$G7*$G7*10000000/(384*2100000*J7)</f>
        <v>9709.9376860119046</v>
      </c>
      <c r="L7" s="1395">
        <v>300</v>
      </c>
      <c r="M7" s="854">
        <v>150</v>
      </c>
      <c r="N7" s="1716">
        <v>8</v>
      </c>
      <c r="O7" s="1690">
        <f>N7</f>
        <v>8</v>
      </c>
      <c r="P7" s="1421">
        <f>(M7*L7-(M7-2*N7)*(L7-2*O7))/100</f>
        <v>69.44</v>
      </c>
      <c r="Q7" s="1421">
        <f>0.785*P7</f>
        <v>54.510399999999997</v>
      </c>
      <c r="R7" s="1421">
        <f>(M7*L7*L7*L7-(M7-2*N7)*(L7-2*O7)*(L7-2*O7)*(L7-2*O7))/12/10000</f>
        <v>8171.2938666666669</v>
      </c>
      <c r="S7" s="1421">
        <f>2*10*R7/L7</f>
        <v>544.75292444444449</v>
      </c>
      <c r="T7" s="1421">
        <f>SQRT(R7/P7)</f>
        <v>10.847772251776901</v>
      </c>
      <c r="U7" s="1421">
        <f>(L7*M7*M7*M7-(L7-2*O7)*(M7-2*N7)*(M7-2*N7)*(M7-2*N7))/12/10000</f>
        <v>2743.0538666666666</v>
      </c>
      <c r="V7" s="1421">
        <f>2*10*U7/M7</f>
        <v>365.74051555555559</v>
      </c>
      <c r="W7" s="1396">
        <f>SQRT(U7/P7)</f>
        <v>6.2851017366663031</v>
      </c>
      <c r="X7" s="1702">
        <f>Q7/D7*1000</f>
        <v>12.825976470588234</v>
      </c>
      <c r="Z7" s="656"/>
    </row>
    <row r="8" spans="1:27">
      <c r="A8" s="641">
        <v>2</v>
      </c>
      <c r="B8" s="644">
        <v>200</v>
      </c>
      <c r="C8" s="1522">
        <f t="shared" si="0"/>
        <v>2000</v>
      </c>
      <c r="D8" s="646">
        <v>2000</v>
      </c>
      <c r="E8" s="1523">
        <v>0</v>
      </c>
      <c r="F8" s="647">
        <f t="shared" si="1"/>
        <v>200</v>
      </c>
      <c r="G8" s="651">
        <v>8</v>
      </c>
      <c r="H8" s="649">
        <v>300</v>
      </c>
      <c r="I8" s="650">
        <f t="shared" si="2"/>
        <v>26.666666666666668</v>
      </c>
      <c r="J8" s="651">
        <f>I8</f>
        <v>26.666666666666668</v>
      </c>
      <c r="K8" s="652">
        <f>5*$F8*$G8*$G8*$G8*$G8*10000000/(384*2100000*J8)</f>
        <v>1904.7619047619048</v>
      </c>
      <c r="L8" s="1397">
        <v>140</v>
      </c>
      <c r="M8" s="848">
        <v>140</v>
      </c>
      <c r="N8" s="1724">
        <v>5</v>
      </c>
      <c r="O8" s="1724">
        <f>N8</f>
        <v>5</v>
      </c>
      <c r="P8" s="1421">
        <f>(M8*L8-(M8-2*N8)*(L8-2*O8))/100</f>
        <v>27</v>
      </c>
      <c r="Q8" s="1421">
        <f>0.785*P8</f>
        <v>21.195</v>
      </c>
      <c r="R8" s="1421">
        <f>(M8*L8*L8*L8-(M8-2*N8)*(L8-2*O8)*(L8-2*O8)*(L8-2*O8))/12/10000</f>
        <v>821.25</v>
      </c>
      <c r="S8" s="1421">
        <f>2*10*R8/L8</f>
        <v>117.32142857142857</v>
      </c>
      <c r="T8" s="1421">
        <f>SQRT(R8/P8)</f>
        <v>5.5151307025914322</v>
      </c>
      <c r="U8" s="1421">
        <f>(L8*M8*M8*M8-(L8-2*O8)*(M8-2*N8)*(M8-2*N8)*(M8-2*N8))/12/10000</f>
        <v>821.25</v>
      </c>
      <c r="V8" s="1421">
        <f>2*10*U8/M8</f>
        <v>117.32142857142857</v>
      </c>
      <c r="W8" s="1398">
        <f>SQRT(U8/P8)</f>
        <v>5.5151307025914322</v>
      </c>
      <c r="X8" s="1702">
        <f>Q8/D8*1000</f>
        <v>10.5975</v>
      </c>
    </row>
    <row r="9" spans="1:27">
      <c r="A9" s="641">
        <v>3</v>
      </c>
      <c r="B9" s="644">
        <v>200</v>
      </c>
      <c r="C9" s="1522">
        <f t="shared" si="0"/>
        <v>2000</v>
      </c>
      <c r="D9" s="1518">
        <f>9700/2</f>
        <v>4850</v>
      </c>
      <c r="E9" s="1523">
        <f>D9</f>
        <v>4850</v>
      </c>
      <c r="F9" s="647">
        <f t="shared" si="1"/>
        <v>970</v>
      </c>
      <c r="G9" s="651">
        <v>2.4</v>
      </c>
      <c r="H9" s="649">
        <v>300</v>
      </c>
      <c r="I9" s="650">
        <f t="shared" si="2"/>
        <v>8</v>
      </c>
      <c r="J9" s="651">
        <f>I9</f>
        <v>8</v>
      </c>
      <c r="K9" s="652">
        <f>5*$F9*$G9*$G9*$G9*$G9*10000000/(384*2100000*J9)</f>
        <v>249.42857142857139</v>
      </c>
      <c r="L9" s="1397">
        <v>100</v>
      </c>
      <c r="M9" s="848">
        <v>50</v>
      </c>
      <c r="N9" s="1724">
        <v>4</v>
      </c>
      <c r="O9" s="1724">
        <f>N9</f>
        <v>4</v>
      </c>
      <c r="P9" s="1421">
        <f>(M9*L9-(M9-2*N9)*(L9-2*O9))/100</f>
        <v>11.36</v>
      </c>
      <c r="Q9" s="1717">
        <f>0.785*P9</f>
        <v>8.9176000000000002</v>
      </c>
      <c r="R9" s="1421">
        <f>(M9*L9*L9*L9-(M9-2*N9)*(L9-2*O9)*(L9-2*O9)*(L9-2*O9))/12/10000</f>
        <v>144.12586666666667</v>
      </c>
      <c r="S9" s="1421">
        <f>2*10*R9/L9</f>
        <v>28.825173333333332</v>
      </c>
      <c r="T9" s="1421">
        <f>SQRT(R9/P9)</f>
        <v>3.561900637333212</v>
      </c>
      <c r="U9" s="1421">
        <f>(L9*M9*M9*M9-(L9-2*O9)*(M9-2*N9)*(M9-2*N9)*(M9-2*N9))/12/10000</f>
        <v>47.365866666666669</v>
      </c>
      <c r="V9" s="1421">
        <f>2*10*U9/M9</f>
        <v>18.946346666666667</v>
      </c>
      <c r="W9" s="1398">
        <f>SQRT(U9/P9)</f>
        <v>2.0419428288842774</v>
      </c>
      <c r="X9" s="1702">
        <f>Q9/D9*1000</f>
        <v>1.838680412371134</v>
      </c>
    </row>
    <row r="10" spans="1:27">
      <c r="A10" s="641">
        <v>4</v>
      </c>
      <c r="B10" s="644">
        <v>50</v>
      </c>
      <c r="C10" s="1522">
        <f t="shared" si="0"/>
        <v>500</v>
      </c>
      <c r="D10" s="1518">
        <v>1000</v>
      </c>
      <c r="E10" s="1523">
        <f t="shared" ref="E10:E12" si="3">D10</f>
        <v>1000</v>
      </c>
      <c r="F10" s="647">
        <f t="shared" si="1"/>
        <v>50</v>
      </c>
      <c r="G10" s="651">
        <v>5</v>
      </c>
      <c r="H10" s="649">
        <v>300</v>
      </c>
      <c r="I10" s="650">
        <f t="shared" si="2"/>
        <v>16.666666666666668</v>
      </c>
      <c r="J10" s="651">
        <f>I10</f>
        <v>16.666666666666668</v>
      </c>
      <c r="K10" s="652">
        <f>5*$F10*$G10*$G10*$G10*$G10*10000000/(384*2100000*J10)</f>
        <v>116.25744047619045</v>
      </c>
      <c r="L10" s="1698"/>
      <c r="P10" s="1697"/>
      <c r="Q10" s="656"/>
      <c r="S10" s="1517"/>
      <c r="T10" s="1697"/>
      <c r="W10" s="654"/>
      <c r="X10" s="1703">
        <f>SUM(X7:X9)</f>
        <v>25.262156882959367</v>
      </c>
    </row>
    <row r="11" spans="1:27">
      <c r="A11" s="641">
        <v>5</v>
      </c>
      <c r="B11" s="644">
        <v>120</v>
      </c>
      <c r="C11" s="1522">
        <f t="shared" si="0"/>
        <v>1200</v>
      </c>
      <c r="D11" s="1518">
        <v>4000</v>
      </c>
      <c r="E11" s="1523">
        <f t="shared" si="3"/>
        <v>4000</v>
      </c>
      <c r="F11" s="647">
        <f t="shared" si="1"/>
        <v>480</v>
      </c>
      <c r="G11" s="651">
        <v>30</v>
      </c>
      <c r="H11" s="649">
        <v>300</v>
      </c>
      <c r="I11" s="650">
        <f t="shared" si="2"/>
        <v>100</v>
      </c>
      <c r="J11" s="651"/>
      <c r="K11" s="652"/>
      <c r="S11" s="656"/>
      <c r="W11" s="654"/>
    </row>
    <row r="12" spans="1:27">
      <c r="A12" s="641">
        <v>6</v>
      </c>
      <c r="B12" s="644"/>
      <c r="C12" s="1522">
        <f t="shared" si="0"/>
        <v>0</v>
      </c>
      <c r="D12" s="1518"/>
      <c r="E12" s="1523">
        <f t="shared" si="3"/>
        <v>0</v>
      </c>
      <c r="F12" s="647">
        <f t="shared" si="1"/>
        <v>0</v>
      </c>
      <c r="G12" s="651"/>
      <c r="H12" s="649">
        <v>300</v>
      </c>
      <c r="I12" s="650">
        <f t="shared" si="2"/>
        <v>0</v>
      </c>
      <c r="J12" s="651"/>
      <c r="K12" s="652"/>
      <c r="M12" s="653"/>
      <c r="N12" s="653"/>
      <c r="O12" s="653"/>
      <c r="P12" s="653"/>
      <c r="Q12" s="654"/>
      <c r="R12" s="654"/>
      <c r="S12" s="1699"/>
      <c r="T12" s="1697"/>
      <c r="U12" s="654"/>
      <c r="V12" s="654"/>
      <c r="W12" s="654"/>
    </row>
    <row r="13" spans="1:27">
      <c r="G13" s="656"/>
      <c r="K13" s="813">
        <f>3*K7</f>
        <v>29129.813058035714</v>
      </c>
      <c r="M13" s="653"/>
      <c r="N13" s="653"/>
      <c r="O13" s="653"/>
      <c r="P13" s="653"/>
      <c r="Q13" s="654"/>
      <c r="R13" s="655"/>
      <c r="S13" s="654"/>
      <c r="T13" s="654"/>
      <c r="U13" s="654">
        <v>450</v>
      </c>
      <c r="V13" s="654">
        <v>1.5</v>
      </c>
      <c r="W13" s="654">
        <f>V13*U13/2</f>
        <v>337.5</v>
      </c>
      <c r="X13" s="625" t="s">
        <v>2534</v>
      </c>
    </row>
    <row r="14" spans="1:27" ht="15.75">
      <c r="A14" s="622" t="s">
        <v>77</v>
      </c>
      <c r="B14" s="631"/>
      <c r="C14" s="631"/>
      <c r="D14" s="631"/>
      <c r="E14" s="631"/>
      <c r="F14" s="632"/>
      <c r="G14" s="1449"/>
      <c r="H14" s="633"/>
      <c r="I14" s="634"/>
      <c r="J14" s="634"/>
      <c r="M14" s="653"/>
      <c r="N14" s="674" t="s">
        <v>98</v>
      </c>
      <c r="O14" s="641" t="s">
        <v>99</v>
      </c>
      <c r="P14" s="639" t="s">
        <v>1873</v>
      </c>
      <c r="Q14" s="635" t="s">
        <v>1874</v>
      </c>
      <c r="R14" s="655"/>
      <c r="S14" s="654"/>
      <c r="T14" s="654"/>
      <c r="U14" s="654"/>
      <c r="V14" s="654"/>
      <c r="W14" s="1722">
        <v>169</v>
      </c>
      <c r="X14" s="625" t="s">
        <v>2535</v>
      </c>
    </row>
    <row r="15" spans="1:27">
      <c r="A15" s="639" t="s">
        <v>49</v>
      </c>
      <c r="B15" s="640" t="s">
        <v>50</v>
      </c>
      <c r="C15" s="640"/>
      <c r="D15" s="640" t="s">
        <v>51</v>
      </c>
      <c r="E15" s="640"/>
      <c r="F15" s="658" t="s">
        <v>66</v>
      </c>
      <c r="G15" s="1450" t="s">
        <v>53</v>
      </c>
      <c r="H15" s="640" t="s">
        <v>67</v>
      </c>
      <c r="I15" s="640" t="s">
        <v>68</v>
      </c>
      <c r="J15" s="641" t="s">
        <v>69</v>
      </c>
      <c r="L15" s="675">
        <v>9</v>
      </c>
      <c r="M15" s="676">
        <v>30</v>
      </c>
      <c r="N15" s="677">
        <v>117</v>
      </c>
      <c r="O15" s="678">
        <v>3</v>
      </c>
      <c r="P15" s="679">
        <v>39</v>
      </c>
      <c r="Q15" s="683"/>
      <c r="R15" s="655"/>
      <c r="S15" s="654"/>
      <c r="T15" s="654"/>
      <c r="U15" s="654"/>
      <c r="V15" s="654"/>
      <c r="W15" s="654"/>
    </row>
    <row r="16" spans="1:27" ht="16.5" customHeight="1">
      <c r="A16" s="641" t="s">
        <v>57</v>
      </c>
      <c r="B16" s="641" t="s">
        <v>58</v>
      </c>
      <c r="C16" s="641" t="s">
        <v>59</v>
      </c>
      <c r="D16" s="641" t="s">
        <v>60</v>
      </c>
      <c r="E16" s="641" t="s">
        <v>61</v>
      </c>
      <c r="F16" s="641" t="s">
        <v>62</v>
      </c>
      <c r="G16" s="1449" t="s">
        <v>63</v>
      </c>
      <c r="H16" s="642" t="s">
        <v>70</v>
      </c>
      <c r="I16" s="642" t="s">
        <v>71</v>
      </c>
      <c r="J16" s="642" t="s">
        <v>72</v>
      </c>
      <c r="L16" s="677"/>
      <c r="N16" s="940">
        <f>INDEX(Wel.yn,$L$15)</f>
        <v>442</v>
      </c>
      <c r="O16" s="941">
        <f>INDEX(IIyn,$L$15)</f>
        <v>5740</v>
      </c>
      <c r="P16" s="942">
        <f>INDEX(Gn,$L$15)</f>
        <v>41.9</v>
      </c>
      <c r="Q16" s="942">
        <f>P16/0.785</f>
        <v>53.375796178343947</v>
      </c>
      <c r="R16" s="655"/>
      <c r="S16" s="654"/>
      <c r="T16" s="654"/>
      <c r="U16" s="654"/>
      <c r="V16" s="654"/>
      <c r="W16" s="654"/>
    </row>
    <row r="17" spans="1:23">
      <c r="A17" s="641">
        <f t="shared" ref="A17:B22" si="4">A7</f>
        <v>1</v>
      </c>
      <c r="B17" s="648">
        <f t="shared" si="4"/>
        <v>200</v>
      </c>
      <c r="C17" s="645">
        <f t="shared" ref="C17:C22" si="5">B17*10</f>
        <v>2000</v>
      </c>
      <c r="D17" s="647">
        <f>D7</f>
        <v>4250</v>
      </c>
      <c r="E17" s="647">
        <f>E7</f>
        <v>4250</v>
      </c>
      <c r="F17" s="648">
        <f>F7</f>
        <v>850</v>
      </c>
      <c r="G17" s="650">
        <f>G7</f>
        <v>8.5</v>
      </c>
      <c r="H17" s="663">
        <f t="shared" ref="H17:H22" si="6">F17*G17*G17/8</f>
        <v>7676.5625</v>
      </c>
      <c r="I17" s="663">
        <v>1200</v>
      </c>
      <c r="J17" s="1709">
        <f t="shared" ref="J17:J22" si="7">H17*100/I17</f>
        <v>639.71354166666663</v>
      </c>
      <c r="K17" s="647"/>
      <c r="L17" s="677"/>
      <c r="N17" s="940">
        <f>INDEX(Wel.y,$M$15)</f>
        <v>428.9</v>
      </c>
      <c r="O17" s="941">
        <f>INDEX(Iy,$M$15)</f>
        <v>5790</v>
      </c>
      <c r="P17" s="942">
        <f>INDEX(G,$M$15)</f>
        <v>36.1</v>
      </c>
      <c r="Q17" s="942">
        <f>P17/0.785</f>
        <v>45.987261146496813</v>
      </c>
      <c r="R17" s="655"/>
      <c r="S17" s="654"/>
      <c r="T17" s="654"/>
      <c r="U17" s="654"/>
      <c r="V17" s="654"/>
      <c r="W17" s="654"/>
    </row>
    <row r="18" spans="1:23">
      <c r="A18" s="641">
        <f t="shared" si="4"/>
        <v>2</v>
      </c>
      <c r="B18" s="648">
        <f t="shared" si="4"/>
        <v>200</v>
      </c>
      <c r="C18" s="645">
        <f t="shared" si="5"/>
        <v>2000</v>
      </c>
      <c r="D18" s="647">
        <f t="shared" ref="D18:E22" si="8">D8</f>
        <v>2000</v>
      </c>
      <c r="E18" s="647">
        <f t="shared" si="8"/>
        <v>0</v>
      </c>
      <c r="F18" s="648">
        <f>B18*(D18+E18)/2000</f>
        <v>200</v>
      </c>
      <c r="G18" s="650">
        <f>G8</f>
        <v>8</v>
      </c>
      <c r="H18" s="663">
        <f t="shared" si="6"/>
        <v>1600</v>
      </c>
      <c r="I18" s="663">
        <f>I17</f>
        <v>1200</v>
      </c>
      <c r="J18" s="1709">
        <f t="shared" si="7"/>
        <v>133.33333333333334</v>
      </c>
      <c r="K18" s="647"/>
      <c r="L18" s="677"/>
      <c r="N18" s="940">
        <f>INDEX(Wel.yhe,$N$15)</f>
        <v>15070</v>
      </c>
      <c r="O18" s="941">
        <f>INDEX(IIyhe,$N$15)</f>
        <v>634500</v>
      </c>
      <c r="P18" s="942">
        <f>INDEX(Ghe,$N$15)</f>
        <v>444</v>
      </c>
      <c r="Q18" s="942">
        <f>P18/0.785</f>
        <v>565.60509554140128</v>
      </c>
      <c r="R18" s="655"/>
      <c r="S18" s="654"/>
      <c r="T18" s="654"/>
      <c r="U18" s="654"/>
      <c r="V18" s="654"/>
      <c r="W18" s="654"/>
    </row>
    <row r="19" spans="1:23">
      <c r="A19" s="641">
        <f t="shared" si="4"/>
        <v>3</v>
      </c>
      <c r="B19" s="648">
        <f t="shared" si="4"/>
        <v>200</v>
      </c>
      <c r="C19" s="645">
        <f t="shared" si="5"/>
        <v>2000</v>
      </c>
      <c r="D19" s="647">
        <f t="shared" si="8"/>
        <v>4850</v>
      </c>
      <c r="E19" s="647">
        <f t="shared" si="8"/>
        <v>4850</v>
      </c>
      <c r="F19" s="648">
        <f>B19*(D19+E19)/2000</f>
        <v>970</v>
      </c>
      <c r="G19" s="650">
        <f>G9</f>
        <v>2.4</v>
      </c>
      <c r="H19" s="663">
        <f t="shared" si="6"/>
        <v>698.4</v>
      </c>
      <c r="I19" s="663">
        <f>I18</f>
        <v>1200</v>
      </c>
      <c r="J19" s="1709">
        <f t="shared" si="7"/>
        <v>58.2</v>
      </c>
      <c r="K19" s="647"/>
      <c r="L19" s="677"/>
      <c r="N19" s="940">
        <f>INDEX(Wu,$O$15)</f>
        <v>86.4</v>
      </c>
      <c r="O19" s="941">
        <f>INDEX(Iyu,$O$15)</f>
        <v>605</v>
      </c>
      <c r="P19" s="942">
        <f>INDEX(Gu,$O$15)</f>
        <v>16</v>
      </c>
      <c r="Q19" s="942">
        <f>P19/0.785</f>
        <v>20.38216560509554</v>
      </c>
      <c r="R19" s="655"/>
      <c r="S19" s="654"/>
      <c r="T19" s="654"/>
      <c r="U19" s="654"/>
      <c r="V19" s="654"/>
      <c r="W19" s="654"/>
    </row>
    <row r="20" spans="1:23">
      <c r="A20" s="641">
        <f t="shared" si="4"/>
        <v>4</v>
      </c>
      <c r="B20" s="648">
        <f t="shared" si="4"/>
        <v>50</v>
      </c>
      <c r="C20" s="645">
        <f t="shared" si="5"/>
        <v>500</v>
      </c>
      <c r="D20" s="647">
        <f t="shared" si="8"/>
        <v>1000</v>
      </c>
      <c r="E20" s="647">
        <f t="shared" si="8"/>
        <v>1000</v>
      </c>
      <c r="F20" s="648">
        <f>B20*(D20+E20)/2000</f>
        <v>50</v>
      </c>
      <c r="G20" s="650">
        <f>G10</f>
        <v>5</v>
      </c>
      <c r="H20" s="663">
        <f t="shared" si="6"/>
        <v>156.25</v>
      </c>
      <c r="I20" s="663">
        <v>700</v>
      </c>
      <c r="J20" s="1709">
        <f t="shared" si="7"/>
        <v>22.321428571428573</v>
      </c>
      <c r="K20" s="647"/>
      <c r="L20" s="677"/>
      <c r="N20" s="940">
        <f>INDEX(WyzL,$P$15)</f>
        <v>152.19999999999999</v>
      </c>
      <c r="O20" s="941">
        <f>INDEX(IIyzL,$P$15)</f>
        <v>2209</v>
      </c>
      <c r="P20" s="942">
        <f>INDEX(GL,$P$15)</f>
        <v>45.6</v>
      </c>
      <c r="Q20" s="942">
        <f>P20/0.785</f>
        <v>58.089171974522294</v>
      </c>
      <c r="R20" s="655"/>
      <c r="S20" s="654"/>
      <c r="T20" s="654"/>
      <c r="U20" s="654"/>
      <c r="V20" s="654"/>
      <c r="W20" s="654"/>
    </row>
    <row r="21" spans="1:23">
      <c r="A21" s="641">
        <f t="shared" si="4"/>
        <v>5</v>
      </c>
      <c r="B21" s="648">
        <f t="shared" si="4"/>
        <v>120</v>
      </c>
      <c r="C21" s="645">
        <f t="shared" si="5"/>
        <v>1200</v>
      </c>
      <c r="D21" s="647">
        <f t="shared" si="8"/>
        <v>4000</v>
      </c>
      <c r="E21" s="647">
        <f t="shared" si="8"/>
        <v>4000</v>
      </c>
      <c r="F21" s="648">
        <f>B21*(D21+E21)/2000</f>
        <v>480</v>
      </c>
      <c r="G21" s="650">
        <f>G11</f>
        <v>30</v>
      </c>
      <c r="H21" s="663">
        <f t="shared" si="6"/>
        <v>54000</v>
      </c>
      <c r="I21" s="663">
        <f>I20</f>
        <v>700</v>
      </c>
      <c r="J21" s="1709">
        <f t="shared" si="7"/>
        <v>7714.2857142857147</v>
      </c>
      <c r="L21" s="677"/>
      <c r="M21" s="677"/>
      <c r="N21" s="677"/>
      <c r="O21" s="677"/>
      <c r="P21" s="677"/>
      <c r="Q21" s="677"/>
      <c r="R21" s="655"/>
      <c r="S21" s="654"/>
      <c r="T21" s="654"/>
      <c r="U21" s="654"/>
      <c r="V21" s="654"/>
      <c r="W21" s="654"/>
    </row>
    <row r="22" spans="1:23">
      <c r="A22" s="641">
        <f t="shared" si="4"/>
        <v>6</v>
      </c>
      <c r="B22" s="648">
        <f t="shared" si="4"/>
        <v>0</v>
      </c>
      <c r="C22" s="645">
        <f t="shared" si="5"/>
        <v>0</v>
      </c>
      <c r="D22" s="647">
        <f t="shared" si="8"/>
        <v>0</v>
      </c>
      <c r="E22" s="647">
        <f t="shared" si="8"/>
        <v>0</v>
      </c>
      <c r="F22" s="648">
        <f>B22*(D22+E22)/2000</f>
        <v>0</v>
      </c>
      <c r="G22" s="650">
        <f>G12</f>
        <v>0</v>
      </c>
      <c r="H22" s="663">
        <f t="shared" si="6"/>
        <v>0</v>
      </c>
      <c r="I22" s="663">
        <f>I21</f>
        <v>700</v>
      </c>
      <c r="J22" s="1709">
        <f t="shared" si="7"/>
        <v>0</v>
      </c>
      <c r="L22" s="664"/>
      <c r="M22" s="662"/>
    </row>
    <row r="23" spans="1:23">
      <c r="G23" s="1517"/>
      <c r="H23" s="1719">
        <v>2</v>
      </c>
      <c r="I23" s="666"/>
      <c r="J23" s="662"/>
      <c r="K23" s="665"/>
      <c r="L23" s="666"/>
    </row>
    <row r="24" spans="1:23">
      <c r="G24" s="1516"/>
      <c r="H24" s="663">
        <f>H17/H23</f>
        <v>3838.28125</v>
      </c>
      <c r="I24" s="1710" t="s">
        <v>75</v>
      </c>
      <c r="J24" s="1515"/>
      <c r="K24" s="656"/>
      <c r="M24" s="656"/>
      <c r="N24" s="813"/>
      <c r="R24" s="671">
        <f>K7/2</f>
        <v>4854.9688430059523</v>
      </c>
      <c r="S24" s="843"/>
    </row>
    <row r="25" spans="1:23">
      <c r="G25" s="672"/>
      <c r="H25" s="663"/>
      <c r="I25" s="1448"/>
      <c r="J25" s="1452"/>
      <c r="K25" s="656"/>
      <c r="M25" s="656"/>
      <c r="O25" s="866"/>
      <c r="P25" s="867"/>
      <c r="Q25" s="867"/>
      <c r="R25" s="843"/>
    </row>
    <row r="26" spans="1:23" ht="15.75">
      <c r="A26" s="622" t="s">
        <v>73</v>
      </c>
      <c r="B26" s="623"/>
      <c r="C26" s="623"/>
      <c r="D26" s="623"/>
      <c r="E26" s="624"/>
      <c r="G26" s="626"/>
      <c r="H26" s="627"/>
      <c r="I26" s="627"/>
      <c r="J26" s="627"/>
    </row>
    <row r="27" spans="1:23" ht="15.75">
      <c r="A27" s="622" t="s">
        <v>76</v>
      </c>
      <c r="B27" s="631"/>
      <c r="C27" s="631"/>
      <c r="D27" s="631"/>
      <c r="E27" s="631"/>
      <c r="F27" s="632"/>
      <c r="G27" s="633"/>
      <c r="H27" s="634">
        <v>1</v>
      </c>
      <c r="I27" s="1364"/>
      <c r="J27" s="634"/>
      <c r="K27" s="635">
        <f>K25*0.785</f>
        <v>0</v>
      </c>
    </row>
    <row r="28" spans="1:23" ht="15.75">
      <c r="A28" s="629"/>
      <c r="B28" s="623"/>
      <c r="C28" s="623"/>
      <c r="D28" s="623"/>
      <c r="E28" s="624"/>
      <c r="F28" s="667"/>
      <c r="G28" s="626"/>
      <c r="H28" s="627">
        <f>H17/H27</f>
        <v>7676.5625</v>
      </c>
      <c r="I28" s="627"/>
      <c r="J28" s="627"/>
      <c r="K28" s="681">
        <v>2.1</v>
      </c>
      <c r="L28" s="681">
        <v>1.1000000000000001</v>
      </c>
      <c r="M28" s="681">
        <v>1.1000000000000001</v>
      </c>
      <c r="N28" s="1700">
        <f>SQRT(K28*K28+L28*L28+M28*M28)</f>
        <v>2.613426869074396</v>
      </c>
      <c r="O28" s="681"/>
      <c r="P28" s="643"/>
      <c r="Q28" s="643"/>
    </row>
    <row r="29" spans="1:23" ht="15.75">
      <c r="A29" s="629"/>
      <c r="B29" s="623"/>
      <c r="C29" s="623"/>
      <c r="D29" s="623"/>
      <c r="E29" s="624"/>
      <c r="F29" s="667"/>
      <c r="G29" s="637">
        <f>K4</f>
        <v>0</v>
      </c>
      <c r="H29" s="627"/>
      <c r="I29" s="627"/>
      <c r="K29" s="643"/>
      <c r="L29" s="643"/>
      <c r="M29" s="643"/>
      <c r="N29" s="643"/>
      <c r="O29" s="643"/>
      <c r="P29" s="643"/>
      <c r="Q29" s="643"/>
    </row>
    <row r="30" spans="1:23">
      <c r="A30" s="639" t="s">
        <v>49</v>
      </c>
      <c r="B30" s="640" t="s">
        <v>74</v>
      </c>
      <c r="C30" s="642" t="s">
        <v>53</v>
      </c>
      <c r="D30" s="642" t="s">
        <v>54</v>
      </c>
      <c r="E30" s="642"/>
      <c r="F30" s="642" t="s">
        <v>55</v>
      </c>
      <c r="G30" s="641" t="s">
        <v>56</v>
      </c>
      <c r="K30" s="643"/>
      <c r="L30" s="643"/>
      <c r="M30" s="643"/>
      <c r="N30" s="686"/>
      <c r="O30" s="643"/>
      <c r="P30" s="643"/>
      <c r="Q30" s="643"/>
    </row>
    <row r="31" spans="1:23" ht="13.5" thickBot="1">
      <c r="A31" s="641" t="s">
        <v>57</v>
      </c>
      <c r="B31" s="641" t="s">
        <v>75</v>
      </c>
      <c r="C31" s="642" t="s">
        <v>63</v>
      </c>
      <c r="D31" s="642" t="s">
        <v>64</v>
      </c>
      <c r="E31" s="642" t="s">
        <v>601</v>
      </c>
      <c r="F31" s="642" t="s">
        <v>601</v>
      </c>
      <c r="G31" s="641" t="s">
        <v>65</v>
      </c>
      <c r="K31" s="643"/>
      <c r="L31" s="682"/>
      <c r="M31" s="682"/>
      <c r="N31" s="682"/>
      <c r="O31" s="682"/>
      <c r="P31" s="643"/>
      <c r="Q31" s="643"/>
    </row>
    <row r="32" spans="1:23">
      <c r="A32" s="641">
        <v>1</v>
      </c>
      <c r="B32" s="647">
        <v>2000</v>
      </c>
      <c r="C32" s="1694">
        <v>18</v>
      </c>
      <c r="D32" s="1514">
        <v>1000</v>
      </c>
      <c r="E32" s="669">
        <f t="shared" ref="E32:E37" si="9">C32*1000/D32</f>
        <v>18</v>
      </c>
      <c r="F32" s="669">
        <f>E32</f>
        <v>18</v>
      </c>
      <c r="G32" s="671">
        <f t="shared" ref="G32:G37" si="10">$B32*$C32*$C32*$C32*10000000/(48*2100000*$F32)</f>
        <v>64285.714285714283</v>
      </c>
      <c r="H32" s="671"/>
      <c r="K32" s="1733" t="s">
        <v>139</v>
      </c>
      <c r="L32" s="1734"/>
      <c r="M32" s="1734"/>
      <c r="N32" s="1735"/>
    </row>
    <row r="33" spans="1:20">
      <c r="A33" s="641">
        <v>2</v>
      </c>
      <c r="B33" s="647">
        <v>4000</v>
      </c>
      <c r="C33" s="657">
        <v>0.6</v>
      </c>
      <c r="D33" s="1514">
        <v>1000</v>
      </c>
      <c r="E33" s="668">
        <f t="shared" si="9"/>
        <v>0.6</v>
      </c>
      <c r="F33" s="668">
        <f>E33</f>
        <v>0.6</v>
      </c>
      <c r="G33" s="652">
        <f t="shared" si="10"/>
        <v>142.85714285714286</v>
      </c>
      <c r="K33" s="1686" t="s">
        <v>140</v>
      </c>
      <c r="L33" s="838" t="s">
        <v>1507</v>
      </c>
      <c r="M33" s="838" t="s">
        <v>110</v>
      </c>
      <c r="N33" s="1394" t="s">
        <v>599</v>
      </c>
    </row>
    <row r="34" spans="1:20" ht="13.5" thickBot="1">
      <c r="A34" s="641">
        <v>3</v>
      </c>
      <c r="B34" s="647">
        <v>100000</v>
      </c>
      <c r="C34" s="657">
        <v>5.3</v>
      </c>
      <c r="D34" s="1514">
        <v>300</v>
      </c>
      <c r="E34" s="668">
        <f t="shared" si="9"/>
        <v>17.666666666666668</v>
      </c>
      <c r="F34" s="668">
        <f>E34</f>
        <v>17.666666666666668</v>
      </c>
      <c r="G34" s="671">
        <f t="shared" si="10"/>
        <v>83601.190476190459</v>
      </c>
      <c r="K34" s="1687">
        <v>219</v>
      </c>
      <c r="L34" s="1688">
        <v>5</v>
      </c>
      <c r="M34" s="1688">
        <f>3.14159*(K34*K34-(K34-2*L34)*(K34-2*L34))/400</f>
        <v>33.615012999999998</v>
      </c>
      <c r="N34" s="1689">
        <f>0.785*(3.14159*(K34*K34-(K34-2*L34)*(K34-2*L34))/400)</f>
        <v>26.387785205</v>
      </c>
    </row>
    <row r="35" spans="1:20">
      <c r="A35" s="641">
        <v>4</v>
      </c>
      <c r="B35" s="647">
        <v>100000</v>
      </c>
      <c r="C35" s="657">
        <v>2</v>
      </c>
      <c r="D35" s="1514">
        <v>300</v>
      </c>
      <c r="E35" s="668">
        <f t="shared" si="9"/>
        <v>6.666666666666667</v>
      </c>
      <c r="F35" s="668">
        <f>E35</f>
        <v>6.666666666666667</v>
      </c>
      <c r="G35" s="671">
        <f t="shared" si="10"/>
        <v>11904.761904761905</v>
      </c>
    </row>
    <row r="36" spans="1:20" ht="13.5" thickBot="1">
      <c r="A36" s="641">
        <v>5</v>
      </c>
      <c r="B36" s="647">
        <v>1000</v>
      </c>
      <c r="C36" s="657">
        <v>3.8</v>
      </c>
      <c r="D36" s="1514">
        <v>300</v>
      </c>
      <c r="E36" s="668">
        <f t="shared" si="9"/>
        <v>12.666666666666666</v>
      </c>
      <c r="F36" s="668">
        <f>E36</f>
        <v>12.666666666666666</v>
      </c>
      <c r="G36" s="671">
        <f t="shared" si="10"/>
        <v>429.76190476190476</v>
      </c>
    </row>
    <row r="37" spans="1:20">
      <c r="A37" s="641">
        <v>6</v>
      </c>
      <c r="B37" s="647">
        <v>1000</v>
      </c>
      <c r="C37" s="657">
        <v>3.8</v>
      </c>
      <c r="D37" s="1514">
        <v>300</v>
      </c>
      <c r="E37" s="668">
        <f t="shared" si="9"/>
        <v>12.666666666666666</v>
      </c>
      <c r="F37" s="668">
        <v>8</v>
      </c>
      <c r="G37" s="671">
        <f t="shared" si="10"/>
        <v>680.45634920634916</v>
      </c>
      <c r="I37" s="1388" t="s">
        <v>104</v>
      </c>
      <c r="J37" s="1389"/>
      <c r="K37" s="1389"/>
      <c r="L37" s="1389"/>
      <c r="M37" s="1389"/>
      <c r="N37" s="1389"/>
      <c r="O37" s="1389"/>
      <c r="P37" s="1389"/>
      <c r="Q37" s="1389"/>
      <c r="R37" s="1389"/>
      <c r="S37" s="1389"/>
      <c r="T37" s="1390"/>
    </row>
    <row r="38" spans="1:20">
      <c r="I38" s="1391" t="s">
        <v>132</v>
      </c>
      <c r="J38" s="832"/>
      <c r="K38" s="832"/>
      <c r="L38" s="832"/>
      <c r="M38" s="833" t="s">
        <v>578</v>
      </c>
      <c r="N38" s="833" t="s">
        <v>572</v>
      </c>
      <c r="O38" s="833" t="s">
        <v>56</v>
      </c>
      <c r="P38" s="833" t="s">
        <v>1952</v>
      </c>
      <c r="Q38" s="833" t="s">
        <v>105</v>
      </c>
      <c r="R38" s="833" t="s">
        <v>106</v>
      </c>
      <c r="S38" s="833" t="s">
        <v>0</v>
      </c>
      <c r="T38" s="1392" t="s">
        <v>107</v>
      </c>
    </row>
    <row r="39" spans="1:20" ht="15.75">
      <c r="A39" s="622" t="s">
        <v>77</v>
      </c>
      <c r="B39" s="631"/>
      <c r="C39" s="631"/>
      <c r="D39" s="631"/>
      <c r="E39" s="632"/>
      <c r="F39" s="633"/>
      <c r="G39" s="633"/>
      <c r="H39" s="634"/>
      <c r="I39" s="1393" t="s">
        <v>570</v>
      </c>
      <c r="J39" s="837" t="s">
        <v>1746</v>
      </c>
      <c r="K39" s="837" t="s">
        <v>108</v>
      </c>
      <c r="L39" s="837" t="s">
        <v>109</v>
      </c>
      <c r="M39" s="838" t="s">
        <v>110</v>
      </c>
      <c r="N39" s="838" t="s">
        <v>599</v>
      </c>
      <c r="O39" s="838" t="s">
        <v>111</v>
      </c>
      <c r="P39" s="838" t="s">
        <v>72</v>
      </c>
      <c r="Q39" s="838" t="s">
        <v>607</v>
      </c>
      <c r="R39" s="838" t="s">
        <v>111</v>
      </c>
      <c r="S39" s="838" t="s">
        <v>72</v>
      </c>
      <c r="T39" s="1394" t="s">
        <v>607</v>
      </c>
    </row>
    <row r="40" spans="1:20">
      <c r="A40" s="639" t="s">
        <v>49</v>
      </c>
      <c r="B40" s="640" t="s">
        <v>74</v>
      </c>
      <c r="C40" s="640" t="s">
        <v>53</v>
      </c>
      <c r="D40" s="640" t="s">
        <v>67</v>
      </c>
      <c r="E40" s="640" t="s">
        <v>68</v>
      </c>
      <c r="F40" s="641" t="s">
        <v>69</v>
      </c>
      <c r="I40" s="1395">
        <v>150</v>
      </c>
      <c r="J40" s="854">
        <v>150</v>
      </c>
      <c r="K40" s="854">
        <v>6</v>
      </c>
      <c r="L40" s="854">
        <f>K40</f>
        <v>6</v>
      </c>
      <c r="M40" s="855">
        <f>(J40*I40-(J40-2*K40)*(I40-2*L40))/100</f>
        <v>34.56</v>
      </c>
      <c r="N40" s="842">
        <f>0.785*M40</f>
        <v>27.129600000000003</v>
      </c>
      <c r="O40" s="1359">
        <f>(J40*I40*I40*I40-(J40-2*K40)*(I40-2*L40)*(I40-2*L40)*(I40-2*L40))/12/10000</f>
        <v>1196.4672</v>
      </c>
      <c r="P40" s="860">
        <f>2*10*O40/I40</f>
        <v>159.52896000000001</v>
      </c>
      <c r="Q40" s="855">
        <f>SQRT(O40/M40)</f>
        <v>5.8838762733422598</v>
      </c>
      <c r="R40" s="860">
        <f>(I40*J40*J40*J40-(I40-2*L40)*(J40-2*K40)*(J40-2*K40)*(J40-2*K40))/12/10000</f>
        <v>1196.4672</v>
      </c>
      <c r="S40" s="860">
        <f>2*10*R40/J40</f>
        <v>159.52896000000001</v>
      </c>
      <c r="T40" s="1396">
        <f>SQRT(R40/M40)</f>
        <v>5.8838762733422598</v>
      </c>
    </row>
    <row r="41" spans="1:20">
      <c r="A41" s="641" t="s">
        <v>57</v>
      </c>
      <c r="B41" s="641" t="s">
        <v>75</v>
      </c>
      <c r="C41" s="642" t="s">
        <v>63</v>
      </c>
      <c r="D41" s="642" t="s">
        <v>70</v>
      </c>
      <c r="E41" s="642" t="s">
        <v>71</v>
      </c>
      <c r="F41" s="642" t="s">
        <v>72</v>
      </c>
      <c r="I41" s="1397">
        <v>150</v>
      </c>
      <c r="J41" s="848">
        <v>50</v>
      </c>
      <c r="K41" s="848">
        <v>5</v>
      </c>
      <c r="L41" s="848">
        <v>5</v>
      </c>
      <c r="M41" s="849">
        <f>(J41*I41-(J41-2*K41)*(I41-2*L41))/100</f>
        <v>19</v>
      </c>
      <c r="N41" s="842">
        <f>0.785*M41</f>
        <v>14.915000000000001</v>
      </c>
      <c r="O41" s="860">
        <f>(J41*I41*I41*I41-(J41-2*K41)*(I41-2*L41)*(I41-2*L41)*(I41-2*L41))/12/10000</f>
        <v>491.58333333333331</v>
      </c>
      <c r="P41" s="860">
        <f>2*10*O41/I41</f>
        <v>65.544444444444437</v>
      </c>
      <c r="Q41" s="849">
        <f>SQRT(O41/M41)</f>
        <v>5.0865319243610241</v>
      </c>
      <c r="R41" s="860">
        <f>(I41*J41*J41*J41-(I41-2*L41)*(J41-2*K41)*(J41-2*K41)*(J41-2*K41))/12/10000</f>
        <v>81.583333333333343</v>
      </c>
      <c r="S41" s="860">
        <f>2*10*R41/J41</f>
        <v>32.63333333333334</v>
      </c>
      <c r="T41" s="1398">
        <f>SQRT(R41/M41)</f>
        <v>2.0721630363276939</v>
      </c>
    </row>
    <row r="42" spans="1:20">
      <c r="A42" s="641">
        <f t="shared" ref="A42:C47" si="11">A32</f>
        <v>1</v>
      </c>
      <c r="B42" s="647">
        <f t="shared" si="11"/>
        <v>2000</v>
      </c>
      <c r="C42" s="657">
        <f t="shared" ref="B42:C44" si="12">C32</f>
        <v>18</v>
      </c>
      <c r="D42" s="657">
        <f t="shared" ref="D42:D47" si="13">B42*C42/4</f>
        <v>9000</v>
      </c>
      <c r="E42" s="1514">
        <v>1000</v>
      </c>
      <c r="F42" s="671">
        <f t="shared" ref="F42:F47" si="14">D42*100/E42</f>
        <v>900</v>
      </c>
      <c r="G42" s="656">
        <f>G32/F42*2</f>
        <v>142.85714285714286</v>
      </c>
      <c r="H42" s="625" t="s">
        <v>2524</v>
      </c>
      <c r="I42" s="1397">
        <v>100</v>
      </c>
      <c r="J42" s="848">
        <v>100</v>
      </c>
      <c r="K42" s="848">
        <v>3</v>
      </c>
      <c r="L42" s="848">
        <f>K42</f>
        <v>3</v>
      </c>
      <c r="M42" s="849">
        <f>(J42*I42-(J42-2*K42)*(I42-2*L42))/100</f>
        <v>11.64</v>
      </c>
      <c r="N42" s="842">
        <f>0.785*M42</f>
        <v>9.1374000000000013</v>
      </c>
      <c r="O42" s="860">
        <f>(J42*I42*I42*I42-(J42-2*K42)*(I42-2*L42)*(I42-2*L42)*(I42-2*L42))/12/10000</f>
        <v>182.70920000000001</v>
      </c>
      <c r="P42" s="860">
        <f>2*10*O42/I42</f>
        <v>36.541840000000001</v>
      </c>
      <c r="Q42" s="849">
        <f>SQRT(O42/M42)</f>
        <v>3.9619019001821165</v>
      </c>
      <c r="R42" s="860">
        <f>(I42*J42*J42*J42-(I42-2*L42)*(J42-2*K42)*(J42-2*K42)*(J42-2*K42))/12/10000</f>
        <v>182.70920000000001</v>
      </c>
      <c r="S42" s="860">
        <f>2*10*R42/J42</f>
        <v>36.541840000000001</v>
      </c>
      <c r="T42" s="1398">
        <f>SQRT(R42/M42)</f>
        <v>3.9619019001821165</v>
      </c>
    </row>
    <row r="43" spans="1:20">
      <c r="A43" s="641">
        <f t="shared" si="11"/>
        <v>2</v>
      </c>
      <c r="B43" s="647">
        <f t="shared" si="11"/>
        <v>4000</v>
      </c>
      <c r="C43" s="657">
        <f t="shared" si="12"/>
        <v>0.6</v>
      </c>
      <c r="D43" s="657">
        <f t="shared" si="13"/>
        <v>600</v>
      </c>
      <c r="E43" s="1514">
        <f>E42</f>
        <v>1000</v>
      </c>
      <c r="F43" s="652">
        <f t="shared" si="14"/>
        <v>60</v>
      </c>
      <c r="G43" s="656">
        <f>D43/1000*100</f>
        <v>60</v>
      </c>
      <c r="H43" s="625" t="s">
        <v>2524</v>
      </c>
      <c r="I43" s="1397">
        <v>2250</v>
      </c>
      <c r="J43" s="848">
        <v>800</v>
      </c>
      <c r="K43" s="848">
        <v>25</v>
      </c>
      <c r="L43" s="848">
        <v>50</v>
      </c>
      <c r="M43" s="849">
        <f>(J43*I43-(J43-2*K43)*(I43-2*L43))/100</f>
        <v>1875</v>
      </c>
      <c r="N43" s="842">
        <f>0.785*M43</f>
        <v>1471.875</v>
      </c>
      <c r="O43" s="860">
        <f>(J43*I43*I43*I43-(J43-2*K43)*(I43-2*L43)*(I43-2*L43)*(I43-2*L43))/12/10000</f>
        <v>13822656.25</v>
      </c>
      <c r="P43" s="860">
        <f>2*10*O43/I43</f>
        <v>122868.05555555556</v>
      </c>
      <c r="Q43" s="849">
        <f>SQRT(O43/M43)</f>
        <v>85.860837017427997</v>
      </c>
      <c r="R43" s="860">
        <f>(I43*J43*J43*J43-(I43-2*L43)*(J43-2*K43)*(J43-2*K43)*(J43-2*K43))/12/10000</f>
        <v>2041406.25</v>
      </c>
      <c r="S43" s="860">
        <f>2*10*R43/J43</f>
        <v>51035.15625</v>
      </c>
      <c r="T43" s="1398">
        <f>SQRT(R43/M43)</f>
        <v>32.996211903792833</v>
      </c>
    </row>
    <row r="44" spans="1:20">
      <c r="A44" s="641">
        <f t="shared" si="11"/>
        <v>3</v>
      </c>
      <c r="B44" s="647">
        <f t="shared" si="12"/>
        <v>100000</v>
      </c>
      <c r="C44" s="657">
        <f t="shared" si="12"/>
        <v>5.3</v>
      </c>
      <c r="D44" s="657">
        <f t="shared" si="13"/>
        <v>132500</v>
      </c>
      <c r="E44" s="1514">
        <f>E43</f>
        <v>1000</v>
      </c>
      <c r="F44" s="671">
        <f t="shared" si="14"/>
        <v>13250</v>
      </c>
      <c r="G44" s="666"/>
      <c r="H44" s="666"/>
      <c r="I44" s="1397">
        <v>750</v>
      </c>
      <c r="J44" s="848">
        <v>500</v>
      </c>
      <c r="K44" s="848">
        <v>10</v>
      </c>
      <c r="L44" s="848">
        <v>20</v>
      </c>
      <c r="M44" s="849">
        <f>(J44*I44-(J44-2*K44)*(I44-2*L44))/100</f>
        <v>342</v>
      </c>
      <c r="N44" s="842">
        <f>0.785*M44</f>
        <v>268.47000000000003</v>
      </c>
      <c r="O44" s="860">
        <f>(J44*I44*I44*I44-(J44-2*K44)*(I44-2*L44)*(I44-2*L44)*(I44-2*L44))/12/10000</f>
        <v>326168.5</v>
      </c>
      <c r="P44" s="860">
        <f>2*10*O44/I44</f>
        <v>8697.8266666666659</v>
      </c>
      <c r="Q44" s="849">
        <f>SQRT(O44/M44)</f>
        <v>30.88218036874154</v>
      </c>
      <c r="R44" s="860">
        <f>(I44*J44*J44*J44-(I44-2*L44)*(J44-2*K44)*(J44-2*K44)*(J44-2*K44))/12/10000</f>
        <v>126914</v>
      </c>
      <c r="S44" s="860">
        <f>2*10*R44/J44</f>
        <v>5076.5600000000004</v>
      </c>
      <c r="T44" s="1398">
        <f>SQRT(R44/M44)</f>
        <v>19.263789015961059</v>
      </c>
    </row>
    <row r="45" spans="1:20">
      <c r="A45" s="641">
        <f t="shared" si="11"/>
        <v>4</v>
      </c>
      <c r="B45" s="647">
        <f t="shared" si="11"/>
        <v>100000</v>
      </c>
      <c r="C45" s="657">
        <f t="shared" si="11"/>
        <v>2</v>
      </c>
      <c r="D45" s="657">
        <f t="shared" si="13"/>
        <v>50000</v>
      </c>
      <c r="E45" s="1514">
        <f>E44</f>
        <v>1000</v>
      </c>
      <c r="F45" s="671">
        <f t="shared" si="14"/>
        <v>5000</v>
      </c>
      <c r="G45" s="625">
        <f>G42/275</f>
        <v>0.51948051948051954</v>
      </c>
      <c r="H45" s="625" t="s">
        <v>457</v>
      </c>
    </row>
    <row r="46" spans="1:20">
      <c r="A46" s="641">
        <f t="shared" si="11"/>
        <v>5</v>
      </c>
      <c r="B46" s="647">
        <f t="shared" si="11"/>
        <v>1000</v>
      </c>
      <c r="C46" s="657">
        <f t="shared" si="11"/>
        <v>3.8</v>
      </c>
      <c r="D46" s="657">
        <f t="shared" si="13"/>
        <v>950</v>
      </c>
      <c r="E46" s="1514">
        <f>E45</f>
        <v>1000</v>
      </c>
      <c r="F46" s="671">
        <f t="shared" si="14"/>
        <v>95</v>
      </c>
      <c r="G46" s="813">
        <f>G43/67</f>
        <v>0.89552238805970152</v>
      </c>
      <c r="H46" s="625" t="s">
        <v>457</v>
      </c>
    </row>
    <row r="47" spans="1:20">
      <c r="A47" s="641">
        <f t="shared" si="11"/>
        <v>6</v>
      </c>
      <c r="B47" s="647">
        <f t="shared" si="11"/>
        <v>1000</v>
      </c>
      <c r="C47" s="657">
        <f t="shared" si="11"/>
        <v>3.8</v>
      </c>
      <c r="D47" s="657">
        <f t="shared" si="13"/>
        <v>950</v>
      </c>
      <c r="E47" s="1514">
        <f>E46</f>
        <v>1000</v>
      </c>
      <c r="F47" s="671">
        <f t="shared" si="14"/>
        <v>95</v>
      </c>
      <c r="G47" s="813">
        <f>SUM(G45:G46)</f>
        <v>1.4150029075402211</v>
      </c>
      <c r="H47" s="625" t="s">
        <v>457</v>
      </c>
      <c r="N47" s="1527">
        <f>20*2*(N40*1.25)</f>
        <v>1356.4800000000002</v>
      </c>
    </row>
    <row r="48" spans="1:20">
      <c r="I48" s="673"/>
      <c r="J48" s="673"/>
      <c r="K48" s="673"/>
      <c r="L48" s="673"/>
      <c r="M48" s="673"/>
      <c r="N48" s="1527">
        <v>5000</v>
      </c>
      <c r="O48" s="673"/>
      <c r="P48" s="673"/>
      <c r="Q48" s="673"/>
      <c r="R48" s="673"/>
      <c r="S48" s="673"/>
      <c r="T48" s="673"/>
    </row>
    <row r="49" spans="4:20">
      <c r="N49" s="1527">
        <f>2*B42</f>
        <v>4000</v>
      </c>
    </row>
    <row r="50" spans="4:20">
      <c r="D50" s="1527">
        <f>D42</f>
        <v>9000</v>
      </c>
      <c r="N50" s="1527">
        <v>40000</v>
      </c>
    </row>
    <row r="51" spans="4:20">
      <c r="D51" s="1527">
        <f>H17</f>
        <v>7676.5625</v>
      </c>
      <c r="N51" s="1527">
        <f>SUM(N47:N50)</f>
        <v>50356.479999999996</v>
      </c>
    </row>
    <row r="52" spans="4:20">
      <c r="D52" s="1527">
        <f>SUM(D50:D51)</f>
        <v>16676.5625</v>
      </c>
      <c r="E52" s="1527">
        <f>E42</f>
        <v>1000</v>
      </c>
      <c r="F52" s="671">
        <f>D52*100/E52</f>
        <v>1667.65625</v>
      </c>
      <c r="N52" s="1527">
        <v>2</v>
      </c>
    </row>
    <row r="53" spans="4:20">
      <c r="N53" s="1527">
        <f>N51/N52</f>
        <v>25178.239999999998</v>
      </c>
    </row>
    <row r="61" spans="4:20" s="673" customFormat="1">
      <c r="I61" s="625"/>
      <c r="J61" s="625"/>
      <c r="K61" s="625"/>
      <c r="L61" s="625"/>
      <c r="M61" s="625"/>
      <c r="N61" s="625"/>
      <c r="O61" s="625"/>
      <c r="P61" s="625"/>
      <c r="Q61" s="625"/>
      <c r="R61" s="625"/>
      <c r="S61" s="625"/>
      <c r="T61" s="625"/>
    </row>
  </sheetData>
  <mergeCells count="2">
    <mergeCell ref="K32:N32"/>
    <mergeCell ref="L4:X4"/>
  </mergeCells>
  <phoneticPr fontId="68" type="noConversion"/>
  <pageMargins left="0.75" right="0.75" top="1" bottom="1" header="0.5" footer="0.5"/>
  <pageSetup paperSize="9" orientation="portrait" horizontalDpi="300" verticalDpi="300" r:id="rId1"/>
  <headerFooter alignWithMargins="0">
    <oddHeader>&amp;A</oddHeader>
    <oddFooter>Sayfa &amp;P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6628" r:id="rId4" name="Drop Down 4">
              <controlPr defaultSize="0" autoLine="0" autoPict="0">
                <anchor moveWithCells="1">
                  <from>
                    <xdr:col>11</xdr:col>
                    <xdr:colOff>800100</xdr:colOff>
                    <xdr:row>15</xdr:row>
                    <xdr:rowOff>171450</xdr:rowOff>
                  </from>
                  <to>
                    <xdr:col>12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9" r:id="rId5" name="Drop Down 5">
              <controlPr defaultSize="0" autoLine="0" autoPict="0">
                <anchor moveWithCells="1">
                  <from>
                    <xdr:col>11</xdr:col>
                    <xdr:colOff>800100</xdr:colOff>
                    <xdr:row>14</xdr:row>
                    <xdr:rowOff>133350</xdr:rowOff>
                  </from>
                  <to>
                    <xdr:col>12</xdr:col>
                    <xdr:colOff>666750</xdr:colOff>
                    <xdr:row>15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0" r:id="rId6" name="Drop Down 6">
              <controlPr defaultSize="0" autoLine="0" autoPict="0">
                <anchor moveWithCells="1">
                  <from>
                    <xdr:col>12</xdr:col>
                    <xdr:colOff>0</xdr:colOff>
                    <xdr:row>16</xdr:row>
                    <xdr:rowOff>152400</xdr:rowOff>
                  </from>
                  <to>
                    <xdr:col>13</xdr:col>
                    <xdr:colOff>19050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1" r:id="rId7" name="Drop Down 7">
              <controlPr defaultSize="0" autoLine="0" autoPict="0">
                <anchor moveWithCells="1">
                  <from>
                    <xdr:col>11</xdr:col>
                    <xdr:colOff>800100</xdr:colOff>
                    <xdr:row>18</xdr:row>
                    <xdr:rowOff>28575</xdr:rowOff>
                  </from>
                  <to>
                    <xdr:col>12</xdr:col>
                    <xdr:colOff>676275</xdr:colOff>
                    <xdr:row>19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2" r:id="rId8" name="Drop Down 8">
              <controlPr defaultSize="0" autoLine="0" autoPict="0">
                <anchor moveWithCells="1">
                  <from>
                    <xdr:col>11</xdr:col>
                    <xdr:colOff>485775</xdr:colOff>
                    <xdr:row>19</xdr:row>
                    <xdr:rowOff>28575</xdr:rowOff>
                  </from>
                  <to>
                    <xdr:col>12</xdr:col>
                    <xdr:colOff>685800</xdr:colOff>
                    <xdr:row>20</xdr:row>
                    <xdr:rowOff>66675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AJ334"/>
  <sheetViews>
    <sheetView workbookViewId="0"/>
  </sheetViews>
  <sheetFormatPr defaultColWidth="0" defaultRowHeight="11.25" zeroHeight="1"/>
  <cols>
    <col min="1" max="1" width="16.140625" style="216" customWidth="1"/>
    <col min="2" max="2" width="5.7109375" style="217" customWidth="1"/>
    <col min="3" max="4" width="6.140625" style="218" customWidth="1"/>
    <col min="5" max="7" width="5.140625" style="218" customWidth="1"/>
    <col min="8" max="8" width="6.7109375" style="218" customWidth="1"/>
    <col min="9" max="10" width="6.140625" style="218" customWidth="1"/>
    <col min="11" max="11" width="4.7109375" style="218" customWidth="1"/>
    <col min="12" max="12" width="4.85546875" style="219" customWidth="1"/>
    <col min="13" max="13" width="5.28515625" style="218" customWidth="1"/>
    <col min="14" max="15" width="5.7109375" style="218" customWidth="1"/>
    <col min="16" max="16" width="16.140625" style="216" customWidth="1"/>
    <col min="17" max="17" width="5.7109375" style="218" customWidth="1"/>
    <col min="18" max="18" width="6" style="218" customWidth="1"/>
    <col min="19" max="21" width="5.140625" style="218" customWidth="1"/>
    <col min="22" max="22" width="6.140625" style="218" customWidth="1"/>
    <col min="23" max="23" width="5.140625" style="218" customWidth="1"/>
    <col min="24" max="25" width="5.7109375" style="218" customWidth="1"/>
    <col min="26" max="26" width="3.85546875" style="218" customWidth="1"/>
    <col min="27" max="27" width="5.42578125" style="218" customWidth="1"/>
    <col min="28" max="28" width="5" style="220" customWidth="1"/>
    <col min="29" max="29" width="5.85546875" style="220" customWidth="1"/>
    <col min="30" max="35" width="3.42578125" style="220" customWidth="1"/>
    <col min="36" max="36" width="2.42578125" style="218" customWidth="1"/>
    <col min="37" max="16384" width="10.85546875" style="218" hidden="1"/>
  </cols>
  <sheetData>
    <row r="1" spans="1:36" s="193" customFormat="1" ht="18.75" customHeight="1">
      <c r="A1" s="321"/>
      <c r="B1" s="323"/>
      <c r="C1" s="322"/>
      <c r="D1" s="322"/>
      <c r="E1" s="321"/>
      <c r="F1" s="324"/>
      <c r="G1" s="322"/>
      <c r="H1" s="324"/>
      <c r="I1" s="322"/>
      <c r="J1" s="322"/>
      <c r="K1" s="473"/>
      <c r="L1" s="421"/>
      <c r="M1" s="417"/>
      <c r="N1" s="417"/>
      <c r="O1" s="417"/>
      <c r="P1" s="417"/>
      <c r="Q1" s="417"/>
      <c r="R1" s="417"/>
      <c r="S1" s="417"/>
      <c r="T1" s="417"/>
      <c r="U1" s="417"/>
      <c r="V1" s="417"/>
      <c r="W1" s="417"/>
      <c r="X1" s="417"/>
      <c r="Y1" s="417"/>
      <c r="Z1" s="417"/>
      <c r="AA1" s="417"/>
      <c r="AB1" s="419"/>
      <c r="AC1" s="419"/>
      <c r="AD1" s="419"/>
      <c r="AE1" s="419"/>
      <c r="AF1" s="419"/>
      <c r="AG1" s="419"/>
      <c r="AH1" s="419"/>
      <c r="AI1" s="419"/>
      <c r="AJ1" s="417"/>
    </row>
    <row r="2" spans="1:36" s="193" customFormat="1" ht="18.75" customHeight="1">
      <c r="A2" s="321"/>
      <c r="B2" s="323"/>
      <c r="C2" s="322"/>
      <c r="D2" s="322"/>
      <c r="E2" s="321"/>
      <c r="F2" s="324"/>
      <c r="G2" s="322"/>
      <c r="H2" s="324"/>
      <c r="I2" s="322"/>
      <c r="J2" s="322"/>
      <c r="K2" s="473"/>
      <c r="L2" s="421"/>
      <c r="M2" s="417"/>
      <c r="N2" s="417"/>
      <c r="O2" s="417"/>
      <c r="P2" s="417"/>
      <c r="Q2" s="417"/>
      <c r="R2" s="417"/>
      <c r="S2" s="417"/>
      <c r="T2" s="417"/>
      <c r="U2" s="417"/>
      <c r="V2" s="417"/>
      <c r="W2" s="417"/>
      <c r="X2" s="417"/>
      <c r="Y2" s="417"/>
      <c r="Z2" s="417"/>
      <c r="AA2" s="417"/>
      <c r="AB2" s="419"/>
      <c r="AC2" s="419"/>
      <c r="AD2" s="419"/>
      <c r="AE2" s="419"/>
      <c r="AF2" s="419"/>
      <c r="AG2" s="419"/>
      <c r="AH2" s="419"/>
      <c r="AI2" s="419"/>
      <c r="AJ2" s="417"/>
    </row>
    <row r="3" spans="1:36" s="193" customFormat="1" ht="18.75" customHeight="1">
      <c r="A3" s="423" t="s">
        <v>1825</v>
      </c>
      <c r="B3" s="323"/>
      <c r="C3" s="322"/>
      <c r="D3" s="322"/>
      <c r="E3" s="321"/>
      <c r="F3" s="324"/>
      <c r="G3" s="322"/>
      <c r="H3" s="324"/>
      <c r="I3" s="322"/>
      <c r="J3" s="322"/>
      <c r="K3" s="321"/>
      <c r="L3" s="421"/>
      <c r="M3" s="417"/>
      <c r="N3" s="417"/>
      <c r="O3" s="417"/>
      <c r="P3" s="417"/>
      <c r="Q3" s="417"/>
      <c r="R3" s="417"/>
      <c r="S3" s="417"/>
      <c r="T3" s="417"/>
      <c r="U3" s="417"/>
      <c r="V3" s="417"/>
      <c r="W3" s="417"/>
      <c r="X3" s="417"/>
      <c r="Y3" s="417"/>
      <c r="Z3" s="417"/>
      <c r="AA3" s="417"/>
      <c r="AB3" s="419"/>
      <c r="AC3" s="419"/>
      <c r="AD3" s="419"/>
      <c r="AE3" s="419"/>
      <c r="AF3" s="419"/>
      <c r="AG3" s="419"/>
      <c r="AH3" s="419"/>
      <c r="AI3" s="419"/>
      <c r="AJ3" s="417"/>
    </row>
    <row r="4" spans="1:36" s="193" customFormat="1" ht="20.25">
      <c r="A4" s="423" t="s">
        <v>1826</v>
      </c>
      <c r="B4" s="422"/>
      <c r="C4" s="417"/>
      <c r="D4" s="417"/>
      <c r="E4" s="417"/>
      <c r="F4" s="417"/>
      <c r="G4" s="417"/>
      <c r="H4" s="417"/>
      <c r="I4" s="417"/>
      <c r="J4" s="417"/>
      <c r="K4" s="417"/>
      <c r="L4" s="421"/>
      <c r="M4" s="417"/>
      <c r="N4" s="417"/>
      <c r="O4" s="417"/>
      <c r="P4" s="417"/>
      <c r="Q4" s="417"/>
      <c r="R4" s="417"/>
      <c r="S4" s="417"/>
      <c r="T4" s="417"/>
      <c r="U4" s="417"/>
      <c r="V4" s="417"/>
      <c r="W4" s="417"/>
      <c r="X4" s="417"/>
      <c r="Y4" s="417"/>
      <c r="Z4" s="417"/>
      <c r="AA4" s="417"/>
      <c r="AB4" s="419"/>
      <c r="AC4" s="419"/>
      <c r="AD4" s="419"/>
      <c r="AE4" s="419"/>
      <c r="AF4" s="419"/>
      <c r="AG4" s="419"/>
      <c r="AH4" s="419"/>
      <c r="AI4" s="419"/>
      <c r="AJ4" s="417"/>
    </row>
    <row r="5" spans="1:36" s="193" customFormat="1" ht="20.25">
      <c r="A5" s="423" t="s">
        <v>1862</v>
      </c>
      <c r="B5" s="422"/>
      <c r="C5" s="417"/>
      <c r="D5" s="417"/>
      <c r="E5" s="417"/>
      <c r="F5" s="417"/>
      <c r="G5" s="417"/>
      <c r="H5" s="417"/>
      <c r="I5" s="417"/>
      <c r="J5" s="417"/>
      <c r="K5" s="417"/>
      <c r="L5" s="421"/>
      <c r="M5" s="417"/>
      <c r="N5" s="417"/>
      <c r="O5" s="417"/>
      <c r="P5" s="417"/>
      <c r="Q5" s="417"/>
      <c r="R5" s="417"/>
      <c r="S5" s="417"/>
      <c r="T5" s="417"/>
      <c r="U5" s="417"/>
      <c r="V5" s="417"/>
      <c r="W5" s="417"/>
      <c r="X5" s="417"/>
      <c r="Y5" s="417"/>
      <c r="Z5" s="417"/>
      <c r="AA5" s="417"/>
      <c r="AB5" s="419"/>
      <c r="AC5" s="419"/>
      <c r="AD5" s="419"/>
      <c r="AE5" s="419"/>
      <c r="AF5" s="419"/>
      <c r="AG5" s="419"/>
      <c r="AH5" s="419"/>
      <c r="AI5" s="419"/>
      <c r="AJ5" s="417"/>
    </row>
    <row r="6" spans="1:36" s="193" customFormat="1" ht="12">
      <c r="A6" s="417" t="s">
        <v>1827</v>
      </c>
      <c r="B6" s="477"/>
      <c r="C6" s="477"/>
      <c r="D6" s="477"/>
      <c r="E6" s="477"/>
      <c r="F6" s="477"/>
      <c r="G6" s="477"/>
      <c r="H6" s="477"/>
      <c r="I6" s="477"/>
      <c r="J6" s="477"/>
      <c r="K6" s="477"/>
      <c r="L6" s="421"/>
      <c r="M6" s="417"/>
      <c r="N6" s="417"/>
      <c r="O6" s="417"/>
      <c r="P6" s="417"/>
      <c r="Q6" s="417"/>
      <c r="R6" s="417"/>
      <c r="S6" s="417"/>
      <c r="T6" s="417"/>
      <c r="U6" s="417"/>
      <c r="V6" s="417"/>
      <c r="W6" s="417"/>
      <c r="X6" s="417"/>
      <c r="Y6" s="417"/>
      <c r="Z6" s="417"/>
      <c r="AA6" s="417"/>
      <c r="AB6" s="419"/>
      <c r="AC6" s="419"/>
      <c r="AD6" s="419"/>
      <c r="AE6" s="419"/>
      <c r="AF6" s="419"/>
      <c r="AG6" s="419"/>
      <c r="AH6" s="419"/>
      <c r="AI6" s="419"/>
      <c r="AJ6" s="417"/>
    </row>
    <row r="7" spans="1:36" s="193" customFormat="1" ht="12">
      <c r="A7" s="417"/>
      <c r="B7" s="477"/>
      <c r="C7" s="477"/>
      <c r="D7" s="477"/>
      <c r="E7" s="477"/>
      <c r="F7" s="477"/>
      <c r="G7" s="477"/>
      <c r="H7" s="477"/>
      <c r="I7" s="477"/>
      <c r="J7" s="477"/>
      <c r="K7" s="477"/>
      <c r="L7" s="421"/>
      <c r="M7" s="417"/>
      <c r="N7" s="417"/>
      <c r="O7" s="417"/>
      <c r="P7" s="417"/>
      <c r="Q7" s="417"/>
      <c r="R7" s="417"/>
      <c r="S7" s="417"/>
      <c r="T7" s="417"/>
      <c r="U7" s="417"/>
      <c r="V7" s="417"/>
      <c r="W7" s="417"/>
      <c r="X7" s="417"/>
      <c r="Y7" s="417"/>
      <c r="Z7" s="417"/>
      <c r="AA7" s="417"/>
      <c r="AB7" s="419"/>
      <c r="AC7" s="419"/>
      <c r="AD7" s="419"/>
      <c r="AE7" s="419"/>
      <c r="AF7" s="419"/>
      <c r="AG7" s="419"/>
      <c r="AH7" s="419"/>
      <c r="AI7" s="419"/>
      <c r="AJ7" s="417"/>
    </row>
    <row r="8" spans="1:36" s="193" customFormat="1" ht="12">
      <c r="A8" s="417"/>
      <c r="B8" s="477"/>
      <c r="C8" s="477"/>
      <c r="D8" s="477"/>
      <c r="E8" s="477"/>
      <c r="F8" s="477"/>
      <c r="G8" s="477"/>
      <c r="H8" s="477"/>
      <c r="I8" s="477"/>
      <c r="J8" s="477"/>
      <c r="K8" s="477"/>
      <c r="L8" s="421"/>
      <c r="M8" s="417"/>
      <c r="N8" s="417"/>
      <c r="O8" s="417"/>
      <c r="P8" s="417"/>
      <c r="Q8" s="417"/>
      <c r="R8" s="417"/>
      <c r="S8" s="417"/>
      <c r="T8" s="417"/>
      <c r="U8" s="417"/>
      <c r="V8" s="417"/>
      <c r="W8" s="417"/>
      <c r="X8" s="417"/>
      <c r="Y8" s="417"/>
      <c r="Z8" s="417"/>
      <c r="AA8" s="417"/>
      <c r="AB8" s="419"/>
      <c r="AC8" s="419"/>
      <c r="AD8" s="419"/>
      <c r="AE8" s="419"/>
      <c r="AF8" s="419"/>
      <c r="AG8" s="419"/>
      <c r="AH8" s="419"/>
      <c r="AI8" s="419"/>
      <c r="AJ8" s="417"/>
    </row>
    <row r="9" spans="1:36" s="193" customFormat="1" ht="12">
      <c r="A9" s="417"/>
      <c r="B9" s="477"/>
      <c r="C9" s="477"/>
      <c r="D9" s="477"/>
      <c r="E9" s="477"/>
      <c r="F9" s="477"/>
      <c r="G9" s="477"/>
      <c r="H9" s="477"/>
      <c r="I9" s="477"/>
      <c r="J9" s="477"/>
      <c r="K9" s="477"/>
      <c r="L9" s="421"/>
      <c r="M9" s="417"/>
      <c r="N9" s="417"/>
      <c r="O9" s="417"/>
      <c r="P9" s="417"/>
      <c r="Q9" s="417"/>
      <c r="R9" s="417"/>
      <c r="S9" s="417"/>
      <c r="T9" s="417"/>
      <c r="U9" s="417"/>
      <c r="V9" s="417"/>
      <c r="W9" s="417"/>
      <c r="X9" s="417"/>
      <c r="Y9" s="417"/>
      <c r="Z9" s="417"/>
      <c r="AA9" s="417"/>
      <c r="AB9" s="419"/>
      <c r="AC9" s="419"/>
      <c r="AD9" s="419"/>
      <c r="AE9" s="419"/>
      <c r="AF9" s="419"/>
      <c r="AG9" s="419"/>
      <c r="AH9" s="419"/>
      <c r="AI9" s="419"/>
      <c r="AJ9" s="417"/>
    </row>
    <row r="10" spans="1:36" s="193" customFormat="1" ht="12">
      <c r="A10" s="477"/>
      <c r="B10" s="477"/>
      <c r="C10" s="477"/>
      <c r="D10" s="477"/>
      <c r="E10" s="477"/>
      <c r="F10" s="477"/>
      <c r="G10" s="477"/>
      <c r="H10" s="477"/>
      <c r="I10" s="477"/>
      <c r="J10" s="477"/>
      <c r="K10" s="477"/>
      <c r="L10" s="421"/>
      <c r="M10" s="417"/>
      <c r="N10" s="417"/>
      <c r="O10" s="417"/>
      <c r="P10" s="417"/>
      <c r="Q10" s="417"/>
      <c r="R10" s="417"/>
      <c r="S10" s="417"/>
      <c r="T10" s="417"/>
      <c r="U10" s="417"/>
      <c r="V10" s="417"/>
      <c r="W10" s="417"/>
      <c r="X10" s="417"/>
      <c r="Y10" s="417"/>
      <c r="Z10" s="417"/>
      <c r="AA10" s="417"/>
      <c r="AB10" s="419"/>
      <c r="AC10" s="419"/>
      <c r="AD10" s="419"/>
      <c r="AE10" s="419"/>
      <c r="AF10" s="419"/>
      <c r="AG10" s="419"/>
      <c r="AH10" s="419"/>
      <c r="AI10" s="419"/>
      <c r="AJ10" s="417"/>
    </row>
    <row r="11" spans="1:36" s="193" customFormat="1" ht="12">
      <c r="A11" s="477"/>
      <c r="B11" s="477"/>
      <c r="C11" s="477"/>
      <c r="D11" s="477"/>
      <c r="E11" s="477"/>
      <c r="F11" s="477"/>
      <c r="G11" s="477"/>
      <c r="H11" s="477"/>
      <c r="I11" s="477"/>
      <c r="J11" s="477"/>
      <c r="K11" s="477"/>
      <c r="L11" s="421"/>
      <c r="M11" s="417"/>
      <c r="N11" s="417"/>
      <c r="O11" s="417"/>
      <c r="P11" s="417"/>
      <c r="Q11" s="417"/>
      <c r="R11" s="417"/>
      <c r="S11" s="417"/>
      <c r="T11" s="417"/>
      <c r="U11" s="417"/>
      <c r="V11" s="417"/>
      <c r="W11" s="417"/>
      <c r="X11" s="417"/>
      <c r="Y11" s="417"/>
      <c r="Z11" s="417"/>
      <c r="AA11" s="417"/>
      <c r="AB11" s="419"/>
      <c r="AC11" s="419"/>
      <c r="AD11" s="419"/>
      <c r="AE11" s="419"/>
      <c r="AF11" s="419"/>
      <c r="AG11" s="419"/>
      <c r="AH11" s="419"/>
      <c r="AI11" s="419"/>
      <c r="AJ11" s="417"/>
    </row>
    <row r="12" spans="1:36" s="193" customFormat="1" ht="12" thickBot="1">
      <c r="A12" s="417"/>
      <c r="B12" s="422"/>
      <c r="C12" s="417"/>
      <c r="D12" s="417"/>
      <c r="E12" s="417"/>
      <c r="F12" s="417"/>
      <c r="G12" s="417"/>
      <c r="H12" s="417"/>
      <c r="I12" s="417"/>
      <c r="J12" s="417"/>
      <c r="K12" s="417"/>
      <c r="L12" s="421"/>
      <c r="M12" s="417"/>
      <c r="N12" s="417"/>
      <c r="O12" s="417"/>
      <c r="P12" s="417"/>
      <c r="Q12" s="417"/>
      <c r="R12" s="417"/>
      <c r="S12" s="417"/>
      <c r="T12" s="417"/>
      <c r="U12" s="417"/>
      <c r="V12" s="417"/>
      <c r="W12" s="417"/>
      <c r="X12" s="417"/>
      <c r="Y12" s="417"/>
      <c r="Z12" s="417"/>
      <c r="AA12" s="417"/>
      <c r="AB12" s="419"/>
      <c r="AC12" s="419"/>
      <c r="AD12" s="419"/>
      <c r="AE12" s="419"/>
      <c r="AF12" s="419"/>
      <c r="AG12" s="419"/>
      <c r="AH12" s="419"/>
      <c r="AI12" s="419"/>
      <c r="AJ12" s="417"/>
    </row>
    <row r="13" spans="1:36" s="193" customFormat="1" ht="12.75" thickTop="1" thickBot="1">
      <c r="A13" s="327"/>
      <c r="B13" s="328"/>
      <c r="C13" s="327"/>
      <c r="D13" s="363"/>
      <c r="E13" s="363"/>
      <c r="F13" s="363"/>
      <c r="G13" s="364"/>
      <c r="H13" s="366" t="s">
        <v>1799</v>
      </c>
      <c r="I13" s="327"/>
      <c r="J13" s="363"/>
      <c r="K13" s="363"/>
      <c r="L13" s="368"/>
      <c r="M13" s="364"/>
      <c r="N13" s="327"/>
      <c r="O13" s="364"/>
      <c r="P13" s="327"/>
      <c r="Q13" s="364"/>
      <c r="R13" s="370"/>
      <c r="S13" s="362"/>
      <c r="T13" s="362"/>
      <c r="U13" s="362"/>
      <c r="V13" s="362"/>
      <c r="W13" s="362" t="s">
        <v>1804</v>
      </c>
      <c r="X13" s="362"/>
      <c r="Y13" s="362"/>
      <c r="Z13" s="362"/>
      <c r="AA13" s="362"/>
      <c r="AB13" s="371"/>
      <c r="AC13" s="372"/>
      <c r="AD13" s="374"/>
      <c r="AE13" s="375"/>
      <c r="AF13" s="375" t="s">
        <v>1806</v>
      </c>
      <c r="AG13" s="375"/>
      <c r="AH13" s="375"/>
      <c r="AI13" s="376"/>
      <c r="AJ13" s="66" t="s">
        <v>570</v>
      </c>
    </row>
    <row r="14" spans="1:36" s="193" customFormat="1" ht="12.75" thickTop="1" thickBot="1">
      <c r="A14" s="329" t="s">
        <v>1799</v>
      </c>
      <c r="B14" s="330"/>
      <c r="C14" s="329"/>
      <c r="D14" s="360"/>
      <c r="E14" s="360" t="s">
        <v>1800</v>
      </c>
      <c r="F14" s="360"/>
      <c r="G14" s="365"/>
      <c r="H14" s="367" t="s">
        <v>1801</v>
      </c>
      <c r="I14" s="329"/>
      <c r="J14" s="360" t="s">
        <v>1802</v>
      </c>
      <c r="K14" s="360"/>
      <c r="L14" s="369"/>
      <c r="M14" s="365"/>
      <c r="N14" s="329" t="s">
        <v>1803</v>
      </c>
      <c r="O14" s="365"/>
      <c r="P14" s="329" t="s">
        <v>1799</v>
      </c>
      <c r="Q14" s="365"/>
      <c r="R14" s="370"/>
      <c r="S14" s="362" t="s">
        <v>1859</v>
      </c>
      <c r="T14" s="362"/>
      <c r="U14" s="362"/>
      <c r="V14" s="373"/>
      <c r="W14" s="370"/>
      <c r="X14" s="362" t="s">
        <v>1860</v>
      </c>
      <c r="Y14" s="362"/>
      <c r="Z14" s="373"/>
      <c r="AA14" s="331"/>
      <c r="AB14" s="332"/>
      <c r="AC14" s="333"/>
      <c r="AD14" s="377"/>
      <c r="AE14" s="378"/>
      <c r="AF14" s="378" t="s">
        <v>1807</v>
      </c>
      <c r="AG14" s="378"/>
      <c r="AH14" s="378"/>
      <c r="AI14" s="379"/>
      <c r="AJ14" s="66" t="s">
        <v>571</v>
      </c>
    </row>
    <row r="15" spans="1:36" s="193" customFormat="1" ht="20.25" thickTop="1">
      <c r="A15" s="69"/>
      <c r="B15" s="67" t="s">
        <v>572</v>
      </c>
      <c r="C15" s="18" t="s">
        <v>573</v>
      </c>
      <c r="D15" s="18" t="s">
        <v>574</v>
      </c>
      <c r="E15" s="18" t="s">
        <v>811</v>
      </c>
      <c r="F15" s="18" t="s">
        <v>812</v>
      </c>
      <c r="G15" s="67" t="s">
        <v>577</v>
      </c>
      <c r="H15" s="67" t="s">
        <v>578</v>
      </c>
      <c r="I15" s="18" t="s">
        <v>813</v>
      </c>
      <c r="J15" s="18" t="s">
        <v>580</v>
      </c>
      <c r="K15" s="18" t="s">
        <v>581</v>
      </c>
      <c r="L15" s="130" t="s">
        <v>814</v>
      </c>
      <c r="M15" s="67" t="s">
        <v>815</v>
      </c>
      <c r="N15" s="18" t="s">
        <v>816</v>
      </c>
      <c r="O15" s="18" t="s">
        <v>817</v>
      </c>
      <c r="P15" s="69"/>
      <c r="Q15" s="67" t="s">
        <v>572</v>
      </c>
      <c r="R15" s="18" t="s">
        <v>818</v>
      </c>
      <c r="S15" s="18" t="s">
        <v>587</v>
      </c>
      <c r="T15" s="18" t="s">
        <v>588</v>
      </c>
      <c r="U15" s="18" t="s">
        <v>819</v>
      </c>
      <c r="V15" s="67" t="s">
        <v>820</v>
      </c>
      <c r="W15" s="18" t="s">
        <v>821</v>
      </c>
      <c r="X15" s="18" t="s">
        <v>592</v>
      </c>
      <c r="Y15" s="18" t="s">
        <v>593</v>
      </c>
      <c r="Z15" s="67" t="s">
        <v>822</v>
      </c>
      <c r="AA15" s="18" t="s">
        <v>823</v>
      </c>
      <c r="AB15" s="13" t="s">
        <v>824</v>
      </c>
      <c r="AC15" s="16" t="s">
        <v>825</v>
      </c>
      <c r="AD15" s="374"/>
      <c r="AE15" s="375"/>
      <c r="AF15" s="376"/>
      <c r="AG15" s="374"/>
      <c r="AH15" s="375"/>
      <c r="AI15" s="376"/>
      <c r="AJ15" s="66" t="s">
        <v>598</v>
      </c>
    </row>
    <row r="16" spans="1:36" s="138" customFormat="1" ht="13.5" customHeight="1" thickBot="1">
      <c r="A16" s="69"/>
      <c r="B16" s="67" t="s">
        <v>599</v>
      </c>
      <c r="C16" s="18" t="s">
        <v>600</v>
      </c>
      <c r="D16" s="18" t="s">
        <v>601</v>
      </c>
      <c r="E16" s="18" t="s">
        <v>601</v>
      </c>
      <c r="F16" s="18" t="s">
        <v>601</v>
      </c>
      <c r="G16" s="67" t="s">
        <v>601</v>
      </c>
      <c r="H16" s="67" t="s">
        <v>608</v>
      </c>
      <c r="I16" s="18" t="s">
        <v>601</v>
      </c>
      <c r="J16" s="18" t="s">
        <v>601</v>
      </c>
      <c r="K16" s="18"/>
      <c r="L16" s="129" t="s">
        <v>601</v>
      </c>
      <c r="M16" s="67" t="s">
        <v>601</v>
      </c>
      <c r="N16" s="18" t="s">
        <v>603</v>
      </c>
      <c r="O16" s="18" t="s">
        <v>604</v>
      </c>
      <c r="P16" s="69"/>
      <c r="Q16" s="67" t="s">
        <v>599</v>
      </c>
      <c r="R16" s="18" t="s">
        <v>826</v>
      </c>
      <c r="S16" s="18" t="s">
        <v>610</v>
      </c>
      <c r="T16" s="18" t="s">
        <v>610</v>
      </c>
      <c r="U16" s="18" t="s">
        <v>607</v>
      </c>
      <c r="V16" s="67" t="s">
        <v>608</v>
      </c>
      <c r="W16" s="18" t="s">
        <v>609</v>
      </c>
      <c r="X16" s="18" t="s">
        <v>610</v>
      </c>
      <c r="Y16" s="18" t="s">
        <v>610</v>
      </c>
      <c r="Z16" s="67" t="s">
        <v>607</v>
      </c>
      <c r="AA16" s="18" t="s">
        <v>601</v>
      </c>
      <c r="AB16" s="13" t="s">
        <v>611</v>
      </c>
      <c r="AC16" s="16" t="s">
        <v>612</v>
      </c>
      <c r="AD16" s="377"/>
      <c r="AE16" s="378" t="s">
        <v>1808</v>
      </c>
      <c r="AF16" s="379"/>
      <c r="AG16" s="377"/>
      <c r="AH16" s="378" t="s">
        <v>1809</v>
      </c>
      <c r="AI16" s="379"/>
      <c r="AJ16" s="66" t="s">
        <v>613</v>
      </c>
    </row>
    <row r="17" spans="1:36" s="138" customFormat="1" ht="13.5" customHeight="1" thickTop="1" thickBot="1">
      <c r="A17" s="131"/>
      <c r="B17" s="132"/>
      <c r="C17" s="133"/>
      <c r="D17" s="133"/>
      <c r="E17" s="133"/>
      <c r="F17" s="133"/>
      <c r="G17" s="132"/>
      <c r="H17" s="132"/>
      <c r="I17" s="133"/>
      <c r="J17" s="133"/>
      <c r="K17" s="133"/>
      <c r="L17" s="134"/>
      <c r="M17" s="132"/>
      <c r="N17" s="133"/>
      <c r="O17" s="133"/>
      <c r="P17" s="131"/>
      <c r="Q17" s="132"/>
      <c r="R17" s="133"/>
      <c r="S17" s="133"/>
      <c r="T17" s="133"/>
      <c r="U17" s="133"/>
      <c r="V17" s="132"/>
      <c r="W17" s="133"/>
      <c r="X17" s="133"/>
      <c r="Y17" s="133"/>
      <c r="Z17" s="132"/>
      <c r="AA17" s="133"/>
      <c r="AB17" s="24"/>
      <c r="AC17" s="27"/>
      <c r="AD17" s="28">
        <v>235</v>
      </c>
      <c r="AE17" s="28">
        <v>355</v>
      </c>
      <c r="AF17" s="28">
        <v>460</v>
      </c>
      <c r="AG17" s="28">
        <v>235</v>
      </c>
      <c r="AH17" s="28">
        <v>355</v>
      </c>
      <c r="AI17" s="29">
        <v>460</v>
      </c>
      <c r="AJ17" s="66" t="s">
        <v>578</v>
      </c>
    </row>
    <row r="18" spans="1:36" s="138" customFormat="1" ht="16.5" customHeight="1" thickTop="1">
      <c r="A18" s="195"/>
      <c r="B18" s="195"/>
      <c r="C18" s="195"/>
      <c r="D18" s="195"/>
      <c r="E18" s="195"/>
      <c r="F18" s="195"/>
      <c r="G18" s="195"/>
      <c r="H18" s="195"/>
      <c r="I18" s="195"/>
      <c r="J18" s="195"/>
      <c r="K18" s="195"/>
      <c r="L18" s="196"/>
      <c r="M18" s="195"/>
      <c r="N18" s="195"/>
      <c r="O18" s="195"/>
      <c r="P18" s="195"/>
      <c r="Q18" s="195"/>
      <c r="R18" s="195"/>
      <c r="S18" s="195"/>
      <c r="T18" s="195"/>
      <c r="U18" s="195"/>
      <c r="V18" s="195"/>
      <c r="W18" s="195"/>
      <c r="X18" s="195"/>
      <c r="Y18" s="195"/>
      <c r="Z18" s="195"/>
      <c r="AA18" s="195"/>
      <c r="AB18" s="30"/>
      <c r="AC18" s="30"/>
      <c r="AD18" s="30"/>
      <c r="AE18" s="30"/>
      <c r="AF18" s="30"/>
      <c r="AG18" s="30"/>
      <c r="AH18" s="30"/>
      <c r="AI18" s="30"/>
      <c r="AJ18" s="141" t="s">
        <v>614</v>
      </c>
    </row>
    <row r="19" spans="1:36" s="430" customFormat="1" ht="13.5" customHeight="1">
      <c r="A19" s="387" t="s">
        <v>1356</v>
      </c>
      <c r="B19" s="388">
        <v>16</v>
      </c>
      <c r="C19" s="389">
        <v>152.4</v>
      </c>
      <c r="D19" s="389">
        <v>88.7</v>
      </c>
      <c r="E19" s="389">
        <v>4.5</v>
      </c>
      <c r="F19" s="389">
        <v>7.7</v>
      </c>
      <c r="G19" s="388">
        <v>7.6</v>
      </c>
      <c r="H19" s="392">
        <v>20.32</v>
      </c>
      <c r="I19" s="389">
        <v>137</v>
      </c>
      <c r="J19" s="389">
        <v>121.8</v>
      </c>
      <c r="K19" s="389" t="s">
        <v>616</v>
      </c>
      <c r="L19" s="393" t="s">
        <v>616</v>
      </c>
      <c r="M19" s="394" t="s">
        <v>616</v>
      </c>
      <c r="N19" s="395">
        <v>0.63800000000000001</v>
      </c>
      <c r="O19" s="396">
        <v>39.97</v>
      </c>
      <c r="P19" s="387" t="s">
        <v>1356</v>
      </c>
      <c r="Q19" s="388">
        <v>16</v>
      </c>
      <c r="R19" s="393">
        <v>834</v>
      </c>
      <c r="S19" s="390">
        <v>109.5</v>
      </c>
      <c r="T19" s="390">
        <v>123.3</v>
      </c>
      <c r="U19" s="396">
        <v>6.41</v>
      </c>
      <c r="V19" s="392">
        <v>8.18</v>
      </c>
      <c r="W19" s="396">
        <v>89.75</v>
      </c>
      <c r="X19" s="396">
        <v>20.239999999999998</v>
      </c>
      <c r="Y19" s="396">
        <v>31.18</v>
      </c>
      <c r="Z19" s="392">
        <v>2.1</v>
      </c>
      <c r="AA19" s="396">
        <v>28.8</v>
      </c>
      <c r="AB19" s="411">
        <v>3.55</v>
      </c>
      <c r="AC19" s="411">
        <v>4.6900000000000004</v>
      </c>
      <c r="AD19" s="453">
        <v>1</v>
      </c>
      <c r="AE19" s="398">
        <v>1</v>
      </c>
      <c r="AF19" s="399" t="s">
        <v>616</v>
      </c>
      <c r="AG19" s="398">
        <v>1</v>
      </c>
      <c r="AH19" s="398">
        <v>2</v>
      </c>
      <c r="AI19" s="400" t="s">
        <v>616</v>
      </c>
      <c r="AJ19" s="389"/>
    </row>
    <row r="20" spans="1:36" s="138" customFormat="1" ht="13.5" customHeight="1">
      <c r="A20" s="197"/>
      <c r="B20" s="139"/>
      <c r="C20" s="198"/>
      <c r="D20" s="198"/>
      <c r="E20" s="198"/>
      <c r="F20" s="198"/>
      <c r="G20" s="139"/>
      <c r="H20" s="91"/>
      <c r="I20" s="83"/>
      <c r="J20" s="83"/>
      <c r="K20" s="83"/>
      <c r="L20" s="86"/>
      <c r="M20" s="87"/>
      <c r="N20" s="88"/>
      <c r="O20" s="89"/>
      <c r="P20" s="197"/>
      <c r="Q20" s="82"/>
      <c r="R20" s="86"/>
      <c r="S20" s="84"/>
      <c r="T20" s="84"/>
      <c r="U20" s="89"/>
      <c r="V20" s="91"/>
      <c r="W20" s="89"/>
      <c r="X20" s="89"/>
      <c r="Y20" s="89"/>
      <c r="Z20" s="91"/>
      <c r="AA20" s="89"/>
      <c r="AB20" s="40"/>
      <c r="AC20" s="40"/>
      <c r="AD20" s="199"/>
      <c r="AE20" s="200"/>
      <c r="AF20" s="201"/>
      <c r="AG20" s="200"/>
      <c r="AH20" s="200"/>
      <c r="AI20" s="202"/>
      <c r="AJ20" s="198"/>
    </row>
    <row r="21" spans="1:36" s="482" customFormat="1" ht="13.5" customHeight="1">
      <c r="A21" s="387" t="s">
        <v>1357</v>
      </c>
      <c r="B21" s="388">
        <v>19</v>
      </c>
      <c r="C21" s="389">
        <v>177.8</v>
      </c>
      <c r="D21" s="389">
        <v>101.2</v>
      </c>
      <c r="E21" s="389">
        <v>4.8</v>
      </c>
      <c r="F21" s="389">
        <v>7.9</v>
      </c>
      <c r="G21" s="388">
        <v>7.6</v>
      </c>
      <c r="H21" s="392">
        <v>24.26</v>
      </c>
      <c r="I21" s="389">
        <v>162</v>
      </c>
      <c r="J21" s="389">
        <v>146.80000000000001</v>
      </c>
      <c r="K21" s="389" t="s">
        <v>625</v>
      </c>
      <c r="L21" s="393">
        <v>50</v>
      </c>
      <c r="M21" s="394">
        <v>58</v>
      </c>
      <c r="N21" s="395">
        <v>0.73799999999999999</v>
      </c>
      <c r="O21" s="396">
        <v>38.74</v>
      </c>
      <c r="P21" s="387" t="s">
        <v>1357</v>
      </c>
      <c r="Q21" s="388">
        <v>19</v>
      </c>
      <c r="R21" s="393">
        <v>1356</v>
      </c>
      <c r="S21" s="390">
        <v>152.5</v>
      </c>
      <c r="T21" s="390">
        <v>171.3</v>
      </c>
      <c r="U21" s="396">
        <v>7.48</v>
      </c>
      <c r="V21" s="392">
        <v>9.85</v>
      </c>
      <c r="W21" s="390">
        <v>136.69999999999999</v>
      </c>
      <c r="X21" s="396">
        <v>27.02</v>
      </c>
      <c r="Y21" s="396">
        <v>41.59</v>
      </c>
      <c r="Z21" s="392">
        <v>2.37</v>
      </c>
      <c r="AA21" s="396">
        <v>29.5</v>
      </c>
      <c r="AB21" s="411">
        <v>4.42</v>
      </c>
      <c r="AC21" s="411">
        <v>9.85</v>
      </c>
      <c r="AD21" s="453">
        <v>1</v>
      </c>
      <c r="AE21" s="398">
        <v>1</v>
      </c>
      <c r="AF21" s="399" t="s">
        <v>616</v>
      </c>
      <c r="AG21" s="398">
        <v>1</v>
      </c>
      <c r="AH21" s="398">
        <v>2</v>
      </c>
      <c r="AI21" s="400" t="s">
        <v>616</v>
      </c>
      <c r="AJ21" s="389"/>
    </row>
    <row r="22" spans="1:36" s="203" customFormat="1" ht="13.5" customHeight="1">
      <c r="A22" s="197"/>
      <c r="B22" s="139"/>
      <c r="C22" s="198"/>
      <c r="D22" s="198"/>
      <c r="E22" s="198"/>
      <c r="F22" s="198"/>
      <c r="G22" s="139"/>
      <c r="H22" s="91"/>
      <c r="I22" s="83"/>
      <c r="J22" s="83"/>
      <c r="K22" s="83"/>
      <c r="L22" s="86"/>
      <c r="M22" s="87"/>
      <c r="N22" s="88"/>
      <c r="O22" s="89"/>
      <c r="P22" s="197"/>
      <c r="Q22" s="82"/>
      <c r="R22" s="86"/>
      <c r="S22" s="84"/>
      <c r="T22" s="84"/>
      <c r="U22" s="89"/>
      <c r="V22" s="91"/>
      <c r="W22" s="84"/>
      <c r="X22" s="89"/>
      <c r="Y22" s="89"/>
      <c r="Z22" s="91"/>
      <c r="AA22" s="89"/>
      <c r="AB22" s="40"/>
      <c r="AC22" s="40"/>
      <c r="AD22" s="199"/>
      <c r="AE22" s="200"/>
      <c r="AF22" s="201"/>
      <c r="AG22" s="200"/>
      <c r="AH22" s="200"/>
      <c r="AI22" s="202"/>
      <c r="AJ22" s="198"/>
    </row>
    <row r="23" spans="1:36" s="434" customFormat="1" ht="13.5" customHeight="1">
      <c r="A23" s="387" t="s">
        <v>1358</v>
      </c>
      <c r="B23" s="388">
        <v>23.1</v>
      </c>
      <c r="C23" s="389">
        <v>203.2</v>
      </c>
      <c r="D23" s="389">
        <v>101.8</v>
      </c>
      <c r="E23" s="389">
        <v>5.4</v>
      </c>
      <c r="F23" s="389">
        <v>9.3000000000000007</v>
      </c>
      <c r="G23" s="388">
        <v>7.6</v>
      </c>
      <c r="H23" s="392">
        <v>29.4</v>
      </c>
      <c r="I23" s="389">
        <v>184.6</v>
      </c>
      <c r="J23" s="389">
        <v>169.4</v>
      </c>
      <c r="K23" s="389" t="s">
        <v>625</v>
      </c>
      <c r="L23" s="393">
        <v>54</v>
      </c>
      <c r="M23" s="394">
        <v>58</v>
      </c>
      <c r="N23" s="395">
        <v>0.79</v>
      </c>
      <c r="O23" s="396">
        <v>34.22</v>
      </c>
      <c r="P23" s="387" t="s">
        <v>1358</v>
      </c>
      <c r="Q23" s="388">
        <v>23.1</v>
      </c>
      <c r="R23" s="393">
        <v>2105</v>
      </c>
      <c r="S23" s="390">
        <v>207.2</v>
      </c>
      <c r="T23" s="390">
        <v>234.1</v>
      </c>
      <c r="U23" s="396">
        <v>8.4600000000000009</v>
      </c>
      <c r="V23" s="392">
        <v>12.38</v>
      </c>
      <c r="W23" s="390">
        <v>163.9</v>
      </c>
      <c r="X23" s="396">
        <v>32.19</v>
      </c>
      <c r="Y23" s="396">
        <v>49.75</v>
      </c>
      <c r="Z23" s="392">
        <v>2.36</v>
      </c>
      <c r="AA23" s="396">
        <v>32.9</v>
      </c>
      <c r="AB23" s="411">
        <v>7.02</v>
      </c>
      <c r="AC23" s="411">
        <v>15.37</v>
      </c>
      <c r="AD23" s="453">
        <v>1</v>
      </c>
      <c r="AE23" s="398">
        <v>1</v>
      </c>
      <c r="AF23" s="399" t="s">
        <v>616</v>
      </c>
      <c r="AG23" s="398">
        <v>1</v>
      </c>
      <c r="AH23" s="398">
        <v>3</v>
      </c>
      <c r="AI23" s="400" t="s">
        <v>616</v>
      </c>
      <c r="AJ23" s="389"/>
    </row>
    <row r="24" spans="1:36" s="203" customFormat="1" ht="13.5" customHeight="1">
      <c r="A24" s="197"/>
      <c r="B24" s="139"/>
      <c r="C24" s="198"/>
      <c r="D24" s="198"/>
      <c r="E24" s="198"/>
      <c r="F24" s="198"/>
      <c r="G24" s="139"/>
      <c r="H24" s="91"/>
      <c r="I24" s="83"/>
      <c r="J24" s="83"/>
      <c r="K24" s="83"/>
      <c r="L24" s="86"/>
      <c r="M24" s="87"/>
      <c r="N24" s="88"/>
      <c r="O24" s="89"/>
      <c r="P24" s="197"/>
      <c r="Q24" s="82"/>
      <c r="R24" s="86"/>
      <c r="S24" s="84"/>
      <c r="T24" s="84"/>
      <c r="U24" s="89"/>
      <c r="V24" s="91"/>
      <c r="W24" s="84"/>
      <c r="X24" s="89"/>
      <c r="Y24" s="89"/>
      <c r="Z24" s="91"/>
      <c r="AA24" s="89"/>
      <c r="AB24" s="40"/>
      <c r="AC24" s="40"/>
      <c r="AD24" s="199"/>
      <c r="AE24" s="200"/>
      <c r="AF24" s="201"/>
      <c r="AG24" s="200"/>
      <c r="AH24" s="200"/>
      <c r="AI24" s="202"/>
      <c r="AJ24" s="198"/>
    </row>
    <row r="25" spans="1:36" s="434" customFormat="1" ht="13.5" customHeight="1">
      <c r="A25" s="387" t="s">
        <v>1359</v>
      </c>
      <c r="B25" s="388">
        <v>25.1</v>
      </c>
      <c r="C25" s="389">
        <v>203.2</v>
      </c>
      <c r="D25" s="389">
        <v>133.19999999999999</v>
      </c>
      <c r="E25" s="389">
        <v>5.7</v>
      </c>
      <c r="F25" s="389">
        <v>7.8</v>
      </c>
      <c r="G25" s="388">
        <v>7.6</v>
      </c>
      <c r="H25" s="392">
        <v>31.97</v>
      </c>
      <c r="I25" s="389">
        <v>187.6</v>
      </c>
      <c r="J25" s="389">
        <v>172.4</v>
      </c>
      <c r="K25" s="389" t="s">
        <v>639</v>
      </c>
      <c r="L25" s="393">
        <v>64</v>
      </c>
      <c r="M25" s="394">
        <v>70</v>
      </c>
      <c r="N25" s="395">
        <v>0.91500000000000004</v>
      </c>
      <c r="O25" s="396">
        <v>36.450000000000003</v>
      </c>
      <c r="P25" s="387" t="s">
        <v>1359</v>
      </c>
      <c r="Q25" s="388">
        <v>25.1</v>
      </c>
      <c r="R25" s="393">
        <v>2340</v>
      </c>
      <c r="S25" s="390">
        <v>230.3</v>
      </c>
      <c r="T25" s="390">
        <v>257.7</v>
      </c>
      <c r="U25" s="396">
        <v>8.56</v>
      </c>
      <c r="V25" s="392">
        <v>12.82</v>
      </c>
      <c r="W25" s="390">
        <v>307.60000000000002</v>
      </c>
      <c r="X25" s="396">
        <v>46.19</v>
      </c>
      <c r="Y25" s="396">
        <v>70.94</v>
      </c>
      <c r="Z25" s="392">
        <v>3.1</v>
      </c>
      <c r="AA25" s="396">
        <v>30.2</v>
      </c>
      <c r="AB25" s="411">
        <v>6.1</v>
      </c>
      <c r="AC25" s="411">
        <v>29.33</v>
      </c>
      <c r="AD25" s="453">
        <v>1</v>
      </c>
      <c r="AE25" s="398">
        <v>2</v>
      </c>
      <c r="AF25" s="399" t="s">
        <v>616</v>
      </c>
      <c r="AG25" s="398">
        <v>1</v>
      </c>
      <c r="AH25" s="398">
        <v>2</v>
      </c>
      <c r="AI25" s="400" t="s">
        <v>616</v>
      </c>
      <c r="AJ25" s="389"/>
    </row>
    <row r="26" spans="1:36" s="203" customFormat="1" ht="13.5" customHeight="1">
      <c r="A26" s="197" t="s">
        <v>1360</v>
      </c>
      <c r="B26" s="139">
        <v>30</v>
      </c>
      <c r="C26" s="198">
        <v>206.8</v>
      </c>
      <c r="D26" s="198">
        <v>133.9</v>
      </c>
      <c r="E26" s="198">
        <v>6.4</v>
      </c>
      <c r="F26" s="198">
        <v>9.6</v>
      </c>
      <c r="G26" s="139">
        <v>7.6</v>
      </c>
      <c r="H26" s="91">
        <v>38.21</v>
      </c>
      <c r="I26" s="83">
        <v>187.6</v>
      </c>
      <c r="J26" s="83">
        <v>172.4</v>
      </c>
      <c r="K26" s="83" t="s">
        <v>639</v>
      </c>
      <c r="L26" s="86">
        <v>66</v>
      </c>
      <c r="M26" s="87">
        <v>70</v>
      </c>
      <c r="N26" s="88">
        <v>0.92300000000000004</v>
      </c>
      <c r="O26" s="89">
        <v>30.78</v>
      </c>
      <c r="P26" s="197" t="s">
        <v>1360</v>
      </c>
      <c r="Q26" s="82">
        <v>30</v>
      </c>
      <c r="R26" s="86">
        <v>2896</v>
      </c>
      <c r="S26" s="86">
        <v>280</v>
      </c>
      <c r="T26" s="84">
        <v>314.39999999999998</v>
      </c>
      <c r="U26" s="89">
        <v>8.7100000000000009</v>
      </c>
      <c r="V26" s="91">
        <v>14.58</v>
      </c>
      <c r="W26" s="84">
        <v>384.7</v>
      </c>
      <c r="X26" s="89">
        <v>57.45</v>
      </c>
      <c r="Y26" s="89">
        <v>88.22</v>
      </c>
      <c r="Z26" s="91">
        <v>3.17</v>
      </c>
      <c r="AA26" s="89">
        <v>34.5</v>
      </c>
      <c r="AB26" s="40">
        <v>10.43</v>
      </c>
      <c r="AC26" s="40">
        <v>37.340000000000003</v>
      </c>
      <c r="AD26" s="199">
        <v>1</v>
      </c>
      <c r="AE26" s="200">
        <v>1</v>
      </c>
      <c r="AF26" s="201" t="s">
        <v>616</v>
      </c>
      <c r="AG26" s="200">
        <v>1</v>
      </c>
      <c r="AH26" s="200">
        <v>2</v>
      </c>
      <c r="AI26" s="202" t="s">
        <v>616</v>
      </c>
      <c r="AJ26" s="198"/>
    </row>
    <row r="27" spans="1:36" s="203" customFormat="1" ht="13.5" customHeight="1">
      <c r="A27" s="197"/>
      <c r="B27" s="139"/>
      <c r="C27" s="198"/>
      <c r="D27" s="198"/>
      <c r="E27" s="198"/>
      <c r="F27" s="198"/>
      <c r="G27" s="139"/>
      <c r="H27" s="91"/>
      <c r="I27" s="83"/>
      <c r="J27" s="83"/>
      <c r="K27" s="83"/>
      <c r="L27" s="86"/>
      <c r="M27" s="87"/>
      <c r="N27" s="88"/>
      <c r="O27" s="89"/>
      <c r="P27" s="197"/>
      <c r="Q27" s="82"/>
      <c r="R27" s="86"/>
      <c r="S27" s="204"/>
      <c r="T27" s="84"/>
      <c r="U27" s="89"/>
      <c r="V27" s="91"/>
      <c r="W27" s="84"/>
      <c r="X27" s="89"/>
      <c r="Y27" s="89"/>
      <c r="Z27" s="91"/>
      <c r="AA27" s="89"/>
      <c r="AB27" s="40"/>
      <c r="AC27" s="40"/>
      <c r="AD27" s="199"/>
      <c r="AE27" s="200"/>
      <c r="AF27" s="201"/>
      <c r="AG27" s="200"/>
      <c r="AH27" s="200"/>
      <c r="AI27" s="202"/>
      <c r="AJ27" s="198"/>
    </row>
    <row r="28" spans="1:36" s="434" customFormat="1" ht="13.5" customHeight="1">
      <c r="A28" s="387" t="s">
        <v>1361</v>
      </c>
      <c r="B28" s="388">
        <v>22</v>
      </c>
      <c r="C28" s="389">
        <v>254</v>
      </c>
      <c r="D28" s="389">
        <v>101.6</v>
      </c>
      <c r="E28" s="389">
        <v>5.7</v>
      </c>
      <c r="F28" s="389">
        <v>6.8</v>
      </c>
      <c r="G28" s="388">
        <v>7.6</v>
      </c>
      <c r="H28" s="392">
        <v>28.02</v>
      </c>
      <c r="I28" s="389">
        <v>240.4</v>
      </c>
      <c r="J28" s="389">
        <v>225.2</v>
      </c>
      <c r="K28" s="389" t="s">
        <v>625</v>
      </c>
      <c r="L28" s="393">
        <v>50</v>
      </c>
      <c r="M28" s="394">
        <v>58</v>
      </c>
      <c r="N28" s="395">
        <v>0.89</v>
      </c>
      <c r="O28" s="396">
        <v>40.47</v>
      </c>
      <c r="P28" s="387" t="s">
        <v>1361</v>
      </c>
      <c r="Q28" s="388">
        <v>22</v>
      </c>
      <c r="R28" s="393">
        <v>2841</v>
      </c>
      <c r="S28" s="390">
        <v>223.7</v>
      </c>
      <c r="T28" s="390">
        <v>259</v>
      </c>
      <c r="U28" s="396">
        <v>10.07</v>
      </c>
      <c r="V28" s="392">
        <v>15.62</v>
      </c>
      <c r="W28" s="390">
        <v>119.3</v>
      </c>
      <c r="X28" s="396">
        <v>23.49</v>
      </c>
      <c r="Y28" s="396">
        <v>37.270000000000003</v>
      </c>
      <c r="Z28" s="392">
        <v>2.06</v>
      </c>
      <c r="AA28" s="396">
        <v>28.2</v>
      </c>
      <c r="AB28" s="411">
        <v>4.3499999999999996</v>
      </c>
      <c r="AC28" s="411">
        <v>18.16</v>
      </c>
      <c r="AD28" s="453">
        <v>1</v>
      </c>
      <c r="AE28" s="398">
        <v>1</v>
      </c>
      <c r="AF28" s="399" t="s">
        <v>616</v>
      </c>
      <c r="AG28" s="398">
        <v>3</v>
      </c>
      <c r="AH28" s="398">
        <v>4</v>
      </c>
      <c r="AI28" s="400" t="s">
        <v>616</v>
      </c>
      <c r="AJ28" s="389"/>
    </row>
    <row r="29" spans="1:36" s="203" customFormat="1" ht="13.5" customHeight="1">
      <c r="A29" s="197" t="s">
        <v>1362</v>
      </c>
      <c r="B29" s="139">
        <v>25.2</v>
      </c>
      <c r="C29" s="198">
        <v>257.2</v>
      </c>
      <c r="D29" s="198">
        <v>101.9</v>
      </c>
      <c r="E29" s="198">
        <v>6</v>
      </c>
      <c r="F29" s="198">
        <v>8.4</v>
      </c>
      <c r="G29" s="139">
        <v>7.6</v>
      </c>
      <c r="H29" s="91">
        <v>32.04</v>
      </c>
      <c r="I29" s="83">
        <v>240.4</v>
      </c>
      <c r="J29" s="83">
        <v>225.2</v>
      </c>
      <c r="K29" s="83" t="s">
        <v>625</v>
      </c>
      <c r="L29" s="86">
        <v>52</v>
      </c>
      <c r="M29" s="87">
        <v>58</v>
      </c>
      <c r="N29" s="88">
        <v>0.89700000000000002</v>
      </c>
      <c r="O29" s="89">
        <v>35.659999999999997</v>
      </c>
      <c r="P29" s="197" t="s">
        <v>1362</v>
      </c>
      <c r="Q29" s="82">
        <v>25.2</v>
      </c>
      <c r="R29" s="86">
        <v>3415</v>
      </c>
      <c r="S29" s="84">
        <v>265.5</v>
      </c>
      <c r="T29" s="84">
        <v>305.5</v>
      </c>
      <c r="U29" s="89">
        <v>10.32</v>
      </c>
      <c r="V29" s="91">
        <v>16.7</v>
      </c>
      <c r="W29" s="84">
        <v>148.69999999999999</v>
      </c>
      <c r="X29" s="89">
        <v>29.18</v>
      </c>
      <c r="Y29" s="89">
        <v>46.01</v>
      </c>
      <c r="Z29" s="91">
        <v>2.15</v>
      </c>
      <c r="AA29" s="89">
        <v>31.7</v>
      </c>
      <c r="AB29" s="40">
        <v>6.56</v>
      </c>
      <c r="AC29" s="40">
        <v>22.92</v>
      </c>
      <c r="AD29" s="199">
        <v>1</v>
      </c>
      <c r="AE29" s="200">
        <v>1</v>
      </c>
      <c r="AF29" s="201" t="s">
        <v>616</v>
      </c>
      <c r="AG29" s="200">
        <v>2</v>
      </c>
      <c r="AH29" s="200">
        <v>4</v>
      </c>
      <c r="AI29" s="202" t="s">
        <v>616</v>
      </c>
      <c r="AJ29" s="198"/>
    </row>
    <row r="30" spans="1:36" s="434" customFormat="1" ht="13.5" customHeight="1">
      <c r="A30" s="387" t="s">
        <v>1363</v>
      </c>
      <c r="B30" s="388">
        <v>28.3</v>
      </c>
      <c r="C30" s="389">
        <v>260.39999999999998</v>
      </c>
      <c r="D30" s="389">
        <v>102.2</v>
      </c>
      <c r="E30" s="389">
        <v>6.3</v>
      </c>
      <c r="F30" s="389">
        <v>10</v>
      </c>
      <c r="G30" s="388">
        <v>7.6</v>
      </c>
      <c r="H30" s="392">
        <v>36.08</v>
      </c>
      <c r="I30" s="389">
        <v>240.4</v>
      </c>
      <c r="J30" s="389">
        <v>225.2</v>
      </c>
      <c r="K30" s="389" t="s">
        <v>632</v>
      </c>
      <c r="L30" s="393">
        <v>54</v>
      </c>
      <c r="M30" s="394">
        <v>54</v>
      </c>
      <c r="N30" s="395">
        <v>0.90400000000000003</v>
      </c>
      <c r="O30" s="396">
        <v>31.92</v>
      </c>
      <c r="P30" s="387" t="s">
        <v>1363</v>
      </c>
      <c r="Q30" s="388">
        <v>28.3</v>
      </c>
      <c r="R30" s="393">
        <v>4005</v>
      </c>
      <c r="S30" s="390">
        <v>307.60000000000002</v>
      </c>
      <c r="T30" s="390">
        <v>352.8</v>
      </c>
      <c r="U30" s="396">
        <v>10.54</v>
      </c>
      <c r="V30" s="392">
        <v>17.79</v>
      </c>
      <c r="W30" s="390">
        <v>178.5</v>
      </c>
      <c r="X30" s="396">
        <v>34.94</v>
      </c>
      <c r="Y30" s="396">
        <v>54.85</v>
      </c>
      <c r="Z30" s="392">
        <v>2.2200000000000002</v>
      </c>
      <c r="AA30" s="396">
        <v>35.200000000000003</v>
      </c>
      <c r="AB30" s="411">
        <v>9.66</v>
      </c>
      <c r="AC30" s="411">
        <v>27.89</v>
      </c>
      <c r="AD30" s="453">
        <v>1</v>
      </c>
      <c r="AE30" s="398">
        <v>1</v>
      </c>
      <c r="AF30" s="399" t="s">
        <v>616</v>
      </c>
      <c r="AG30" s="398">
        <v>2</v>
      </c>
      <c r="AH30" s="398">
        <v>4</v>
      </c>
      <c r="AI30" s="400" t="s">
        <v>616</v>
      </c>
      <c r="AJ30" s="389"/>
    </row>
    <row r="31" spans="1:36" s="203" customFormat="1" ht="13.5" customHeight="1">
      <c r="A31" s="197"/>
      <c r="B31" s="139"/>
      <c r="C31" s="198"/>
      <c r="D31" s="198"/>
      <c r="E31" s="198"/>
      <c r="F31" s="198"/>
      <c r="G31" s="139"/>
      <c r="H31" s="91"/>
      <c r="I31" s="83"/>
      <c r="J31" s="83"/>
      <c r="K31" s="83"/>
      <c r="L31" s="86"/>
      <c r="M31" s="87"/>
      <c r="N31" s="88"/>
      <c r="O31" s="89"/>
      <c r="P31" s="197"/>
      <c r="Q31" s="82"/>
      <c r="R31" s="86"/>
      <c r="S31" s="84"/>
      <c r="T31" s="84"/>
      <c r="U31" s="89"/>
      <c r="V31" s="91"/>
      <c r="W31" s="84"/>
      <c r="X31" s="89"/>
      <c r="Y31" s="89"/>
      <c r="Z31" s="91"/>
      <c r="AA31" s="89"/>
      <c r="AB31" s="40"/>
      <c r="AC31" s="40"/>
      <c r="AD31" s="199"/>
      <c r="AE31" s="200"/>
      <c r="AF31" s="201"/>
      <c r="AG31" s="200"/>
      <c r="AH31" s="200"/>
      <c r="AI31" s="202"/>
      <c r="AJ31" s="198"/>
    </row>
    <row r="32" spans="1:36" s="434" customFormat="1" ht="13.5" customHeight="1">
      <c r="A32" s="387" t="s">
        <v>1364</v>
      </c>
      <c r="B32" s="388">
        <v>31.1</v>
      </c>
      <c r="C32" s="389">
        <v>251.4</v>
      </c>
      <c r="D32" s="389">
        <v>146.1</v>
      </c>
      <c r="E32" s="389">
        <v>6</v>
      </c>
      <c r="F32" s="389">
        <v>8.6</v>
      </c>
      <c r="G32" s="388">
        <v>7.6</v>
      </c>
      <c r="H32" s="392">
        <v>39.68</v>
      </c>
      <c r="I32" s="389">
        <v>234.2</v>
      </c>
      <c r="J32" s="389">
        <v>219</v>
      </c>
      <c r="K32" s="389" t="s">
        <v>639</v>
      </c>
      <c r="L32" s="393">
        <v>66</v>
      </c>
      <c r="M32" s="394">
        <v>82</v>
      </c>
      <c r="N32" s="395">
        <v>1.0620000000000001</v>
      </c>
      <c r="O32" s="396">
        <v>34.1</v>
      </c>
      <c r="P32" s="387" t="s">
        <v>1364</v>
      </c>
      <c r="Q32" s="388">
        <v>31.1</v>
      </c>
      <c r="R32" s="393">
        <v>4413</v>
      </c>
      <c r="S32" s="390">
        <v>351.1</v>
      </c>
      <c r="T32" s="390">
        <v>393.1</v>
      </c>
      <c r="U32" s="396">
        <v>10.55</v>
      </c>
      <c r="V32" s="392">
        <v>16.37</v>
      </c>
      <c r="W32" s="390">
        <v>447.5</v>
      </c>
      <c r="X32" s="396">
        <v>61.26</v>
      </c>
      <c r="Y32" s="396">
        <v>94.13</v>
      </c>
      <c r="Z32" s="392">
        <v>3.36</v>
      </c>
      <c r="AA32" s="396">
        <v>32.1</v>
      </c>
      <c r="AB32" s="411">
        <v>8.68</v>
      </c>
      <c r="AC32" s="411">
        <v>65.88</v>
      </c>
      <c r="AD32" s="453">
        <v>1</v>
      </c>
      <c r="AE32" s="398">
        <v>2</v>
      </c>
      <c r="AF32" s="399" t="s">
        <v>616</v>
      </c>
      <c r="AG32" s="398">
        <v>2</v>
      </c>
      <c r="AH32" s="398">
        <v>4</v>
      </c>
      <c r="AI32" s="400" t="s">
        <v>616</v>
      </c>
      <c r="AJ32" s="389"/>
    </row>
    <row r="33" spans="1:36" s="203" customFormat="1" ht="13.5" customHeight="1">
      <c r="A33" s="197" t="s">
        <v>1365</v>
      </c>
      <c r="B33" s="139">
        <v>37</v>
      </c>
      <c r="C33" s="198">
        <v>256</v>
      </c>
      <c r="D33" s="198">
        <v>146.4</v>
      </c>
      <c r="E33" s="198">
        <v>6.3</v>
      </c>
      <c r="F33" s="198">
        <v>10.9</v>
      </c>
      <c r="G33" s="139">
        <v>7.6</v>
      </c>
      <c r="H33" s="91">
        <v>47.17</v>
      </c>
      <c r="I33" s="83">
        <v>234.2</v>
      </c>
      <c r="J33" s="83">
        <v>219</v>
      </c>
      <c r="K33" s="83" t="s">
        <v>639</v>
      </c>
      <c r="L33" s="86">
        <v>66</v>
      </c>
      <c r="M33" s="87">
        <v>82</v>
      </c>
      <c r="N33" s="88">
        <v>1.0720000000000001</v>
      </c>
      <c r="O33" s="89">
        <v>28.95</v>
      </c>
      <c r="P33" s="197" t="s">
        <v>1365</v>
      </c>
      <c r="Q33" s="82">
        <v>37</v>
      </c>
      <c r="R33" s="86">
        <v>5537</v>
      </c>
      <c r="S33" s="84">
        <v>432.6</v>
      </c>
      <c r="T33" s="84">
        <v>483.2</v>
      </c>
      <c r="U33" s="89">
        <v>10.83</v>
      </c>
      <c r="V33" s="91">
        <v>17.59</v>
      </c>
      <c r="W33" s="84">
        <v>570.6</v>
      </c>
      <c r="X33" s="89">
        <v>77.959999999999994</v>
      </c>
      <c r="Y33" s="84">
        <v>119.4</v>
      </c>
      <c r="Z33" s="91">
        <v>3.48</v>
      </c>
      <c r="AA33" s="89">
        <v>37</v>
      </c>
      <c r="AB33" s="40">
        <v>15.37</v>
      </c>
      <c r="AC33" s="40">
        <v>85.61</v>
      </c>
      <c r="AD33" s="199">
        <v>1</v>
      </c>
      <c r="AE33" s="200">
        <v>1</v>
      </c>
      <c r="AF33" s="201" t="s">
        <v>616</v>
      </c>
      <c r="AG33" s="200">
        <v>2</v>
      </c>
      <c r="AH33" s="200">
        <v>4</v>
      </c>
      <c r="AI33" s="202" t="s">
        <v>616</v>
      </c>
      <c r="AJ33" s="198"/>
    </row>
    <row r="34" spans="1:36" s="434" customFormat="1" ht="13.5" customHeight="1">
      <c r="A34" s="387" t="s">
        <v>1366</v>
      </c>
      <c r="B34" s="388">
        <v>43</v>
      </c>
      <c r="C34" s="389">
        <v>259.60000000000002</v>
      </c>
      <c r="D34" s="389">
        <v>147.30000000000001</v>
      </c>
      <c r="E34" s="389">
        <v>7.2</v>
      </c>
      <c r="F34" s="389">
        <v>12.7</v>
      </c>
      <c r="G34" s="388">
        <v>7.6</v>
      </c>
      <c r="H34" s="392">
        <v>54.77</v>
      </c>
      <c r="I34" s="389">
        <v>234.2</v>
      </c>
      <c r="J34" s="389">
        <v>219</v>
      </c>
      <c r="K34" s="389" t="s">
        <v>639</v>
      </c>
      <c r="L34" s="393">
        <v>66</v>
      </c>
      <c r="M34" s="394">
        <v>84</v>
      </c>
      <c r="N34" s="395">
        <v>1.081</v>
      </c>
      <c r="O34" s="396">
        <v>25.14</v>
      </c>
      <c r="P34" s="387" t="s">
        <v>1366</v>
      </c>
      <c r="Q34" s="388">
        <v>43</v>
      </c>
      <c r="R34" s="393">
        <v>6544</v>
      </c>
      <c r="S34" s="390">
        <v>504.1</v>
      </c>
      <c r="T34" s="390">
        <v>566.29999999999995</v>
      </c>
      <c r="U34" s="396">
        <v>10.93</v>
      </c>
      <c r="V34" s="392">
        <v>20.2</v>
      </c>
      <c r="W34" s="390">
        <v>677.4</v>
      </c>
      <c r="X34" s="396">
        <v>91.97</v>
      </c>
      <c r="Y34" s="390">
        <v>141.1</v>
      </c>
      <c r="Z34" s="392">
        <v>3.52</v>
      </c>
      <c r="AA34" s="396">
        <v>41.5</v>
      </c>
      <c r="AB34" s="411">
        <v>23.97</v>
      </c>
      <c r="AC34" s="411">
        <v>103.1</v>
      </c>
      <c r="AD34" s="453">
        <v>1</v>
      </c>
      <c r="AE34" s="398">
        <v>1</v>
      </c>
      <c r="AF34" s="399" t="s">
        <v>616</v>
      </c>
      <c r="AG34" s="398">
        <v>1</v>
      </c>
      <c r="AH34" s="398">
        <v>2</v>
      </c>
      <c r="AI34" s="400" t="s">
        <v>616</v>
      </c>
      <c r="AJ34" s="389"/>
    </row>
    <row r="35" spans="1:36" s="203" customFormat="1" ht="13.5" customHeight="1">
      <c r="A35" s="197"/>
      <c r="B35" s="139"/>
      <c r="C35" s="198"/>
      <c r="D35" s="198"/>
      <c r="E35" s="198"/>
      <c r="F35" s="198"/>
      <c r="G35" s="139"/>
      <c r="H35" s="91"/>
      <c r="I35" s="83"/>
      <c r="J35" s="83"/>
      <c r="K35" s="83"/>
      <c r="L35" s="86"/>
      <c r="M35" s="87"/>
      <c r="N35" s="88"/>
      <c r="O35" s="89"/>
      <c r="P35" s="197"/>
      <c r="Q35" s="82"/>
      <c r="R35" s="86"/>
      <c r="S35" s="84"/>
      <c r="T35" s="84"/>
      <c r="U35" s="89"/>
      <c r="V35" s="91"/>
      <c r="W35" s="84"/>
      <c r="X35" s="89"/>
      <c r="Y35" s="89"/>
      <c r="Z35" s="91"/>
      <c r="AA35" s="89"/>
      <c r="AB35" s="40"/>
      <c r="AC35" s="40"/>
      <c r="AD35" s="199"/>
      <c r="AE35" s="200"/>
      <c r="AF35" s="201"/>
      <c r="AG35" s="200"/>
      <c r="AH35" s="200"/>
      <c r="AI35" s="202"/>
      <c r="AJ35" s="198"/>
    </row>
    <row r="36" spans="1:36" s="434" customFormat="1" ht="13.5" customHeight="1">
      <c r="A36" s="387" t="s">
        <v>1367</v>
      </c>
      <c r="B36" s="388">
        <v>24.8</v>
      </c>
      <c r="C36" s="389">
        <v>305.10000000000002</v>
      </c>
      <c r="D36" s="389">
        <v>101.6</v>
      </c>
      <c r="E36" s="389">
        <v>5.8</v>
      </c>
      <c r="F36" s="389">
        <v>7</v>
      </c>
      <c r="G36" s="388">
        <v>7.6</v>
      </c>
      <c r="H36" s="392">
        <v>31.6</v>
      </c>
      <c r="I36" s="389">
        <v>291.10000000000002</v>
      </c>
      <c r="J36" s="389">
        <v>275.89999999999998</v>
      </c>
      <c r="K36" s="389" t="s">
        <v>625</v>
      </c>
      <c r="L36" s="393">
        <v>56</v>
      </c>
      <c r="M36" s="394">
        <v>58</v>
      </c>
      <c r="N36" s="395">
        <v>0.99199999999999999</v>
      </c>
      <c r="O36" s="396">
        <v>39.979999999999997</v>
      </c>
      <c r="P36" s="387" t="s">
        <v>1367</v>
      </c>
      <c r="Q36" s="388">
        <v>24.8</v>
      </c>
      <c r="R36" s="393">
        <v>4455</v>
      </c>
      <c r="S36" s="390">
        <v>292.10000000000002</v>
      </c>
      <c r="T36" s="390">
        <v>342</v>
      </c>
      <c r="U36" s="396">
        <v>11.87</v>
      </c>
      <c r="V36" s="392">
        <v>18.850000000000001</v>
      </c>
      <c r="W36" s="390">
        <v>122.9</v>
      </c>
      <c r="X36" s="396">
        <v>24.2</v>
      </c>
      <c r="Y36" s="396">
        <v>38.81</v>
      </c>
      <c r="Z36" s="392">
        <v>1.97</v>
      </c>
      <c r="AA36" s="396">
        <v>28.7</v>
      </c>
      <c r="AB36" s="411">
        <v>4.9800000000000004</v>
      </c>
      <c r="AC36" s="411">
        <v>27.18</v>
      </c>
      <c r="AD36" s="453">
        <v>1</v>
      </c>
      <c r="AE36" s="398">
        <v>1</v>
      </c>
      <c r="AF36" s="399" t="s">
        <v>616</v>
      </c>
      <c r="AG36" s="398">
        <v>4</v>
      </c>
      <c r="AH36" s="398">
        <v>4</v>
      </c>
      <c r="AI36" s="400" t="s">
        <v>616</v>
      </c>
      <c r="AJ36" s="389"/>
    </row>
    <row r="37" spans="1:36" s="203" customFormat="1" ht="13.5" customHeight="1">
      <c r="A37" s="197" t="s">
        <v>1368</v>
      </c>
      <c r="B37" s="139">
        <v>28.2</v>
      </c>
      <c r="C37" s="198">
        <v>308.7</v>
      </c>
      <c r="D37" s="198">
        <v>101.8</v>
      </c>
      <c r="E37" s="198">
        <v>6</v>
      </c>
      <c r="F37" s="198">
        <v>8.8000000000000007</v>
      </c>
      <c r="G37" s="139">
        <v>7.6</v>
      </c>
      <c r="H37" s="91">
        <v>35.880000000000003</v>
      </c>
      <c r="I37" s="83">
        <v>291.10000000000002</v>
      </c>
      <c r="J37" s="83">
        <v>275.89999999999998</v>
      </c>
      <c r="K37" s="83" t="s">
        <v>625</v>
      </c>
      <c r="L37" s="86">
        <v>58</v>
      </c>
      <c r="M37" s="87">
        <v>58</v>
      </c>
      <c r="N37" s="88">
        <v>1</v>
      </c>
      <c r="O37" s="89">
        <v>35.49</v>
      </c>
      <c r="P37" s="197" t="s">
        <v>1368</v>
      </c>
      <c r="Q37" s="82">
        <v>28.2</v>
      </c>
      <c r="R37" s="86">
        <v>5366</v>
      </c>
      <c r="S37" s="84">
        <v>347.6</v>
      </c>
      <c r="T37" s="84">
        <v>402.9</v>
      </c>
      <c r="U37" s="89">
        <v>12.23</v>
      </c>
      <c r="V37" s="91">
        <v>19.829999999999998</v>
      </c>
      <c r="W37" s="84">
        <v>155.4</v>
      </c>
      <c r="X37" s="89">
        <v>30.53</v>
      </c>
      <c r="Y37" s="89">
        <v>48.45</v>
      </c>
      <c r="Z37" s="91">
        <v>2.08</v>
      </c>
      <c r="AA37" s="89">
        <v>32.5</v>
      </c>
      <c r="AB37" s="40">
        <v>7.51</v>
      </c>
      <c r="AC37" s="40">
        <v>34.79</v>
      </c>
      <c r="AD37" s="199">
        <v>1</v>
      </c>
      <c r="AE37" s="200">
        <v>1</v>
      </c>
      <c r="AF37" s="201" t="s">
        <v>616</v>
      </c>
      <c r="AG37" s="200">
        <v>4</v>
      </c>
      <c r="AH37" s="200">
        <v>4</v>
      </c>
      <c r="AI37" s="202" t="s">
        <v>616</v>
      </c>
      <c r="AJ37" s="198"/>
    </row>
    <row r="38" spans="1:36" s="434" customFormat="1" ht="13.5" customHeight="1">
      <c r="A38" s="387" t="s">
        <v>1369</v>
      </c>
      <c r="B38" s="388">
        <v>32.799999999999997</v>
      </c>
      <c r="C38" s="389">
        <v>312.7</v>
      </c>
      <c r="D38" s="389">
        <v>102.4</v>
      </c>
      <c r="E38" s="389">
        <v>6.6</v>
      </c>
      <c r="F38" s="389">
        <v>10.8</v>
      </c>
      <c r="G38" s="388">
        <v>7.6</v>
      </c>
      <c r="H38" s="392">
        <v>41.83</v>
      </c>
      <c r="I38" s="389">
        <v>291.10000000000002</v>
      </c>
      <c r="J38" s="389">
        <v>275.89999999999998</v>
      </c>
      <c r="K38" s="389" t="s">
        <v>625</v>
      </c>
      <c r="L38" s="393">
        <v>58</v>
      </c>
      <c r="M38" s="394">
        <v>60</v>
      </c>
      <c r="N38" s="395">
        <v>1.0089999999999999</v>
      </c>
      <c r="O38" s="396">
        <v>30.72</v>
      </c>
      <c r="P38" s="387" t="s">
        <v>1369</v>
      </c>
      <c r="Q38" s="388">
        <v>32.799999999999997</v>
      </c>
      <c r="R38" s="393">
        <v>6501</v>
      </c>
      <c r="S38" s="390">
        <v>415.8</v>
      </c>
      <c r="T38" s="390">
        <v>480.8</v>
      </c>
      <c r="U38" s="396">
        <v>12.47</v>
      </c>
      <c r="V38" s="392">
        <v>22.06</v>
      </c>
      <c r="W38" s="390">
        <v>194.1</v>
      </c>
      <c r="X38" s="396">
        <v>37.909999999999997</v>
      </c>
      <c r="Y38" s="396">
        <v>60.04</v>
      </c>
      <c r="Z38" s="392">
        <v>2.15</v>
      </c>
      <c r="AA38" s="396">
        <v>37.1</v>
      </c>
      <c r="AB38" s="411">
        <v>12.29</v>
      </c>
      <c r="AC38" s="411">
        <v>44.04</v>
      </c>
      <c r="AD38" s="453">
        <v>1</v>
      </c>
      <c r="AE38" s="398">
        <v>1</v>
      </c>
      <c r="AF38" s="399" t="s">
        <v>616</v>
      </c>
      <c r="AG38" s="398">
        <v>3</v>
      </c>
      <c r="AH38" s="398">
        <v>4</v>
      </c>
      <c r="AI38" s="400" t="s">
        <v>616</v>
      </c>
      <c r="AJ38" s="389"/>
    </row>
    <row r="39" spans="1:36" s="203" customFormat="1" ht="13.5" customHeight="1">
      <c r="A39" s="197"/>
      <c r="B39" s="139"/>
      <c r="C39" s="198"/>
      <c r="D39" s="198"/>
      <c r="E39" s="198"/>
      <c r="F39" s="198"/>
      <c r="G39" s="139"/>
      <c r="H39" s="91"/>
      <c r="I39" s="83"/>
      <c r="J39" s="83"/>
      <c r="K39" s="83"/>
      <c r="L39" s="86"/>
      <c r="M39" s="87"/>
      <c r="N39" s="88"/>
      <c r="O39" s="89"/>
      <c r="P39" s="197"/>
      <c r="Q39" s="82"/>
      <c r="R39" s="86"/>
      <c r="S39" s="84"/>
      <c r="T39" s="84"/>
      <c r="U39" s="89"/>
      <c r="V39" s="91"/>
      <c r="W39" s="84"/>
      <c r="X39" s="89"/>
      <c r="Y39" s="84"/>
      <c r="Z39" s="91"/>
      <c r="AA39" s="89"/>
      <c r="AB39" s="40"/>
      <c r="AC39" s="40"/>
      <c r="AD39" s="199"/>
      <c r="AE39" s="200"/>
      <c r="AF39" s="201"/>
      <c r="AG39" s="200"/>
      <c r="AH39" s="200"/>
      <c r="AI39" s="202"/>
      <c r="AJ39" s="198"/>
    </row>
    <row r="40" spans="1:36" s="434" customFormat="1" ht="13.5" customHeight="1">
      <c r="A40" s="387" t="s">
        <v>1370</v>
      </c>
      <c r="B40" s="388">
        <v>40.299999999999997</v>
      </c>
      <c r="C40" s="389">
        <v>303.39999999999998</v>
      </c>
      <c r="D40" s="389">
        <v>165</v>
      </c>
      <c r="E40" s="389">
        <v>6</v>
      </c>
      <c r="F40" s="389">
        <v>10.199999999999999</v>
      </c>
      <c r="G40" s="388">
        <v>8.9</v>
      </c>
      <c r="H40" s="392">
        <v>51.32</v>
      </c>
      <c r="I40" s="389">
        <v>283</v>
      </c>
      <c r="J40" s="389">
        <v>265.2</v>
      </c>
      <c r="K40" s="389" t="s">
        <v>649</v>
      </c>
      <c r="L40" s="393">
        <v>76</v>
      </c>
      <c r="M40" s="394">
        <v>84</v>
      </c>
      <c r="N40" s="395">
        <v>1.24</v>
      </c>
      <c r="O40" s="396">
        <v>30.77</v>
      </c>
      <c r="P40" s="387" t="s">
        <v>1370</v>
      </c>
      <c r="Q40" s="388">
        <v>40.299999999999997</v>
      </c>
      <c r="R40" s="393">
        <v>8503</v>
      </c>
      <c r="S40" s="390">
        <v>560.5</v>
      </c>
      <c r="T40" s="390">
        <v>623.1</v>
      </c>
      <c r="U40" s="396">
        <v>12.87</v>
      </c>
      <c r="V40" s="392">
        <v>20.09</v>
      </c>
      <c r="W40" s="390">
        <v>764.4</v>
      </c>
      <c r="X40" s="396">
        <v>92.65</v>
      </c>
      <c r="Y40" s="390">
        <v>141.69999999999999</v>
      </c>
      <c r="Z40" s="392">
        <v>3.86</v>
      </c>
      <c r="AA40" s="396">
        <v>36.83</v>
      </c>
      <c r="AB40" s="411">
        <v>14.74</v>
      </c>
      <c r="AC40" s="411">
        <v>164.1</v>
      </c>
      <c r="AD40" s="453">
        <v>1</v>
      </c>
      <c r="AE40" s="398">
        <v>1</v>
      </c>
      <c r="AF40" s="399" t="s">
        <v>616</v>
      </c>
      <c r="AG40" s="398">
        <v>4</v>
      </c>
      <c r="AH40" s="398">
        <v>4</v>
      </c>
      <c r="AI40" s="400" t="s">
        <v>616</v>
      </c>
      <c r="AJ40" s="389"/>
    </row>
    <row r="41" spans="1:36" s="203" customFormat="1" ht="13.5" customHeight="1">
      <c r="A41" s="197" t="s">
        <v>1371</v>
      </c>
      <c r="B41" s="139">
        <v>46.1</v>
      </c>
      <c r="C41" s="198">
        <v>306.60000000000002</v>
      </c>
      <c r="D41" s="198">
        <v>165.7</v>
      </c>
      <c r="E41" s="198">
        <v>6.7</v>
      </c>
      <c r="F41" s="198">
        <v>11.8</v>
      </c>
      <c r="G41" s="139">
        <v>8.9</v>
      </c>
      <c r="H41" s="91">
        <v>58.75</v>
      </c>
      <c r="I41" s="83">
        <v>283</v>
      </c>
      <c r="J41" s="83">
        <v>265.2</v>
      </c>
      <c r="K41" s="83" t="s">
        <v>649</v>
      </c>
      <c r="L41" s="86">
        <v>76</v>
      </c>
      <c r="M41" s="87">
        <v>84</v>
      </c>
      <c r="N41" s="88">
        <v>1.2470000000000001</v>
      </c>
      <c r="O41" s="89">
        <v>27.05</v>
      </c>
      <c r="P41" s="197" t="s">
        <v>1371</v>
      </c>
      <c r="Q41" s="82">
        <v>46.1</v>
      </c>
      <c r="R41" s="86">
        <v>9899</v>
      </c>
      <c r="S41" s="84">
        <v>645.70000000000005</v>
      </c>
      <c r="T41" s="86">
        <v>720</v>
      </c>
      <c r="U41" s="89">
        <v>12.98</v>
      </c>
      <c r="V41" s="91">
        <v>22.53</v>
      </c>
      <c r="W41" s="84">
        <v>895.7</v>
      </c>
      <c r="X41" s="89">
        <v>108.1</v>
      </c>
      <c r="Y41" s="84">
        <v>165.5</v>
      </c>
      <c r="Z41" s="91">
        <v>3.9</v>
      </c>
      <c r="AA41" s="89">
        <v>40.729999999999997</v>
      </c>
      <c r="AB41" s="40">
        <v>22.2</v>
      </c>
      <c r="AC41" s="40">
        <v>194.4</v>
      </c>
      <c r="AD41" s="199">
        <v>1</v>
      </c>
      <c r="AE41" s="200">
        <v>1</v>
      </c>
      <c r="AF41" s="201" t="s">
        <v>616</v>
      </c>
      <c r="AG41" s="200">
        <v>3</v>
      </c>
      <c r="AH41" s="200">
        <v>4</v>
      </c>
      <c r="AI41" s="202" t="s">
        <v>616</v>
      </c>
      <c r="AJ41" s="198"/>
    </row>
    <row r="42" spans="1:36" s="434" customFormat="1" ht="13.5" customHeight="1">
      <c r="A42" s="387" t="s">
        <v>1372</v>
      </c>
      <c r="B42" s="388">
        <v>54</v>
      </c>
      <c r="C42" s="389">
        <v>310.39999999999998</v>
      </c>
      <c r="D42" s="389">
        <v>166.9</v>
      </c>
      <c r="E42" s="389">
        <v>7.9</v>
      </c>
      <c r="F42" s="389">
        <v>13.7</v>
      </c>
      <c r="G42" s="388">
        <v>8.9</v>
      </c>
      <c r="H42" s="392">
        <v>68.77</v>
      </c>
      <c r="I42" s="389">
        <v>283</v>
      </c>
      <c r="J42" s="389">
        <v>265.2</v>
      </c>
      <c r="K42" s="389" t="s">
        <v>649</v>
      </c>
      <c r="L42" s="393">
        <v>78</v>
      </c>
      <c r="M42" s="394">
        <v>84</v>
      </c>
      <c r="N42" s="395">
        <v>1.2569999999999999</v>
      </c>
      <c r="O42" s="396">
        <v>23.29</v>
      </c>
      <c r="P42" s="387" t="s">
        <v>1372</v>
      </c>
      <c r="Q42" s="388">
        <v>54</v>
      </c>
      <c r="R42" s="393">
        <v>11700</v>
      </c>
      <c r="S42" s="390">
        <v>753.6</v>
      </c>
      <c r="T42" s="390">
        <v>846.1</v>
      </c>
      <c r="U42" s="396">
        <v>13.04</v>
      </c>
      <c r="V42" s="392">
        <v>26.56</v>
      </c>
      <c r="W42" s="393">
        <v>1063</v>
      </c>
      <c r="X42" s="396">
        <v>127.4</v>
      </c>
      <c r="Y42" s="390">
        <v>195.6</v>
      </c>
      <c r="Z42" s="392">
        <v>3.93</v>
      </c>
      <c r="AA42" s="396">
        <v>45.73</v>
      </c>
      <c r="AB42" s="411">
        <v>34.9</v>
      </c>
      <c r="AC42" s="411">
        <v>233.6</v>
      </c>
      <c r="AD42" s="453">
        <v>1</v>
      </c>
      <c r="AE42" s="398">
        <v>1</v>
      </c>
      <c r="AF42" s="399" t="s">
        <v>616</v>
      </c>
      <c r="AG42" s="398">
        <v>2</v>
      </c>
      <c r="AH42" s="398">
        <v>3</v>
      </c>
      <c r="AI42" s="400" t="s">
        <v>616</v>
      </c>
      <c r="AJ42" s="389"/>
    </row>
    <row r="43" spans="1:36" s="203" customFormat="1" ht="13.5" customHeight="1">
      <c r="A43" s="197"/>
      <c r="B43" s="139"/>
      <c r="C43" s="198"/>
      <c r="D43" s="198"/>
      <c r="E43" s="198"/>
      <c r="F43" s="198"/>
      <c r="G43" s="139"/>
      <c r="H43" s="91"/>
      <c r="I43" s="83"/>
      <c r="J43" s="83"/>
      <c r="K43" s="83"/>
      <c r="L43" s="86"/>
      <c r="M43" s="87"/>
      <c r="N43" s="88"/>
      <c r="O43" s="89"/>
      <c r="P43" s="197"/>
      <c r="Q43" s="82"/>
      <c r="R43" s="86"/>
      <c r="S43" s="84"/>
      <c r="T43" s="84"/>
      <c r="U43" s="89"/>
      <c r="V43" s="91"/>
      <c r="W43" s="84"/>
      <c r="X43" s="89"/>
      <c r="Y43" s="84"/>
      <c r="Z43" s="91"/>
      <c r="AA43" s="89"/>
      <c r="AB43" s="40"/>
      <c r="AC43" s="40"/>
      <c r="AD43" s="199"/>
      <c r="AE43" s="200"/>
      <c r="AF43" s="201"/>
      <c r="AG43" s="200"/>
      <c r="AH43" s="200"/>
      <c r="AI43" s="202"/>
      <c r="AJ43" s="198"/>
    </row>
    <row r="44" spans="1:36" s="434" customFormat="1" ht="13.5" customHeight="1">
      <c r="A44" s="387" t="s">
        <v>1373</v>
      </c>
      <c r="B44" s="388">
        <v>33.1</v>
      </c>
      <c r="C44" s="389">
        <v>349</v>
      </c>
      <c r="D44" s="389">
        <v>125.4</v>
      </c>
      <c r="E44" s="389">
        <v>6</v>
      </c>
      <c r="F44" s="389">
        <v>8.5</v>
      </c>
      <c r="G44" s="388">
        <v>10.199999999999999</v>
      </c>
      <c r="H44" s="392">
        <v>42.13</v>
      </c>
      <c r="I44" s="389">
        <v>332</v>
      </c>
      <c r="J44" s="389">
        <v>311.60000000000002</v>
      </c>
      <c r="K44" s="389" t="s">
        <v>632</v>
      </c>
      <c r="L44" s="393">
        <v>62</v>
      </c>
      <c r="M44" s="394">
        <v>74</v>
      </c>
      <c r="N44" s="395">
        <v>1.17</v>
      </c>
      <c r="O44" s="396">
        <v>35.380000000000003</v>
      </c>
      <c r="P44" s="387" t="s">
        <v>1373</v>
      </c>
      <c r="Q44" s="388">
        <v>33.1</v>
      </c>
      <c r="R44" s="393">
        <v>8249</v>
      </c>
      <c r="S44" s="390">
        <v>472.7</v>
      </c>
      <c r="T44" s="390">
        <v>542.9</v>
      </c>
      <c r="U44" s="396">
        <v>13.99</v>
      </c>
      <c r="V44" s="392">
        <v>23.06</v>
      </c>
      <c r="W44" s="390">
        <v>280.2</v>
      </c>
      <c r="X44" s="396">
        <v>44.69</v>
      </c>
      <c r="Y44" s="396">
        <v>70.290000000000006</v>
      </c>
      <c r="Z44" s="392">
        <v>2.58</v>
      </c>
      <c r="AA44" s="396">
        <v>34.950000000000003</v>
      </c>
      <c r="AB44" s="411">
        <v>8.9700000000000006</v>
      </c>
      <c r="AC44" s="411">
        <v>80.97</v>
      </c>
      <c r="AD44" s="453">
        <v>1</v>
      </c>
      <c r="AE44" s="398">
        <v>1</v>
      </c>
      <c r="AF44" s="399" t="s">
        <v>616</v>
      </c>
      <c r="AG44" s="398">
        <v>4</v>
      </c>
      <c r="AH44" s="398">
        <v>4</v>
      </c>
      <c r="AI44" s="400" t="s">
        <v>616</v>
      </c>
      <c r="AJ44" s="389"/>
    </row>
    <row r="45" spans="1:36" s="203" customFormat="1" ht="13.5" customHeight="1">
      <c r="A45" s="197" t="s">
        <v>1374</v>
      </c>
      <c r="B45" s="139">
        <v>39.1</v>
      </c>
      <c r="C45" s="198">
        <v>353.4</v>
      </c>
      <c r="D45" s="198">
        <v>126</v>
      </c>
      <c r="E45" s="198">
        <v>6.6</v>
      </c>
      <c r="F45" s="198">
        <v>10.7</v>
      </c>
      <c r="G45" s="139">
        <v>10.199999999999999</v>
      </c>
      <c r="H45" s="91">
        <v>49.77</v>
      </c>
      <c r="I45" s="83">
        <v>332</v>
      </c>
      <c r="J45" s="83">
        <v>311.60000000000002</v>
      </c>
      <c r="K45" s="83" t="s">
        <v>632</v>
      </c>
      <c r="L45" s="86">
        <v>62</v>
      </c>
      <c r="M45" s="87">
        <v>74</v>
      </c>
      <c r="N45" s="88">
        <v>1.18</v>
      </c>
      <c r="O45" s="89">
        <v>30.21</v>
      </c>
      <c r="P45" s="197" t="s">
        <v>1374</v>
      </c>
      <c r="Q45" s="82">
        <v>39.1</v>
      </c>
      <c r="R45" s="86">
        <v>10172</v>
      </c>
      <c r="S45" s="84">
        <v>575.6</v>
      </c>
      <c r="T45" s="84">
        <v>658.5</v>
      </c>
      <c r="U45" s="89">
        <v>14.3</v>
      </c>
      <c r="V45" s="91">
        <v>25.69</v>
      </c>
      <c r="W45" s="84">
        <v>357.8</v>
      </c>
      <c r="X45" s="89">
        <v>56.8</v>
      </c>
      <c r="Y45" s="89">
        <v>89.05</v>
      </c>
      <c r="Z45" s="91">
        <v>2.68</v>
      </c>
      <c r="AA45" s="89">
        <v>39.950000000000003</v>
      </c>
      <c r="AB45" s="40">
        <v>15.15</v>
      </c>
      <c r="AC45" s="36">
        <v>104.7</v>
      </c>
      <c r="AD45" s="199">
        <v>1</v>
      </c>
      <c r="AE45" s="200">
        <v>1</v>
      </c>
      <c r="AF45" s="201" t="s">
        <v>616</v>
      </c>
      <c r="AG45" s="200">
        <v>4</v>
      </c>
      <c r="AH45" s="200">
        <v>4</v>
      </c>
      <c r="AI45" s="202" t="s">
        <v>616</v>
      </c>
      <c r="AJ45" s="198"/>
    </row>
    <row r="46" spans="1:36" s="203" customFormat="1" ht="13.5" customHeight="1">
      <c r="A46" s="197"/>
      <c r="B46" s="139"/>
      <c r="C46" s="198"/>
      <c r="D46" s="198"/>
      <c r="E46" s="198"/>
      <c r="F46" s="198"/>
      <c r="G46" s="139"/>
      <c r="H46" s="91"/>
      <c r="I46" s="83"/>
      <c r="J46" s="83"/>
      <c r="K46" s="83"/>
      <c r="L46" s="86"/>
      <c r="M46" s="87"/>
      <c r="N46" s="88"/>
      <c r="O46" s="89"/>
      <c r="P46" s="197"/>
      <c r="Q46" s="82"/>
      <c r="R46" s="86"/>
      <c r="S46" s="84"/>
      <c r="T46" s="84"/>
      <c r="U46" s="89"/>
      <c r="V46" s="91"/>
      <c r="W46" s="84"/>
      <c r="X46" s="89"/>
      <c r="Y46" s="89"/>
      <c r="Z46" s="91"/>
      <c r="AA46" s="89"/>
      <c r="AB46" s="40"/>
      <c r="AC46" s="36"/>
      <c r="AD46" s="199"/>
      <c r="AE46" s="200"/>
      <c r="AF46" s="201"/>
      <c r="AG46" s="200"/>
      <c r="AH46" s="200"/>
      <c r="AI46" s="202"/>
      <c r="AJ46" s="198"/>
    </row>
    <row r="47" spans="1:36" s="434" customFormat="1" ht="13.5" customHeight="1">
      <c r="A47" s="387" t="s">
        <v>1375</v>
      </c>
      <c r="B47" s="388">
        <v>45</v>
      </c>
      <c r="C47" s="389">
        <v>351.4</v>
      </c>
      <c r="D47" s="389">
        <v>171.1</v>
      </c>
      <c r="E47" s="389">
        <v>7</v>
      </c>
      <c r="F47" s="389">
        <v>9.6999999999999993</v>
      </c>
      <c r="G47" s="388">
        <v>10.199999999999999</v>
      </c>
      <c r="H47" s="392">
        <v>57.33</v>
      </c>
      <c r="I47" s="389">
        <v>332</v>
      </c>
      <c r="J47" s="389">
        <v>311.60000000000002</v>
      </c>
      <c r="K47" s="389" t="s">
        <v>649</v>
      </c>
      <c r="L47" s="393">
        <v>82</v>
      </c>
      <c r="M47" s="394">
        <v>90</v>
      </c>
      <c r="N47" s="395">
        <v>1.3560000000000001</v>
      </c>
      <c r="O47" s="396">
        <v>30.13</v>
      </c>
      <c r="P47" s="387" t="s">
        <v>1375</v>
      </c>
      <c r="Q47" s="388">
        <v>45</v>
      </c>
      <c r="R47" s="393">
        <v>12070</v>
      </c>
      <c r="S47" s="390">
        <v>686.7</v>
      </c>
      <c r="T47" s="390">
        <v>774.6</v>
      </c>
      <c r="U47" s="396">
        <v>14.51</v>
      </c>
      <c r="V47" s="392">
        <v>26.79</v>
      </c>
      <c r="W47" s="390">
        <v>811.1</v>
      </c>
      <c r="X47" s="396">
        <v>94.81</v>
      </c>
      <c r="Y47" s="390">
        <v>146.6</v>
      </c>
      <c r="Z47" s="392">
        <v>3.76</v>
      </c>
      <c r="AA47" s="396">
        <v>38.35</v>
      </c>
      <c r="AB47" s="411">
        <v>16.16</v>
      </c>
      <c r="AC47" s="406">
        <v>236.4</v>
      </c>
      <c r="AD47" s="453">
        <v>1</v>
      </c>
      <c r="AE47" s="398">
        <v>2</v>
      </c>
      <c r="AF47" s="399" t="s">
        <v>616</v>
      </c>
      <c r="AG47" s="398">
        <v>4</v>
      </c>
      <c r="AH47" s="398">
        <v>4</v>
      </c>
      <c r="AI47" s="400" t="s">
        <v>616</v>
      </c>
      <c r="AJ47" s="389"/>
    </row>
    <row r="48" spans="1:36" s="203" customFormat="1" ht="13.5" customHeight="1">
      <c r="A48" s="197" t="s">
        <v>1376</v>
      </c>
      <c r="B48" s="139">
        <v>51</v>
      </c>
      <c r="C48" s="198">
        <v>355</v>
      </c>
      <c r="D48" s="198">
        <v>171.5</v>
      </c>
      <c r="E48" s="198">
        <v>7.4</v>
      </c>
      <c r="F48" s="198">
        <v>11.5</v>
      </c>
      <c r="G48" s="139">
        <v>10.199999999999999</v>
      </c>
      <c r="H48" s="91">
        <v>64.91</v>
      </c>
      <c r="I48" s="83">
        <v>332</v>
      </c>
      <c r="J48" s="83">
        <v>311.60000000000002</v>
      </c>
      <c r="K48" s="83" t="s">
        <v>649</v>
      </c>
      <c r="L48" s="86">
        <v>82</v>
      </c>
      <c r="M48" s="87">
        <v>90</v>
      </c>
      <c r="N48" s="88">
        <v>1.3640000000000001</v>
      </c>
      <c r="O48" s="89">
        <v>26.76</v>
      </c>
      <c r="P48" s="197" t="s">
        <v>1376</v>
      </c>
      <c r="Q48" s="82">
        <v>51</v>
      </c>
      <c r="R48" s="86">
        <v>14140</v>
      </c>
      <c r="S48" s="84">
        <v>796.4</v>
      </c>
      <c r="T48" s="84">
        <v>896</v>
      </c>
      <c r="U48" s="89">
        <v>14.76</v>
      </c>
      <c r="V48" s="91">
        <v>28.66</v>
      </c>
      <c r="W48" s="84">
        <v>968.3</v>
      </c>
      <c r="X48" s="84">
        <v>112.9</v>
      </c>
      <c r="Y48" s="84">
        <v>174.2</v>
      </c>
      <c r="Z48" s="91">
        <v>3.86</v>
      </c>
      <c r="AA48" s="89">
        <v>42.35</v>
      </c>
      <c r="AB48" s="40">
        <v>24</v>
      </c>
      <c r="AC48" s="36">
        <v>285.2</v>
      </c>
      <c r="AD48" s="199">
        <v>1</v>
      </c>
      <c r="AE48" s="200">
        <v>1</v>
      </c>
      <c r="AF48" s="201" t="s">
        <v>616</v>
      </c>
      <c r="AG48" s="200">
        <v>4</v>
      </c>
      <c r="AH48" s="200">
        <v>4</v>
      </c>
      <c r="AI48" s="202" t="s">
        <v>616</v>
      </c>
      <c r="AJ48" s="198"/>
    </row>
    <row r="49" spans="1:36" s="434" customFormat="1" ht="13.5" customHeight="1">
      <c r="A49" s="387" t="s">
        <v>1377</v>
      </c>
      <c r="B49" s="388">
        <v>57</v>
      </c>
      <c r="C49" s="389">
        <v>358</v>
      </c>
      <c r="D49" s="389">
        <v>172.2</v>
      </c>
      <c r="E49" s="389">
        <v>8.1</v>
      </c>
      <c r="F49" s="389">
        <v>13</v>
      </c>
      <c r="G49" s="388">
        <v>10.199999999999999</v>
      </c>
      <c r="H49" s="392">
        <v>72.56</v>
      </c>
      <c r="I49" s="389">
        <v>332</v>
      </c>
      <c r="J49" s="389">
        <v>311.60000000000002</v>
      </c>
      <c r="K49" s="389" t="s">
        <v>649</v>
      </c>
      <c r="L49" s="393">
        <v>82</v>
      </c>
      <c r="M49" s="394">
        <v>90</v>
      </c>
      <c r="N49" s="395">
        <v>1.371</v>
      </c>
      <c r="O49" s="396">
        <v>24.07</v>
      </c>
      <c r="P49" s="387" t="s">
        <v>1377</v>
      </c>
      <c r="Q49" s="388">
        <v>57</v>
      </c>
      <c r="R49" s="393">
        <v>16040</v>
      </c>
      <c r="S49" s="393">
        <v>896</v>
      </c>
      <c r="T49" s="393">
        <v>1010</v>
      </c>
      <c r="U49" s="396">
        <v>14.87</v>
      </c>
      <c r="V49" s="392">
        <v>31.49</v>
      </c>
      <c r="W49" s="393">
        <v>1108</v>
      </c>
      <c r="X49" s="390">
        <v>128.69999999999999</v>
      </c>
      <c r="Y49" s="390">
        <v>198.8</v>
      </c>
      <c r="Z49" s="392">
        <v>3.91</v>
      </c>
      <c r="AA49" s="396">
        <v>46.05</v>
      </c>
      <c r="AB49" s="411">
        <v>33.590000000000003</v>
      </c>
      <c r="AC49" s="406">
        <v>329.2</v>
      </c>
      <c r="AD49" s="453">
        <v>1</v>
      </c>
      <c r="AE49" s="398">
        <v>1</v>
      </c>
      <c r="AF49" s="399" t="s">
        <v>616</v>
      </c>
      <c r="AG49" s="398">
        <v>3</v>
      </c>
      <c r="AH49" s="398">
        <v>4</v>
      </c>
      <c r="AI49" s="400" t="s">
        <v>616</v>
      </c>
      <c r="AJ49" s="389"/>
    </row>
    <row r="50" spans="1:36" s="203" customFormat="1" ht="13.5" customHeight="1">
      <c r="A50" s="197" t="s">
        <v>1378</v>
      </c>
      <c r="B50" s="139">
        <v>67.099999999999994</v>
      </c>
      <c r="C50" s="198">
        <v>363.4</v>
      </c>
      <c r="D50" s="198">
        <v>173.2</v>
      </c>
      <c r="E50" s="198">
        <v>9.1</v>
      </c>
      <c r="F50" s="198">
        <v>15.7</v>
      </c>
      <c r="G50" s="139">
        <v>10.199999999999999</v>
      </c>
      <c r="H50" s="91">
        <v>85.49</v>
      </c>
      <c r="I50" s="83">
        <v>332</v>
      </c>
      <c r="J50" s="83">
        <v>311.60000000000002</v>
      </c>
      <c r="K50" s="83" t="s">
        <v>649</v>
      </c>
      <c r="L50" s="86">
        <v>84</v>
      </c>
      <c r="M50" s="87">
        <v>92</v>
      </c>
      <c r="N50" s="88">
        <v>1.3839999999999999</v>
      </c>
      <c r="O50" s="89">
        <v>20.62</v>
      </c>
      <c r="P50" s="197" t="s">
        <v>1378</v>
      </c>
      <c r="Q50" s="82">
        <v>67.099999999999994</v>
      </c>
      <c r="R50" s="86">
        <v>19460</v>
      </c>
      <c r="S50" s="86">
        <v>1071</v>
      </c>
      <c r="T50" s="86">
        <v>1211</v>
      </c>
      <c r="U50" s="89">
        <v>15.09</v>
      </c>
      <c r="V50" s="91">
        <v>35.74</v>
      </c>
      <c r="W50" s="86">
        <v>1362</v>
      </c>
      <c r="X50" s="84">
        <v>157.30000000000001</v>
      </c>
      <c r="Y50" s="86">
        <v>243</v>
      </c>
      <c r="Z50" s="91">
        <v>3.99</v>
      </c>
      <c r="AA50" s="89">
        <v>52.45</v>
      </c>
      <c r="AB50" s="40">
        <v>55.9</v>
      </c>
      <c r="AC50" s="36">
        <v>410.9</v>
      </c>
      <c r="AD50" s="199">
        <v>1</v>
      </c>
      <c r="AE50" s="200">
        <v>1</v>
      </c>
      <c r="AF50" s="201" t="s">
        <v>616</v>
      </c>
      <c r="AG50" s="200">
        <v>2</v>
      </c>
      <c r="AH50" s="200">
        <v>4</v>
      </c>
      <c r="AI50" s="202" t="s">
        <v>616</v>
      </c>
      <c r="AJ50" s="198"/>
    </row>
    <row r="51" spans="1:36" s="203" customFormat="1" ht="13.5" customHeight="1">
      <c r="A51" s="197"/>
      <c r="B51" s="139"/>
      <c r="C51" s="198"/>
      <c r="D51" s="198"/>
      <c r="E51" s="198"/>
      <c r="F51" s="198"/>
      <c r="G51" s="139"/>
      <c r="H51" s="91"/>
      <c r="I51" s="83"/>
      <c r="J51" s="83"/>
      <c r="K51" s="83"/>
      <c r="L51" s="86"/>
      <c r="M51" s="87"/>
      <c r="N51" s="88"/>
      <c r="O51" s="89"/>
      <c r="P51" s="197"/>
      <c r="Q51" s="82"/>
      <c r="R51" s="86"/>
      <c r="S51" s="86"/>
      <c r="T51" s="86"/>
      <c r="U51" s="89"/>
      <c r="V51" s="91"/>
      <c r="W51" s="86"/>
      <c r="X51" s="84"/>
      <c r="Y51" s="86"/>
      <c r="Z51" s="91"/>
      <c r="AA51" s="89"/>
      <c r="AB51" s="40"/>
      <c r="AC51" s="36"/>
      <c r="AD51" s="199"/>
      <c r="AE51" s="200"/>
      <c r="AF51" s="201"/>
      <c r="AG51" s="200"/>
      <c r="AH51" s="200"/>
      <c r="AI51" s="202"/>
      <c r="AJ51" s="198"/>
    </row>
    <row r="52" spans="1:36" s="434" customFormat="1" ht="13.5" customHeight="1">
      <c r="A52" s="387" t="s">
        <v>1379</v>
      </c>
      <c r="B52" s="388">
        <v>39</v>
      </c>
      <c r="C52" s="389">
        <v>398</v>
      </c>
      <c r="D52" s="389">
        <v>141.80000000000001</v>
      </c>
      <c r="E52" s="389">
        <v>6.4</v>
      </c>
      <c r="F52" s="389">
        <v>8.6</v>
      </c>
      <c r="G52" s="388">
        <v>10.199999999999999</v>
      </c>
      <c r="H52" s="392">
        <v>49.65</v>
      </c>
      <c r="I52" s="389">
        <v>380.8</v>
      </c>
      <c r="J52" s="389">
        <v>360.4</v>
      </c>
      <c r="K52" s="389" t="s">
        <v>639</v>
      </c>
      <c r="L52" s="393">
        <v>68</v>
      </c>
      <c r="M52" s="394">
        <v>78</v>
      </c>
      <c r="N52" s="395">
        <v>1.333</v>
      </c>
      <c r="O52" s="396">
        <v>34.200000000000003</v>
      </c>
      <c r="P52" s="387" t="s">
        <v>1379</v>
      </c>
      <c r="Q52" s="388">
        <v>39</v>
      </c>
      <c r="R52" s="393">
        <v>12508</v>
      </c>
      <c r="S52" s="390">
        <v>628.6</v>
      </c>
      <c r="T52" s="390">
        <v>723.7</v>
      </c>
      <c r="U52" s="396">
        <v>15.87</v>
      </c>
      <c r="V52" s="392">
        <v>27.57</v>
      </c>
      <c r="W52" s="390">
        <v>409.8</v>
      </c>
      <c r="X52" s="396">
        <v>57.8</v>
      </c>
      <c r="Y52" s="396">
        <v>90.85</v>
      </c>
      <c r="Z52" s="392">
        <v>2.87</v>
      </c>
      <c r="AA52" s="396">
        <v>35.549999999999997</v>
      </c>
      <c r="AB52" s="411">
        <v>10.99</v>
      </c>
      <c r="AC52" s="406">
        <v>154.9</v>
      </c>
      <c r="AD52" s="453">
        <v>1</v>
      </c>
      <c r="AE52" s="398">
        <v>2</v>
      </c>
      <c r="AF52" s="399" t="s">
        <v>616</v>
      </c>
      <c r="AG52" s="398">
        <v>4</v>
      </c>
      <c r="AH52" s="398">
        <v>4</v>
      </c>
      <c r="AI52" s="400" t="s">
        <v>616</v>
      </c>
      <c r="AJ52" s="389"/>
    </row>
    <row r="53" spans="1:36" s="203" customFormat="1" ht="13.5" customHeight="1">
      <c r="A53" s="197" t="s">
        <v>1380</v>
      </c>
      <c r="B53" s="139">
        <v>46</v>
      </c>
      <c r="C53" s="198">
        <v>403.2</v>
      </c>
      <c r="D53" s="198">
        <v>142.19999999999999</v>
      </c>
      <c r="E53" s="198">
        <v>6.8</v>
      </c>
      <c r="F53" s="198">
        <v>11.2</v>
      </c>
      <c r="G53" s="139">
        <v>10.199999999999999</v>
      </c>
      <c r="H53" s="91">
        <v>58.64</v>
      </c>
      <c r="I53" s="83">
        <v>380.8</v>
      </c>
      <c r="J53" s="83">
        <v>360.4</v>
      </c>
      <c r="K53" s="83" t="s">
        <v>639</v>
      </c>
      <c r="L53" s="86">
        <v>68</v>
      </c>
      <c r="M53" s="87">
        <v>78</v>
      </c>
      <c r="N53" s="88">
        <v>1.3440000000000001</v>
      </c>
      <c r="O53" s="89">
        <v>29.2</v>
      </c>
      <c r="P53" s="197" t="s">
        <v>1380</v>
      </c>
      <c r="Q53" s="82">
        <v>46</v>
      </c>
      <c r="R53" s="86">
        <v>15685</v>
      </c>
      <c r="S53" s="84">
        <v>778</v>
      </c>
      <c r="T53" s="84">
        <v>887.6</v>
      </c>
      <c r="U53" s="89">
        <v>16.350000000000001</v>
      </c>
      <c r="V53" s="91">
        <v>29.83</v>
      </c>
      <c r="W53" s="84">
        <v>538.1</v>
      </c>
      <c r="X53" s="89">
        <v>75.680000000000007</v>
      </c>
      <c r="Y53" s="84">
        <v>118.1</v>
      </c>
      <c r="Z53" s="91">
        <v>3.03</v>
      </c>
      <c r="AA53" s="89">
        <v>41.15</v>
      </c>
      <c r="AB53" s="40">
        <v>19.07</v>
      </c>
      <c r="AC53" s="36">
        <v>206.2</v>
      </c>
      <c r="AD53" s="199">
        <v>1</v>
      </c>
      <c r="AE53" s="200">
        <v>1</v>
      </c>
      <c r="AF53" s="201" t="s">
        <v>616</v>
      </c>
      <c r="AG53" s="200">
        <v>4</v>
      </c>
      <c r="AH53" s="200">
        <v>4</v>
      </c>
      <c r="AI53" s="202" t="s">
        <v>616</v>
      </c>
      <c r="AJ53" s="198"/>
    </row>
    <row r="54" spans="1:36" s="434" customFormat="1" ht="13.5" customHeight="1">
      <c r="A54" s="387" t="s">
        <v>1381</v>
      </c>
      <c r="B54" s="388">
        <v>54.1</v>
      </c>
      <c r="C54" s="389">
        <v>402.6</v>
      </c>
      <c r="D54" s="389">
        <v>177.7</v>
      </c>
      <c r="E54" s="389">
        <v>7.7</v>
      </c>
      <c r="F54" s="389">
        <v>10.9</v>
      </c>
      <c r="G54" s="388">
        <v>10.199999999999999</v>
      </c>
      <c r="H54" s="392">
        <v>68.95</v>
      </c>
      <c r="I54" s="389">
        <v>380.8</v>
      </c>
      <c r="J54" s="389">
        <v>360.4</v>
      </c>
      <c r="K54" s="389" t="s">
        <v>656</v>
      </c>
      <c r="L54" s="393">
        <v>88</v>
      </c>
      <c r="M54" s="394">
        <v>90</v>
      </c>
      <c r="N54" s="395">
        <v>1.4830000000000001</v>
      </c>
      <c r="O54" s="396">
        <v>27.4</v>
      </c>
      <c r="P54" s="387" t="s">
        <v>1381</v>
      </c>
      <c r="Q54" s="388">
        <v>54.1</v>
      </c>
      <c r="R54" s="393">
        <v>18720</v>
      </c>
      <c r="S54" s="393">
        <v>930</v>
      </c>
      <c r="T54" s="393">
        <v>1055</v>
      </c>
      <c r="U54" s="396">
        <v>16.48</v>
      </c>
      <c r="V54" s="392">
        <v>33.28</v>
      </c>
      <c r="W54" s="393">
        <v>1021</v>
      </c>
      <c r="X54" s="390">
        <v>114.9</v>
      </c>
      <c r="Y54" s="390">
        <v>178.3</v>
      </c>
      <c r="Z54" s="392">
        <v>3.85</v>
      </c>
      <c r="AA54" s="396">
        <v>41.45</v>
      </c>
      <c r="AB54" s="411">
        <v>23.5</v>
      </c>
      <c r="AC54" s="398">
        <v>391</v>
      </c>
      <c r="AD54" s="453">
        <v>1</v>
      </c>
      <c r="AE54" s="398">
        <v>2</v>
      </c>
      <c r="AF54" s="399" t="s">
        <v>616</v>
      </c>
      <c r="AG54" s="398">
        <v>4</v>
      </c>
      <c r="AH54" s="398">
        <v>4</v>
      </c>
      <c r="AI54" s="400" t="s">
        <v>616</v>
      </c>
      <c r="AJ54" s="389"/>
    </row>
    <row r="55" spans="1:36" s="203" customFormat="1" ht="13.5" customHeight="1">
      <c r="A55" s="197" t="s">
        <v>1382</v>
      </c>
      <c r="B55" s="139">
        <v>60.1</v>
      </c>
      <c r="C55" s="198">
        <v>406.4</v>
      </c>
      <c r="D55" s="198">
        <v>177.9</v>
      </c>
      <c r="E55" s="198">
        <v>7.9</v>
      </c>
      <c r="F55" s="198">
        <v>12.8</v>
      </c>
      <c r="G55" s="139">
        <v>10.199999999999999</v>
      </c>
      <c r="H55" s="91">
        <v>76.52</v>
      </c>
      <c r="I55" s="83">
        <v>380.8</v>
      </c>
      <c r="J55" s="83">
        <v>360.4</v>
      </c>
      <c r="K55" s="83" t="s">
        <v>656</v>
      </c>
      <c r="L55" s="86">
        <v>88</v>
      </c>
      <c r="M55" s="87">
        <v>90</v>
      </c>
      <c r="N55" s="88">
        <v>1.4910000000000001</v>
      </c>
      <c r="O55" s="89">
        <v>24.82</v>
      </c>
      <c r="P55" s="197" t="s">
        <v>1382</v>
      </c>
      <c r="Q55" s="82">
        <v>60.1</v>
      </c>
      <c r="R55" s="86">
        <v>21600</v>
      </c>
      <c r="S55" s="86">
        <v>1063</v>
      </c>
      <c r="T55" s="86">
        <v>1199</v>
      </c>
      <c r="U55" s="89">
        <v>16.8</v>
      </c>
      <c r="V55" s="91">
        <v>34.6</v>
      </c>
      <c r="W55" s="86">
        <v>1203</v>
      </c>
      <c r="X55" s="84">
        <v>135.30000000000001</v>
      </c>
      <c r="Y55" s="86">
        <v>209</v>
      </c>
      <c r="Z55" s="91">
        <v>3.97</v>
      </c>
      <c r="AA55" s="89">
        <v>45.45</v>
      </c>
      <c r="AB55" s="40">
        <v>33.49</v>
      </c>
      <c r="AC55" s="36">
        <v>465.2</v>
      </c>
      <c r="AD55" s="199">
        <v>1</v>
      </c>
      <c r="AE55" s="200">
        <v>1</v>
      </c>
      <c r="AF55" s="201" t="s">
        <v>616</v>
      </c>
      <c r="AG55" s="200">
        <v>4</v>
      </c>
      <c r="AH55" s="200">
        <v>4</v>
      </c>
      <c r="AI55" s="202" t="s">
        <v>616</v>
      </c>
      <c r="AJ55" s="198"/>
    </row>
    <row r="56" spans="1:36" s="434" customFormat="1" ht="13.5" customHeight="1">
      <c r="A56" s="387" t="s">
        <v>1383</v>
      </c>
      <c r="B56" s="388">
        <v>67.099999999999994</v>
      </c>
      <c r="C56" s="389">
        <v>409.4</v>
      </c>
      <c r="D56" s="389">
        <v>178.8</v>
      </c>
      <c r="E56" s="389">
        <v>8.8000000000000007</v>
      </c>
      <c r="F56" s="389">
        <v>14.3</v>
      </c>
      <c r="G56" s="388">
        <v>10.199999999999999</v>
      </c>
      <c r="H56" s="392">
        <v>85.54</v>
      </c>
      <c r="I56" s="389">
        <v>380.8</v>
      </c>
      <c r="J56" s="389">
        <v>360.4</v>
      </c>
      <c r="K56" s="389" t="s">
        <v>656</v>
      </c>
      <c r="L56" s="393">
        <v>88</v>
      </c>
      <c r="M56" s="394">
        <v>90</v>
      </c>
      <c r="N56" s="395">
        <v>1.4990000000000001</v>
      </c>
      <c r="O56" s="396">
        <v>22.32</v>
      </c>
      <c r="P56" s="387" t="s">
        <v>1383</v>
      </c>
      <c r="Q56" s="388">
        <v>67.099999999999994</v>
      </c>
      <c r="R56" s="393">
        <v>24330</v>
      </c>
      <c r="S56" s="393">
        <v>1189</v>
      </c>
      <c r="T56" s="393">
        <v>1346</v>
      </c>
      <c r="U56" s="396">
        <v>16.87</v>
      </c>
      <c r="V56" s="392">
        <v>38.58</v>
      </c>
      <c r="W56" s="393">
        <v>1365</v>
      </c>
      <c r="X56" s="390">
        <v>152.69999999999999</v>
      </c>
      <c r="Y56" s="390">
        <v>236.6</v>
      </c>
      <c r="Z56" s="392">
        <v>3.99</v>
      </c>
      <c r="AA56" s="396">
        <v>49.35</v>
      </c>
      <c r="AB56" s="411">
        <v>46.4</v>
      </c>
      <c r="AC56" s="406">
        <v>531.70000000000005</v>
      </c>
      <c r="AD56" s="453">
        <v>1</v>
      </c>
      <c r="AE56" s="398">
        <v>1</v>
      </c>
      <c r="AF56" s="399" t="s">
        <v>616</v>
      </c>
      <c r="AG56" s="398">
        <v>3</v>
      </c>
      <c r="AH56" s="398">
        <v>4</v>
      </c>
      <c r="AI56" s="400" t="s">
        <v>616</v>
      </c>
      <c r="AJ56" s="389"/>
    </row>
    <row r="57" spans="1:36" s="203" customFormat="1" ht="13.5" customHeight="1">
      <c r="A57" s="197" t="s">
        <v>1384</v>
      </c>
      <c r="B57" s="139">
        <v>74.2</v>
      </c>
      <c r="C57" s="198">
        <v>412.8</v>
      </c>
      <c r="D57" s="198">
        <v>179.5</v>
      </c>
      <c r="E57" s="198">
        <v>9.5</v>
      </c>
      <c r="F57" s="198">
        <v>16</v>
      </c>
      <c r="G57" s="139">
        <v>10.199999999999999</v>
      </c>
      <c r="H57" s="91">
        <v>94.51</v>
      </c>
      <c r="I57" s="83">
        <v>380.8</v>
      </c>
      <c r="J57" s="83">
        <v>360.4</v>
      </c>
      <c r="K57" s="83" t="s">
        <v>656</v>
      </c>
      <c r="L57" s="86">
        <v>88</v>
      </c>
      <c r="M57" s="87">
        <v>92</v>
      </c>
      <c r="N57" s="88">
        <v>1.5069999999999999</v>
      </c>
      <c r="O57" s="89">
        <v>20.309999999999999</v>
      </c>
      <c r="P57" s="197" t="s">
        <v>1384</v>
      </c>
      <c r="Q57" s="82">
        <v>74.2</v>
      </c>
      <c r="R57" s="86">
        <v>27310</v>
      </c>
      <c r="S57" s="86">
        <v>1323</v>
      </c>
      <c r="T57" s="86">
        <v>1501</v>
      </c>
      <c r="U57" s="89">
        <v>17</v>
      </c>
      <c r="V57" s="91">
        <v>41.85</v>
      </c>
      <c r="W57" s="86">
        <v>1545</v>
      </c>
      <c r="X57" s="84">
        <v>172.2</v>
      </c>
      <c r="Y57" s="86">
        <v>267</v>
      </c>
      <c r="Z57" s="91">
        <v>4.04</v>
      </c>
      <c r="AA57" s="89">
        <v>53.45</v>
      </c>
      <c r="AB57" s="40">
        <v>63.1</v>
      </c>
      <c r="AC57" s="36">
        <v>607.1</v>
      </c>
      <c r="AD57" s="199">
        <v>1</v>
      </c>
      <c r="AE57" s="200">
        <v>1</v>
      </c>
      <c r="AF57" s="201" t="s">
        <v>616</v>
      </c>
      <c r="AG57" s="200">
        <v>2</v>
      </c>
      <c r="AH57" s="200">
        <v>4</v>
      </c>
      <c r="AI57" s="202" t="s">
        <v>616</v>
      </c>
      <c r="AJ57" s="198"/>
    </row>
    <row r="58" spans="1:36" s="203" customFormat="1" ht="13.5" customHeight="1">
      <c r="A58" s="197"/>
      <c r="B58" s="139"/>
      <c r="C58" s="198"/>
      <c r="D58" s="198"/>
      <c r="E58" s="198"/>
      <c r="F58" s="198"/>
      <c r="G58" s="139"/>
      <c r="H58" s="91"/>
      <c r="I58" s="83"/>
      <c r="J58" s="83"/>
      <c r="K58" s="83"/>
      <c r="L58" s="86"/>
      <c r="M58" s="87"/>
      <c r="N58" s="88"/>
      <c r="O58" s="89"/>
      <c r="P58" s="197"/>
      <c r="Q58" s="82"/>
      <c r="R58" s="86"/>
      <c r="S58" s="86"/>
      <c r="T58" s="86"/>
      <c r="U58" s="89"/>
      <c r="V58" s="91"/>
      <c r="W58" s="86"/>
      <c r="X58" s="84"/>
      <c r="Y58" s="84"/>
      <c r="Z58" s="91"/>
      <c r="AA58" s="89"/>
      <c r="AB58" s="40"/>
      <c r="AC58" s="36"/>
      <c r="AD58" s="199"/>
      <c r="AE58" s="200"/>
      <c r="AF58" s="201"/>
      <c r="AG58" s="200"/>
      <c r="AH58" s="200"/>
      <c r="AI58" s="202"/>
      <c r="AJ58" s="198"/>
    </row>
    <row r="59" spans="1:36" s="434" customFormat="1" ht="13.5" customHeight="1">
      <c r="A59" s="387" t="s">
        <v>1385</v>
      </c>
      <c r="B59" s="388">
        <v>52.3</v>
      </c>
      <c r="C59" s="389">
        <v>449.8</v>
      </c>
      <c r="D59" s="389">
        <v>152.4</v>
      </c>
      <c r="E59" s="389">
        <v>7.6</v>
      </c>
      <c r="F59" s="389">
        <v>10.9</v>
      </c>
      <c r="G59" s="388">
        <v>10.199999999999999</v>
      </c>
      <c r="H59" s="392">
        <v>66.64</v>
      </c>
      <c r="I59" s="389">
        <v>428</v>
      </c>
      <c r="J59" s="389">
        <v>407.6</v>
      </c>
      <c r="K59" s="389" t="s">
        <v>689</v>
      </c>
      <c r="L59" s="393">
        <v>76</v>
      </c>
      <c r="M59" s="394">
        <v>76</v>
      </c>
      <c r="N59" s="395">
        <v>1.476</v>
      </c>
      <c r="O59" s="396">
        <v>28.22</v>
      </c>
      <c r="P59" s="387" t="s">
        <v>1385</v>
      </c>
      <c r="Q59" s="388">
        <v>52.3</v>
      </c>
      <c r="R59" s="393">
        <v>21370</v>
      </c>
      <c r="S59" s="393">
        <v>950</v>
      </c>
      <c r="T59" s="393">
        <v>1096</v>
      </c>
      <c r="U59" s="396">
        <v>17.91</v>
      </c>
      <c r="V59" s="392">
        <v>36.47</v>
      </c>
      <c r="W59" s="393">
        <v>645</v>
      </c>
      <c r="X59" s="396">
        <v>84.64</v>
      </c>
      <c r="Y59" s="390">
        <v>133.30000000000001</v>
      </c>
      <c r="Z59" s="392">
        <v>3.11</v>
      </c>
      <c r="AA59" s="396">
        <v>41.35</v>
      </c>
      <c r="AB59" s="411">
        <v>21.71</v>
      </c>
      <c r="AC59" s="406">
        <v>309.7</v>
      </c>
      <c r="AD59" s="453">
        <v>1</v>
      </c>
      <c r="AE59" s="398">
        <v>1</v>
      </c>
      <c r="AF59" s="399" t="s">
        <v>616</v>
      </c>
      <c r="AG59" s="398">
        <v>4</v>
      </c>
      <c r="AH59" s="398">
        <v>4</v>
      </c>
      <c r="AI59" s="400" t="s">
        <v>616</v>
      </c>
      <c r="AJ59" s="389"/>
    </row>
    <row r="60" spans="1:36" s="203" customFormat="1" ht="13.5" customHeight="1">
      <c r="A60" s="197" t="s">
        <v>1386</v>
      </c>
      <c r="B60" s="139">
        <v>59.8</v>
      </c>
      <c r="C60" s="198">
        <v>454.6</v>
      </c>
      <c r="D60" s="198">
        <v>152.9</v>
      </c>
      <c r="E60" s="198">
        <v>8.1</v>
      </c>
      <c r="F60" s="198">
        <v>13.3</v>
      </c>
      <c r="G60" s="139">
        <v>10.199999999999999</v>
      </c>
      <c r="H60" s="91">
        <v>76.23</v>
      </c>
      <c r="I60" s="83">
        <v>428</v>
      </c>
      <c r="J60" s="83">
        <v>407.6</v>
      </c>
      <c r="K60" s="83" t="s">
        <v>689</v>
      </c>
      <c r="L60" s="86">
        <v>76</v>
      </c>
      <c r="M60" s="87">
        <v>76</v>
      </c>
      <c r="N60" s="88">
        <v>1.4870000000000001</v>
      </c>
      <c r="O60" s="89">
        <v>24.85</v>
      </c>
      <c r="P60" s="197" t="s">
        <v>1386</v>
      </c>
      <c r="Q60" s="82">
        <v>59.8</v>
      </c>
      <c r="R60" s="86">
        <v>25500</v>
      </c>
      <c r="S60" s="86">
        <v>1122</v>
      </c>
      <c r="T60" s="86">
        <v>1287</v>
      </c>
      <c r="U60" s="89">
        <v>18.29</v>
      </c>
      <c r="V60" s="91">
        <v>39.35</v>
      </c>
      <c r="W60" s="84">
        <v>794.6</v>
      </c>
      <c r="X60" s="84">
        <v>103.9</v>
      </c>
      <c r="Y60" s="84">
        <v>163.1</v>
      </c>
      <c r="Z60" s="91">
        <v>3.23</v>
      </c>
      <c r="AA60" s="89">
        <v>46.65</v>
      </c>
      <c r="AB60" s="40">
        <v>34.020000000000003</v>
      </c>
      <c r="AC60" s="36">
        <v>385.8</v>
      </c>
      <c r="AD60" s="199">
        <v>1</v>
      </c>
      <c r="AE60" s="200">
        <v>1</v>
      </c>
      <c r="AF60" s="201" t="s">
        <v>616</v>
      </c>
      <c r="AG60" s="200">
        <v>4</v>
      </c>
      <c r="AH60" s="200">
        <v>4</v>
      </c>
      <c r="AI60" s="202" t="s">
        <v>616</v>
      </c>
      <c r="AJ60" s="198"/>
    </row>
    <row r="61" spans="1:36" s="434" customFormat="1" ht="13.5" customHeight="1">
      <c r="A61" s="387" t="s">
        <v>1387</v>
      </c>
      <c r="B61" s="388">
        <v>67.2</v>
      </c>
      <c r="C61" s="389">
        <v>458</v>
      </c>
      <c r="D61" s="389">
        <v>153.80000000000001</v>
      </c>
      <c r="E61" s="389">
        <v>9</v>
      </c>
      <c r="F61" s="389">
        <v>15</v>
      </c>
      <c r="G61" s="388">
        <v>10.199999999999999</v>
      </c>
      <c r="H61" s="392">
        <v>85.55</v>
      </c>
      <c r="I61" s="389">
        <v>428</v>
      </c>
      <c r="J61" s="389">
        <v>407.6</v>
      </c>
      <c r="K61" s="389" t="s">
        <v>689</v>
      </c>
      <c r="L61" s="393">
        <v>78</v>
      </c>
      <c r="M61" s="394">
        <v>78</v>
      </c>
      <c r="N61" s="395">
        <v>1.496</v>
      </c>
      <c r="O61" s="396">
        <v>22.27</v>
      </c>
      <c r="P61" s="387" t="s">
        <v>1387</v>
      </c>
      <c r="Q61" s="388">
        <v>67.2</v>
      </c>
      <c r="R61" s="393">
        <v>28930</v>
      </c>
      <c r="S61" s="393">
        <v>1263</v>
      </c>
      <c r="T61" s="393">
        <v>1453</v>
      </c>
      <c r="U61" s="396">
        <v>18.39</v>
      </c>
      <c r="V61" s="392">
        <v>43.82</v>
      </c>
      <c r="W61" s="390">
        <v>912.6</v>
      </c>
      <c r="X61" s="390">
        <v>118.7</v>
      </c>
      <c r="Y61" s="390">
        <v>186.7</v>
      </c>
      <c r="Z61" s="392">
        <v>3.27</v>
      </c>
      <c r="AA61" s="396">
        <v>50.95</v>
      </c>
      <c r="AB61" s="411">
        <v>47.95</v>
      </c>
      <c r="AC61" s="406">
        <v>446.2</v>
      </c>
      <c r="AD61" s="453">
        <v>1</v>
      </c>
      <c r="AE61" s="398">
        <v>1</v>
      </c>
      <c r="AF61" s="399" t="s">
        <v>616</v>
      </c>
      <c r="AG61" s="398">
        <v>4</v>
      </c>
      <c r="AH61" s="398">
        <v>4</v>
      </c>
      <c r="AI61" s="400" t="s">
        <v>616</v>
      </c>
      <c r="AJ61" s="389"/>
    </row>
    <row r="62" spans="1:36" s="203" customFormat="1" ht="13.5" customHeight="1">
      <c r="A62" s="197" t="s">
        <v>1388</v>
      </c>
      <c r="B62" s="139">
        <v>74.2</v>
      </c>
      <c r="C62" s="198">
        <v>462</v>
      </c>
      <c r="D62" s="198">
        <v>154.4</v>
      </c>
      <c r="E62" s="198">
        <v>9.6</v>
      </c>
      <c r="F62" s="198">
        <v>17</v>
      </c>
      <c r="G62" s="139">
        <v>10.199999999999999</v>
      </c>
      <c r="H62" s="91">
        <v>94.48</v>
      </c>
      <c r="I62" s="83">
        <v>428</v>
      </c>
      <c r="J62" s="83">
        <v>407.6</v>
      </c>
      <c r="K62" s="83" t="s">
        <v>689</v>
      </c>
      <c r="L62" s="86">
        <v>78</v>
      </c>
      <c r="M62" s="87">
        <v>78</v>
      </c>
      <c r="N62" s="88">
        <v>1.5049999999999999</v>
      </c>
      <c r="O62" s="89">
        <v>20.29</v>
      </c>
      <c r="P62" s="197" t="s">
        <v>1388</v>
      </c>
      <c r="Q62" s="82">
        <v>74.2</v>
      </c>
      <c r="R62" s="86">
        <v>32670</v>
      </c>
      <c r="S62" s="86">
        <v>1414</v>
      </c>
      <c r="T62" s="86">
        <v>1627</v>
      </c>
      <c r="U62" s="89">
        <v>18.600000000000001</v>
      </c>
      <c r="V62" s="91">
        <v>47.08</v>
      </c>
      <c r="W62" s="86">
        <v>1047</v>
      </c>
      <c r="X62" s="84">
        <v>135.6</v>
      </c>
      <c r="Y62" s="84">
        <v>213.1</v>
      </c>
      <c r="Z62" s="91">
        <v>3.33</v>
      </c>
      <c r="AA62" s="89">
        <v>55.55</v>
      </c>
      <c r="AB62" s="40">
        <v>66.180000000000007</v>
      </c>
      <c r="AC62" s="36">
        <v>516.29999999999995</v>
      </c>
      <c r="AD62" s="199">
        <v>1</v>
      </c>
      <c r="AE62" s="200">
        <v>1</v>
      </c>
      <c r="AF62" s="201" t="s">
        <v>616</v>
      </c>
      <c r="AG62" s="200">
        <v>4</v>
      </c>
      <c r="AH62" s="200">
        <v>4</v>
      </c>
      <c r="AI62" s="202" t="s">
        <v>616</v>
      </c>
      <c r="AJ62" s="198"/>
    </row>
    <row r="63" spans="1:36" s="434" customFormat="1" ht="13.5" customHeight="1">
      <c r="A63" s="387" t="s">
        <v>1389</v>
      </c>
      <c r="B63" s="388">
        <v>82.1</v>
      </c>
      <c r="C63" s="389">
        <v>465.8</v>
      </c>
      <c r="D63" s="389">
        <v>155.30000000000001</v>
      </c>
      <c r="E63" s="389">
        <v>10.5</v>
      </c>
      <c r="F63" s="389">
        <v>18.899999999999999</v>
      </c>
      <c r="G63" s="388">
        <v>10.199999999999999</v>
      </c>
      <c r="H63" s="388">
        <v>104.5</v>
      </c>
      <c r="I63" s="389">
        <v>428</v>
      </c>
      <c r="J63" s="389">
        <v>407.6</v>
      </c>
      <c r="K63" s="389" t="s">
        <v>689</v>
      </c>
      <c r="L63" s="393">
        <v>80</v>
      </c>
      <c r="M63" s="394">
        <v>80</v>
      </c>
      <c r="N63" s="395">
        <v>1.514</v>
      </c>
      <c r="O63" s="396">
        <v>18.45</v>
      </c>
      <c r="P63" s="387" t="s">
        <v>1389</v>
      </c>
      <c r="Q63" s="388">
        <v>82.1</v>
      </c>
      <c r="R63" s="393">
        <v>36590</v>
      </c>
      <c r="S63" s="393">
        <v>1571</v>
      </c>
      <c r="T63" s="393">
        <v>1811</v>
      </c>
      <c r="U63" s="396">
        <v>18.71</v>
      </c>
      <c r="V63" s="392">
        <v>51.67</v>
      </c>
      <c r="W63" s="393">
        <v>1185</v>
      </c>
      <c r="X63" s="390">
        <v>152.5</v>
      </c>
      <c r="Y63" s="390">
        <v>240.4</v>
      </c>
      <c r="Z63" s="392">
        <v>3.37</v>
      </c>
      <c r="AA63" s="396">
        <v>60.25</v>
      </c>
      <c r="AB63" s="411">
        <v>89.65</v>
      </c>
      <c r="AC63" s="406">
        <v>589.1</v>
      </c>
      <c r="AD63" s="453">
        <v>1</v>
      </c>
      <c r="AE63" s="398">
        <v>1</v>
      </c>
      <c r="AF63" s="399" t="s">
        <v>616</v>
      </c>
      <c r="AG63" s="398">
        <v>3</v>
      </c>
      <c r="AH63" s="398">
        <v>4</v>
      </c>
      <c r="AI63" s="400" t="s">
        <v>616</v>
      </c>
      <c r="AJ63" s="389"/>
    </row>
    <row r="64" spans="1:36" s="203" customFormat="1" ht="13.5" customHeight="1">
      <c r="A64" s="197"/>
      <c r="B64" s="139"/>
      <c r="C64" s="198"/>
      <c r="D64" s="198"/>
      <c r="E64" s="198"/>
      <c r="F64" s="198"/>
      <c r="G64" s="139"/>
      <c r="H64" s="91"/>
      <c r="I64" s="83"/>
      <c r="J64" s="83"/>
      <c r="K64" s="83"/>
      <c r="L64" s="86"/>
      <c r="M64" s="87"/>
      <c r="N64" s="88"/>
      <c r="O64" s="89"/>
      <c r="P64" s="197"/>
      <c r="Q64" s="82"/>
      <c r="R64" s="86"/>
      <c r="S64" s="86"/>
      <c r="T64" s="86"/>
      <c r="U64" s="89"/>
      <c r="V64" s="91"/>
      <c r="W64" s="86"/>
      <c r="X64" s="84"/>
      <c r="Y64" s="84"/>
      <c r="Z64" s="91"/>
      <c r="AA64" s="89"/>
      <c r="AB64" s="40"/>
      <c r="AC64" s="36"/>
      <c r="AD64" s="199"/>
      <c r="AE64" s="200"/>
      <c r="AF64" s="201"/>
      <c r="AG64" s="200"/>
      <c r="AH64" s="200"/>
      <c r="AI64" s="202"/>
      <c r="AJ64" s="198"/>
    </row>
    <row r="65" spans="1:36" s="434" customFormat="1" ht="13.5" customHeight="1">
      <c r="A65" s="387" t="s">
        <v>1390</v>
      </c>
      <c r="B65" s="388">
        <v>67.099999999999994</v>
      </c>
      <c r="C65" s="389">
        <v>453.4</v>
      </c>
      <c r="D65" s="389">
        <v>189.9</v>
      </c>
      <c r="E65" s="389">
        <v>8.5</v>
      </c>
      <c r="F65" s="389">
        <v>12.7</v>
      </c>
      <c r="G65" s="388">
        <v>10.199999999999999</v>
      </c>
      <c r="H65" s="392">
        <v>85.51</v>
      </c>
      <c r="I65" s="389">
        <v>428</v>
      </c>
      <c r="J65" s="389">
        <v>407.6</v>
      </c>
      <c r="K65" s="389" t="s">
        <v>667</v>
      </c>
      <c r="L65" s="393">
        <v>90</v>
      </c>
      <c r="M65" s="394">
        <v>90</v>
      </c>
      <c r="N65" s="395">
        <v>1.6319999999999999</v>
      </c>
      <c r="O65" s="396">
        <v>24.31</v>
      </c>
      <c r="P65" s="387" t="s">
        <v>1390</v>
      </c>
      <c r="Q65" s="388">
        <v>67.099999999999994</v>
      </c>
      <c r="R65" s="393">
        <v>29380</v>
      </c>
      <c r="S65" s="393">
        <v>1296</v>
      </c>
      <c r="T65" s="393">
        <v>1471</v>
      </c>
      <c r="U65" s="396">
        <v>18.54</v>
      </c>
      <c r="V65" s="392">
        <v>40.94</v>
      </c>
      <c r="W65" s="393">
        <v>1452</v>
      </c>
      <c r="X65" s="390">
        <v>152.9</v>
      </c>
      <c r="Y65" s="390">
        <v>237.3</v>
      </c>
      <c r="Z65" s="392">
        <v>4.12</v>
      </c>
      <c r="AA65" s="396">
        <v>45.85</v>
      </c>
      <c r="AB65" s="411">
        <v>37.54</v>
      </c>
      <c r="AC65" s="406">
        <v>703.8</v>
      </c>
      <c r="AD65" s="453">
        <v>1</v>
      </c>
      <c r="AE65" s="398">
        <v>1</v>
      </c>
      <c r="AF65" s="399" t="s">
        <v>616</v>
      </c>
      <c r="AG65" s="398">
        <v>4</v>
      </c>
      <c r="AH65" s="398">
        <v>4</v>
      </c>
      <c r="AI65" s="400" t="s">
        <v>616</v>
      </c>
      <c r="AJ65" s="389"/>
    </row>
    <row r="66" spans="1:36" s="203" customFormat="1" ht="13.5" customHeight="1">
      <c r="A66" s="197" t="s">
        <v>1391</v>
      </c>
      <c r="B66" s="139">
        <v>74.3</v>
      </c>
      <c r="C66" s="198">
        <v>457</v>
      </c>
      <c r="D66" s="198">
        <v>190.4</v>
      </c>
      <c r="E66" s="198">
        <v>9</v>
      </c>
      <c r="F66" s="198">
        <v>14.5</v>
      </c>
      <c r="G66" s="139">
        <v>10.199999999999999</v>
      </c>
      <c r="H66" s="91">
        <v>94.63</v>
      </c>
      <c r="I66" s="83">
        <v>428</v>
      </c>
      <c r="J66" s="83">
        <v>407.6</v>
      </c>
      <c r="K66" s="83" t="s">
        <v>667</v>
      </c>
      <c r="L66" s="86">
        <v>90</v>
      </c>
      <c r="M66" s="87">
        <v>90</v>
      </c>
      <c r="N66" s="88">
        <v>1.64</v>
      </c>
      <c r="O66" s="89">
        <v>22.08</v>
      </c>
      <c r="P66" s="197" t="s">
        <v>1391</v>
      </c>
      <c r="Q66" s="82">
        <v>74.3</v>
      </c>
      <c r="R66" s="86">
        <v>33320</v>
      </c>
      <c r="S66" s="86">
        <v>1458</v>
      </c>
      <c r="T66" s="86">
        <v>1653</v>
      </c>
      <c r="U66" s="89">
        <v>18.760000000000002</v>
      </c>
      <c r="V66" s="91">
        <v>43.68</v>
      </c>
      <c r="W66" s="86">
        <v>1671</v>
      </c>
      <c r="X66" s="84">
        <v>175.5</v>
      </c>
      <c r="Y66" s="84">
        <v>272.10000000000002</v>
      </c>
      <c r="Z66" s="91">
        <v>4.2</v>
      </c>
      <c r="AA66" s="89">
        <v>49.95</v>
      </c>
      <c r="AB66" s="40">
        <v>52.14</v>
      </c>
      <c r="AC66" s="36">
        <v>816.6</v>
      </c>
      <c r="AD66" s="199">
        <v>1</v>
      </c>
      <c r="AE66" s="200">
        <v>1</v>
      </c>
      <c r="AF66" s="201" t="s">
        <v>616</v>
      </c>
      <c r="AG66" s="200">
        <v>4</v>
      </c>
      <c r="AH66" s="200">
        <v>4</v>
      </c>
      <c r="AI66" s="202" t="s">
        <v>616</v>
      </c>
      <c r="AJ66" s="198"/>
    </row>
    <row r="67" spans="1:36" s="434" customFormat="1" ht="13.5" customHeight="1">
      <c r="A67" s="387" t="s">
        <v>1392</v>
      </c>
      <c r="B67" s="388">
        <v>82</v>
      </c>
      <c r="C67" s="389">
        <v>460</v>
      </c>
      <c r="D67" s="389">
        <v>191.3</v>
      </c>
      <c r="E67" s="389">
        <v>9.9</v>
      </c>
      <c r="F67" s="389">
        <v>16</v>
      </c>
      <c r="G67" s="388">
        <v>10.199999999999999</v>
      </c>
      <c r="H67" s="388">
        <v>104.5</v>
      </c>
      <c r="I67" s="389">
        <v>428</v>
      </c>
      <c r="J67" s="389">
        <v>407.6</v>
      </c>
      <c r="K67" s="389" t="s">
        <v>667</v>
      </c>
      <c r="L67" s="393">
        <v>92</v>
      </c>
      <c r="M67" s="394">
        <v>92</v>
      </c>
      <c r="N67" s="395">
        <v>1.6479999999999999</v>
      </c>
      <c r="O67" s="396">
        <v>20.09</v>
      </c>
      <c r="P67" s="387" t="s">
        <v>1392</v>
      </c>
      <c r="Q67" s="388">
        <v>82</v>
      </c>
      <c r="R67" s="393">
        <v>37050</v>
      </c>
      <c r="S67" s="393">
        <v>1611</v>
      </c>
      <c r="T67" s="393">
        <v>1831</v>
      </c>
      <c r="U67" s="396">
        <v>18.829999999999998</v>
      </c>
      <c r="V67" s="392">
        <v>48.11</v>
      </c>
      <c r="W67" s="393">
        <v>1871</v>
      </c>
      <c r="X67" s="390">
        <v>195.6</v>
      </c>
      <c r="Y67" s="390">
        <v>303.89999999999998</v>
      </c>
      <c r="Z67" s="392">
        <v>4.2300000000000004</v>
      </c>
      <c r="AA67" s="396">
        <v>53.85</v>
      </c>
      <c r="AB67" s="411">
        <v>69.72</v>
      </c>
      <c r="AC67" s="406">
        <v>920.1</v>
      </c>
      <c r="AD67" s="453">
        <v>1</v>
      </c>
      <c r="AE67" s="398">
        <v>1</v>
      </c>
      <c r="AF67" s="399" t="s">
        <v>616</v>
      </c>
      <c r="AG67" s="398">
        <v>3</v>
      </c>
      <c r="AH67" s="398">
        <v>4</v>
      </c>
      <c r="AI67" s="400" t="s">
        <v>616</v>
      </c>
      <c r="AJ67" s="389"/>
    </row>
    <row r="68" spans="1:36" s="203" customFormat="1" ht="13.5" customHeight="1">
      <c r="A68" s="197" t="s">
        <v>1393</v>
      </c>
      <c r="B68" s="139">
        <v>89.3</v>
      </c>
      <c r="C68" s="198">
        <v>463.4</v>
      </c>
      <c r="D68" s="198">
        <v>191.9</v>
      </c>
      <c r="E68" s="198">
        <v>10.5</v>
      </c>
      <c r="F68" s="198">
        <v>17.7</v>
      </c>
      <c r="G68" s="139">
        <v>10.199999999999999</v>
      </c>
      <c r="H68" s="82">
        <v>113.8</v>
      </c>
      <c r="I68" s="83">
        <v>428</v>
      </c>
      <c r="J68" s="83">
        <v>407.6</v>
      </c>
      <c r="K68" s="83" t="s">
        <v>667</v>
      </c>
      <c r="L68" s="86">
        <v>92</v>
      </c>
      <c r="M68" s="87">
        <v>92</v>
      </c>
      <c r="N68" s="88">
        <v>1.6559999999999999</v>
      </c>
      <c r="O68" s="89">
        <v>18.54</v>
      </c>
      <c r="P68" s="197" t="s">
        <v>1393</v>
      </c>
      <c r="Q68" s="82">
        <v>89.3</v>
      </c>
      <c r="R68" s="86">
        <v>41020</v>
      </c>
      <c r="S68" s="86">
        <v>1770</v>
      </c>
      <c r="T68" s="86">
        <v>2014</v>
      </c>
      <c r="U68" s="89">
        <v>18.989999999999998</v>
      </c>
      <c r="V68" s="91">
        <v>51.3</v>
      </c>
      <c r="W68" s="86">
        <v>2089</v>
      </c>
      <c r="X68" s="84">
        <v>217.8</v>
      </c>
      <c r="Y68" s="84">
        <v>338.4</v>
      </c>
      <c r="Z68" s="91">
        <v>4.29</v>
      </c>
      <c r="AA68" s="89">
        <v>57.85</v>
      </c>
      <c r="AB68" s="40">
        <v>91.26</v>
      </c>
      <c r="AC68" s="21">
        <v>1035</v>
      </c>
      <c r="AD68" s="199">
        <v>1</v>
      </c>
      <c r="AE68" s="200">
        <v>1</v>
      </c>
      <c r="AF68" s="201" t="s">
        <v>616</v>
      </c>
      <c r="AG68" s="200">
        <v>3</v>
      </c>
      <c r="AH68" s="200">
        <v>4</v>
      </c>
      <c r="AI68" s="202" t="s">
        <v>616</v>
      </c>
      <c r="AJ68" s="198"/>
    </row>
    <row r="69" spans="1:36" s="434" customFormat="1" ht="13.5" customHeight="1">
      <c r="A69" s="387" t="s">
        <v>1394</v>
      </c>
      <c r="B69" s="388">
        <v>98.3</v>
      </c>
      <c r="C69" s="389">
        <v>467.2</v>
      </c>
      <c r="D69" s="389">
        <v>192.8</v>
      </c>
      <c r="E69" s="389">
        <v>11.4</v>
      </c>
      <c r="F69" s="389">
        <v>19.600000000000001</v>
      </c>
      <c r="G69" s="388">
        <v>10.199999999999999</v>
      </c>
      <c r="H69" s="388">
        <v>125.3</v>
      </c>
      <c r="I69" s="389">
        <v>428</v>
      </c>
      <c r="J69" s="389">
        <v>407.6</v>
      </c>
      <c r="K69" s="389" t="s">
        <v>667</v>
      </c>
      <c r="L69" s="393">
        <v>92</v>
      </c>
      <c r="M69" s="394">
        <v>92</v>
      </c>
      <c r="N69" s="395">
        <v>1.665</v>
      </c>
      <c r="O69" s="396">
        <v>16.940000000000001</v>
      </c>
      <c r="P69" s="387" t="s">
        <v>1394</v>
      </c>
      <c r="Q69" s="388">
        <v>98.3</v>
      </c>
      <c r="R69" s="393">
        <v>45730</v>
      </c>
      <c r="S69" s="393">
        <v>1957</v>
      </c>
      <c r="T69" s="393">
        <v>2232</v>
      </c>
      <c r="U69" s="396">
        <v>19.11</v>
      </c>
      <c r="V69" s="392">
        <v>55.92</v>
      </c>
      <c r="W69" s="393">
        <v>2347</v>
      </c>
      <c r="X69" s="390">
        <v>243.5</v>
      </c>
      <c r="Y69" s="390">
        <v>378.9</v>
      </c>
      <c r="Z69" s="392">
        <v>4.33</v>
      </c>
      <c r="AA69" s="396">
        <v>62.55</v>
      </c>
      <c r="AB69" s="411">
        <v>122.1</v>
      </c>
      <c r="AC69" s="398">
        <v>1173</v>
      </c>
      <c r="AD69" s="453">
        <v>1</v>
      </c>
      <c r="AE69" s="398">
        <v>1</v>
      </c>
      <c r="AF69" s="399" t="s">
        <v>616</v>
      </c>
      <c r="AG69" s="398">
        <v>2</v>
      </c>
      <c r="AH69" s="398">
        <v>4</v>
      </c>
      <c r="AI69" s="400" t="s">
        <v>616</v>
      </c>
      <c r="AJ69" s="389"/>
    </row>
    <row r="70" spans="1:36" s="203" customFormat="1" ht="13.5" customHeight="1">
      <c r="A70" s="197"/>
      <c r="B70" s="139"/>
      <c r="C70" s="198"/>
      <c r="D70" s="198"/>
      <c r="E70" s="198"/>
      <c r="F70" s="198"/>
      <c r="G70" s="139"/>
      <c r="H70" s="82"/>
      <c r="I70" s="83"/>
      <c r="J70" s="83"/>
      <c r="K70" s="83"/>
      <c r="L70" s="86"/>
      <c r="M70" s="87"/>
      <c r="N70" s="88"/>
      <c r="O70" s="89"/>
      <c r="P70" s="197"/>
      <c r="Q70" s="82"/>
      <c r="R70" s="86"/>
      <c r="S70" s="86"/>
      <c r="T70" s="86"/>
      <c r="U70" s="89"/>
      <c r="V70" s="91"/>
      <c r="W70" s="86"/>
      <c r="X70" s="84"/>
      <c r="Y70" s="84"/>
      <c r="Z70" s="91"/>
      <c r="AA70" s="89"/>
      <c r="AB70" s="40"/>
      <c r="AC70" s="21"/>
      <c r="AD70" s="199"/>
      <c r="AE70" s="200"/>
      <c r="AF70" s="201"/>
      <c r="AG70" s="200"/>
      <c r="AH70" s="200"/>
      <c r="AI70" s="202"/>
      <c r="AJ70" s="198"/>
    </row>
    <row r="71" spans="1:36" s="434" customFormat="1" ht="13.5" customHeight="1">
      <c r="A71" s="387" t="s">
        <v>1395</v>
      </c>
      <c r="B71" s="388">
        <v>82.2</v>
      </c>
      <c r="C71" s="389">
        <v>528.29999999999995</v>
      </c>
      <c r="D71" s="389">
        <v>208.8</v>
      </c>
      <c r="E71" s="389">
        <v>9.6</v>
      </c>
      <c r="F71" s="389">
        <v>13.2</v>
      </c>
      <c r="G71" s="388">
        <v>12.7</v>
      </c>
      <c r="H71" s="388">
        <v>104.7</v>
      </c>
      <c r="I71" s="389">
        <v>501.9</v>
      </c>
      <c r="J71" s="389">
        <v>476.5</v>
      </c>
      <c r="K71" s="389" t="s">
        <v>667</v>
      </c>
      <c r="L71" s="393">
        <v>90</v>
      </c>
      <c r="M71" s="394">
        <v>108</v>
      </c>
      <c r="N71" s="395">
        <v>1.851</v>
      </c>
      <c r="O71" s="396">
        <v>22.52</v>
      </c>
      <c r="P71" s="387" t="s">
        <v>1395</v>
      </c>
      <c r="Q71" s="388">
        <v>82.2</v>
      </c>
      <c r="R71" s="393">
        <v>47540</v>
      </c>
      <c r="S71" s="393">
        <v>1800</v>
      </c>
      <c r="T71" s="393">
        <v>2059</v>
      </c>
      <c r="U71" s="396">
        <v>21.31</v>
      </c>
      <c r="V71" s="392">
        <v>54.19</v>
      </c>
      <c r="W71" s="393">
        <v>2007</v>
      </c>
      <c r="X71" s="390">
        <v>192.3</v>
      </c>
      <c r="Y71" s="390">
        <v>300.39999999999998</v>
      </c>
      <c r="Z71" s="392">
        <v>4.38</v>
      </c>
      <c r="AA71" s="396">
        <v>50.88</v>
      </c>
      <c r="AB71" s="411">
        <v>52.54</v>
      </c>
      <c r="AC71" s="398">
        <v>1328</v>
      </c>
      <c r="AD71" s="453">
        <v>1</v>
      </c>
      <c r="AE71" s="398">
        <v>1</v>
      </c>
      <c r="AF71" s="399" t="s">
        <v>616</v>
      </c>
      <c r="AG71" s="398">
        <v>4</v>
      </c>
      <c r="AH71" s="398">
        <v>4</v>
      </c>
      <c r="AI71" s="400" t="s">
        <v>616</v>
      </c>
      <c r="AJ71" s="389"/>
    </row>
    <row r="72" spans="1:36" s="203" customFormat="1" ht="13.5" customHeight="1">
      <c r="A72" s="197" t="s">
        <v>1396</v>
      </c>
      <c r="B72" s="139">
        <v>92.1</v>
      </c>
      <c r="C72" s="205">
        <v>533.1</v>
      </c>
      <c r="D72" s="198">
        <v>209.3</v>
      </c>
      <c r="E72" s="198">
        <v>10.1</v>
      </c>
      <c r="F72" s="198">
        <v>15.6</v>
      </c>
      <c r="G72" s="139">
        <v>12.7</v>
      </c>
      <c r="H72" s="82">
        <v>117.4</v>
      </c>
      <c r="I72" s="83">
        <v>501.9</v>
      </c>
      <c r="J72" s="83">
        <v>476.5</v>
      </c>
      <c r="K72" s="83" t="s">
        <v>667</v>
      </c>
      <c r="L72" s="86">
        <v>92</v>
      </c>
      <c r="M72" s="87">
        <v>110</v>
      </c>
      <c r="N72" s="88">
        <v>1.861</v>
      </c>
      <c r="O72" s="89">
        <v>20.2</v>
      </c>
      <c r="P72" s="197" t="s">
        <v>1396</v>
      </c>
      <c r="Q72" s="82">
        <v>92.1</v>
      </c>
      <c r="R72" s="86">
        <v>55230</v>
      </c>
      <c r="S72" s="86">
        <v>2072</v>
      </c>
      <c r="T72" s="86">
        <v>2360</v>
      </c>
      <c r="U72" s="89">
        <v>21.69</v>
      </c>
      <c r="V72" s="91">
        <v>57.61</v>
      </c>
      <c r="W72" s="86">
        <v>2389</v>
      </c>
      <c r="X72" s="84">
        <v>228.3</v>
      </c>
      <c r="Y72" s="84">
        <v>355.6</v>
      </c>
      <c r="Z72" s="91">
        <v>4.51</v>
      </c>
      <c r="AA72" s="89">
        <v>56.18</v>
      </c>
      <c r="AB72" s="40">
        <v>76.34</v>
      </c>
      <c r="AC72" s="21">
        <v>1596</v>
      </c>
      <c r="AD72" s="199">
        <v>1</v>
      </c>
      <c r="AE72" s="200">
        <v>1</v>
      </c>
      <c r="AF72" s="201" t="s">
        <v>616</v>
      </c>
      <c r="AG72" s="200">
        <v>4</v>
      </c>
      <c r="AH72" s="200">
        <v>4</v>
      </c>
      <c r="AI72" s="202" t="s">
        <v>616</v>
      </c>
      <c r="AJ72" s="198"/>
    </row>
    <row r="73" spans="1:36" s="434" customFormat="1" ht="13.5" customHeight="1">
      <c r="A73" s="387" t="s">
        <v>1397</v>
      </c>
      <c r="B73" s="394">
        <v>101</v>
      </c>
      <c r="C73" s="390">
        <v>536.70000000000005</v>
      </c>
      <c r="D73" s="389">
        <v>210</v>
      </c>
      <c r="E73" s="389">
        <v>10.8</v>
      </c>
      <c r="F73" s="389">
        <v>17.399999999999999</v>
      </c>
      <c r="G73" s="388">
        <v>12.7</v>
      </c>
      <c r="H73" s="388">
        <v>128.69999999999999</v>
      </c>
      <c r="I73" s="389">
        <v>501.9</v>
      </c>
      <c r="J73" s="389">
        <v>476.5</v>
      </c>
      <c r="K73" s="389" t="s">
        <v>667</v>
      </c>
      <c r="L73" s="393">
        <v>92</v>
      </c>
      <c r="M73" s="394">
        <v>110</v>
      </c>
      <c r="N73" s="395">
        <v>1.87</v>
      </c>
      <c r="O73" s="396">
        <v>18.510000000000002</v>
      </c>
      <c r="P73" s="387" t="s">
        <v>1397</v>
      </c>
      <c r="Q73" s="394">
        <v>101</v>
      </c>
      <c r="R73" s="393">
        <v>61520</v>
      </c>
      <c r="S73" s="393">
        <v>2292</v>
      </c>
      <c r="T73" s="393">
        <v>2612</v>
      </c>
      <c r="U73" s="396">
        <v>21.87</v>
      </c>
      <c r="V73" s="392">
        <v>61.89</v>
      </c>
      <c r="W73" s="393">
        <v>2692</v>
      </c>
      <c r="X73" s="390">
        <v>256.39999999999998</v>
      </c>
      <c r="Y73" s="390">
        <v>399.4</v>
      </c>
      <c r="Z73" s="392">
        <v>4.57</v>
      </c>
      <c r="AA73" s="396">
        <v>60.48</v>
      </c>
      <c r="AB73" s="398">
        <v>101.6</v>
      </c>
      <c r="AC73" s="398">
        <v>1811</v>
      </c>
      <c r="AD73" s="453">
        <v>1</v>
      </c>
      <c r="AE73" s="398">
        <v>1</v>
      </c>
      <c r="AF73" s="399" t="s">
        <v>616</v>
      </c>
      <c r="AG73" s="398">
        <v>4</v>
      </c>
      <c r="AH73" s="398">
        <v>4</v>
      </c>
      <c r="AI73" s="400" t="s">
        <v>616</v>
      </c>
      <c r="AJ73" s="389"/>
    </row>
    <row r="74" spans="1:36" s="203" customFormat="1" ht="13.5" customHeight="1">
      <c r="A74" s="197" t="s">
        <v>1398</v>
      </c>
      <c r="B74" s="140">
        <v>109</v>
      </c>
      <c r="C74" s="205">
        <v>539.5</v>
      </c>
      <c r="D74" s="198">
        <v>210.8</v>
      </c>
      <c r="E74" s="198">
        <v>11.6</v>
      </c>
      <c r="F74" s="198">
        <v>18.8</v>
      </c>
      <c r="G74" s="139">
        <v>12.7</v>
      </c>
      <c r="H74" s="82">
        <v>138.9</v>
      </c>
      <c r="I74" s="83">
        <v>501.9</v>
      </c>
      <c r="J74" s="83">
        <v>476.5</v>
      </c>
      <c r="K74" s="83" t="s">
        <v>667</v>
      </c>
      <c r="L74" s="86">
        <v>94</v>
      </c>
      <c r="M74" s="87">
        <v>108</v>
      </c>
      <c r="N74" s="88">
        <v>1.877</v>
      </c>
      <c r="O74" s="89">
        <v>17.22</v>
      </c>
      <c r="P74" s="197" t="s">
        <v>1398</v>
      </c>
      <c r="Q74" s="87">
        <v>109</v>
      </c>
      <c r="R74" s="86">
        <v>66820</v>
      </c>
      <c r="S74" s="86">
        <v>2477</v>
      </c>
      <c r="T74" s="86">
        <v>2828</v>
      </c>
      <c r="U74" s="89">
        <v>21.94</v>
      </c>
      <c r="V74" s="91">
        <v>66.56</v>
      </c>
      <c r="W74" s="86">
        <v>2943</v>
      </c>
      <c r="X74" s="84">
        <v>279.2</v>
      </c>
      <c r="Y74" s="84">
        <v>435.8</v>
      </c>
      <c r="Z74" s="91">
        <v>4.5999999999999996</v>
      </c>
      <c r="AA74" s="89">
        <v>64.08</v>
      </c>
      <c r="AB74" s="21">
        <v>127.3</v>
      </c>
      <c r="AC74" s="21">
        <v>1989</v>
      </c>
      <c r="AD74" s="199">
        <v>1</v>
      </c>
      <c r="AE74" s="200">
        <v>1</v>
      </c>
      <c r="AF74" s="201" t="s">
        <v>616</v>
      </c>
      <c r="AG74" s="200">
        <v>3</v>
      </c>
      <c r="AH74" s="200">
        <v>4</v>
      </c>
      <c r="AI74" s="202" t="s">
        <v>616</v>
      </c>
      <c r="AJ74" s="198"/>
    </row>
    <row r="75" spans="1:36" s="434" customFormat="1" ht="13.5" customHeight="1">
      <c r="A75" s="387" t="s">
        <v>1399</v>
      </c>
      <c r="B75" s="394">
        <v>122</v>
      </c>
      <c r="C75" s="390">
        <v>544.5</v>
      </c>
      <c r="D75" s="389">
        <v>211.9</v>
      </c>
      <c r="E75" s="389">
        <v>12.7</v>
      </c>
      <c r="F75" s="389">
        <v>21.3</v>
      </c>
      <c r="G75" s="388">
        <v>12.7</v>
      </c>
      <c r="H75" s="388">
        <v>155.4</v>
      </c>
      <c r="I75" s="389">
        <v>501.9</v>
      </c>
      <c r="J75" s="389">
        <v>476.5</v>
      </c>
      <c r="K75" s="389" t="s">
        <v>667</v>
      </c>
      <c r="L75" s="393">
        <v>94</v>
      </c>
      <c r="M75" s="394">
        <v>110</v>
      </c>
      <c r="N75" s="395">
        <v>1.889</v>
      </c>
      <c r="O75" s="396">
        <v>15.49</v>
      </c>
      <c r="P75" s="387" t="s">
        <v>1399</v>
      </c>
      <c r="Q75" s="394">
        <v>122</v>
      </c>
      <c r="R75" s="393">
        <v>76040</v>
      </c>
      <c r="S75" s="393">
        <v>2793</v>
      </c>
      <c r="T75" s="393">
        <v>3196</v>
      </c>
      <c r="U75" s="396">
        <v>22.12</v>
      </c>
      <c r="V75" s="392">
        <v>73.239999999999995</v>
      </c>
      <c r="W75" s="393">
        <v>3388</v>
      </c>
      <c r="X75" s="390">
        <v>319.7</v>
      </c>
      <c r="Y75" s="390">
        <v>499.7</v>
      </c>
      <c r="Z75" s="392">
        <v>4.67</v>
      </c>
      <c r="AA75" s="396">
        <v>70.180000000000007</v>
      </c>
      <c r="AB75" s="398">
        <v>179.6</v>
      </c>
      <c r="AC75" s="398">
        <v>2312</v>
      </c>
      <c r="AD75" s="453">
        <v>1</v>
      </c>
      <c r="AE75" s="398">
        <v>1</v>
      </c>
      <c r="AF75" s="399" t="s">
        <v>616</v>
      </c>
      <c r="AG75" s="398">
        <v>2</v>
      </c>
      <c r="AH75" s="398">
        <v>4</v>
      </c>
      <c r="AI75" s="400" t="s">
        <v>616</v>
      </c>
      <c r="AJ75" s="389"/>
    </row>
    <row r="76" spans="1:36" s="203" customFormat="1" ht="13.5" customHeight="1">
      <c r="A76" s="197"/>
      <c r="B76" s="140"/>
      <c r="C76" s="205"/>
      <c r="D76" s="198"/>
      <c r="E76" s="198"/>
      <c r="F76" s="198"/>
      <c r="G76" s="139"/>
      <c r="H76" s="82"/>
      <c r="I76" s="83"/>
      <c r="J76" s="83"/>
      <c r="K76" s="83"/>
      <c r="L76" s="86"/>
      <c r="M76" s="87"/>
      <c r="N76" s="88"/>
      <c r="O76" s="89"/>
      <c r="P76" s="197"/>
      <c r="Q76" s="87"/>
      <c r="R76" s="86"/>
      <c r="S76" s="86"/>
      <c r="T76" s="86"/>
      <c r="U76" s="89"/>
      <c r="V76" s="91"/>
      <c r="W76" s="86"/>
      <c r="X76" s="84"/>
      <c r="Y76" s="84"/>
      <c r="Z76" s="91"/>
      <c r="AA76" s="89"/>
      <c r="AB76" s="21"/>
      <c r="AC76" s="21"/>
      <c r="AD76" s="199"/>
      <c r="AE76" s="200"/>
      <c r="AF76" s="201"/>
      <c r="AG76" s="200"/>
      <c r="AH76" s="200"/>
      <c r="AI76" s="202"/>
      <c r="AJ76" s="198"/>
    </row>
    <row r="77" spans="1:36" s="434" customFormat="1" ht="13.5" customHeight="1">
      <c r="A77" s="387" t="s">
        <v>1400</v>
      </c>
      <c r="B77" s="394">
        <v>101</v>
      </c>
      <c r="C77" s="390">
        <v>602.6</v>
      </c>
      <c r="D77" s="389">
        <v>227.6</v>
      </c>
      <c r="E77" s="389">
        <v>10.5</v>
      </c>
      <c r="F77" s="389">
        <v>14.8</v>
      </c>
      <c r="G77" s="388">
        <v>12.7</v>
      </c>
      <c r="H77" s="388">
        <v>128.9</v>
      </c>
      <c r="I77" s="389">
        <v>573</v>
      </c>
      <c r="J77" s="389">
        <v>547.6</v>
      </c>
      <c r="K77" s="389" t="s">
        <v>667</v>
      </c>
      <c r="L77" s="393">
        <v>92</v>
      </c>
      <c r="M77" s="394">
        <v>126</v>
      </c>
      <c r="N77" s="395">
        <v>2.073</v>
      </c>
      <c r="O77" s="396">
        <v>20.48</v>
      </c>
      <c r="P77" s="387" t="s">
        <v>1400</v>
      </c>
      <c r="Q77" s="394">
        <v>101</v>
      </c>
      <c r="R77" s="393">
        <v>75780</v>
      </c>
      <c r="S77" s="393">
        <v>2515</v>
      </c>
      <c r="T77" s="393">
        <v>2881</v>
      </c>
      <c r="U77" s="396">
        <v>24.24</v>
      </c>
      <c r="V77" s="392">
        <v>66.86</v>
      </c>
      <c r="W77" s="393">
        <v>2915</v>
      </c>
      <c r="X77" s="390">
        <v>256.10000000000002</v>
      </c>
      <c r="Y77" s="390">
        <v>400.2</v>
      </c>
      <c r="Z77" s="392">
        <v>4.75</v>
      </c>
      <c r="AA77" s="396">
        <v>54.98</v>
      </c>
      <c r="AB77" s="398">
        <v>78.16</v>
      </c>
      <c r="AC77" s="398">
        <v>2512</v>
      </c>
      <c r="AD77" s="453">
        <v>1</v>
      </c>
      <c r="AE77" s="398">
        <v>1</v>
      </c>
      <c r="AF77" s="399" t="s">
        <v>616</v>
      </c>
      <c r="AG77" s="398">
        <v>4</v>
      </c>
      <c r="AH77" s="398">
        <v>4</v>
      </c>
      <c r="AI77" s="400" t="s">
        <v>616</v>
      </c>
      <c r="AJ77" s="389"/>
    </row>
    <row r="78" spans="1:36" s="203" customFormat="1" ht="13.5" customHeight="1">
      <c r="A78" s="197" t="s">
        <v>1401</v>
      </c>
      <c r="B78" s="140">
        <v>113</v>
      </c>
      <c r="C78" s="205">
        <v>607.6</v>
      </c>
      <c r="D78" s="198">
        <v>228.2</v>
      </c>
      <c r="E78" s="198">
        <v>11.1</v>
      </c>
      <c r="F78" s="198">
        <v>17.3</v>
      </c>
      <c r="G78" s="139">
        <v>12.7</v>
      </c>
      <c r="H78" s="82">
        <v>143.9</v>
      </c>
      <c r="I78" s="83">
        <v>573</v>
      </c>
      <c r="J78" s="83">
        <v>547.6</v>
      </c>
      <c r="K78" s="83" t="s">
        <v>667</v>
      </c>
      <c r="L78" s="86">
        <v>92</v>
      </c>
      <c r="M78" s="87">
        <v>126</v>
      </c>
      <c r="N78" s="88">
        <v>2.0840000000000001</v>
      </c>
      <c r="O78" s="89">
        <v>18.440000000000001</v>
      </c>
      <c r="P78" s="197" t="s">
        <v>1401</v>
      </c>
      <c r="Q78" s="87">
        <v>113</v>
      </c>
      <c r="R78" s="86">
        <v>87320</v>
      </c>
      <c r="S78" s="86">
        <v>2874</v>
      </c>
      <c r="T78" s="86">
        <v>3281</v>
      </c>
      <c r="U78" s="89">
        <v>24.63</v>
      </c>
      <c r="V78" s="91">
        <v>71.3</v>
      </c>
      <c r="W78" s="86">
        <v>3434</v>
      </c>
      <c r="X78" s="84">
        <v>301</v>
      </c>
      <c r="Y78" s="84">
        <v>469.3</v>
      </c>
      <c r="Z78" s="91">
        <v>4.88</v>
      </c>
      <c r="AA78" s="89">
        <v>60.58</v>
      </c>
      <c r="AB78" s="21">
        <v>112.3</v>
      </c>
      <c r="AC78" s="21">
        <v>2985</v>
      </c>
      <c r="AD78" s="199">
        <v>1</v>
      </c>
      <c r="AE78" s="200">
        <v>1</v>
      </c>
      <c r="AF78" s="201" t="s">
        <v>616</v>
      </c>
      <c r="AG78" s="200">
        <v>4</v>
      </c>
      <c r="AH78" s="200">
        <v>4</v>
      </c>
      <c r="AI78" s="202" t="s">
        <v>616</v>
      </c>
      <c r="AJ78" s="198"/>
    </row>
    <row r="79" spans="1:36" s="434" customFormat="1" ht="13.5" customHeight="1">
      <c r="A79" s="387" t="s">
        <v>1402</v>
      </c>
      <c r="B79" s="394">
        <v>125</v>
      </c>
      <c r="C79" s="390">
        <v>612.20000000000005</v>
      </c>
      <c r="D79" s="389">
        <v>229</v>
      </c>
      <c r="E79" s="389">
        <v>11.9</v>
      </c>
      <c r="F79" s="389">
        <v>19.600000000000001</v>
      </c>
      <c r="G79" s="388">
        <v>12.7</v>
      </c>
      <c r="H79" s="388">
        <v>159.30000000000001</v>
      </c>
      <c r="I79" s="389">
        <v>573</v>
      </c>
      <c r="J79" s="389">
        <v>547.6</v>
      </c>
      <c r="K79" s="389" t="s">
        <v>667</v>
      </c>
      <c r="L79" s="393">
        <v>94</v>
      </c>
      <c r="M79" s="394">
        <v>128</v>
      </c>
      <c r="N79" s="395">
        <v>2.0950000000000002</v>
      </c>
      <c r="O79" s="396">
        <v>16.75</v>
      </c>
      <c r="P79" s="387" t="s">
        <v>1402</v>
      </c>
      <c r="Q79" s="394">
        <v>125</v>
      </c>
      <c r="R79" s="393">
        <v>98610</v>
      </c>
      <c r="S79" s="393">
        <v>3221</v>
      </c>
      <c r="T79" s="393">
        <v>3676</v>
      </c>
      <c r="U79" s="396">
        <v>24.88</v>
      </c>
      <c r="V79" s="392">
        <v>76.88</v>
      </c>
      <c r="W79" s="393">
        <v>3932</v>
      </c>
      <c r="X79" s="390">
        <v>343.4</v>
      </c>
      <c r="Y79" s="390">
        <v>535.4</v>
      </c>
      <c r="Z79" s="392">
        <v>4.97</v>
      </c>
      <c r="AA79" s="396">
        <v>65.98</v>
      </c>
      <c r="AB79" s="398">
        <v>155.19999999999999</v>
      </c>
      <c r="AC79" s="398">
        <v>3444</v>
      </c>
      <c r="AD79" s="453">
        <v>1</v>
      </c>
      <c r="AE79" s="398">
        <v>1</v>
      </c>
      <c r="AF79" s="399">
        <v>1</v>
      </c>
      <c r="AG79" s="398">
        <v>4</v>
      </c>
      <c r="AH79" s="398">
        <v>4</v>
      </c>
      <c r="AI79" s="400">
        <v>4</v>
      </c>
      <c r="AJ79" s="389" t="s">
        <v>661</v>
      </c>
    </row>
    <row r="80" spans="1:36" s="203" customFormat="1" ht="13.5" customHeight="1">
      <c r="A80" s="197" t="s">
        <v>1403</v>
      </c>
      <c r="B80" s="140">
        <v>140</v>
      </c>
      <c r="C80" s="205">
        <v>617.20000000000005</v>
      </c>
      <c r="D80" s="198">
        <v>230.2</v>
      </c>
      <c r="E80" s="198">
        <v>13.1</v>
      </c>
      <c r="F80" s="198">
        <v>22.1</v>
      </c>
      <c r="G80" s="139">
        <v>12.7</v>
      </c>
      <c r="H80" s="82">
        <v>178.2</v>
      </c>
      <c r="I80" s="83">
        <v>573</v>
      </c>
      <c r="J80" s="83">
        <v>547.6</v>
      </c>
      <c r="K80" s="83" t="s">
        <v>667</v>
      </c>
      <c r="L80" s="86">
        <v>94</v>
      </c>
      <c r="M80" s="87">
        <v>128</v>
      </c>
      <c r="N80" s="88">
        <v>2.1070000000000002</v>
      </c>
      <c r="O80" s="89">
        <v>15.06</v>
      </c>
      <c r="P80" s="197" t="s">
        <v>1403</v>
      </c>
      <c r="Q80" s="87">
        <v>140</v>
      </c>
      <c r="R80" s="86">
        <v>111800</v>
      </c>
      <c r="S80" s="86">
        <v>3622</v>
      </c>
      <c r="T80" s="86">
        <v>4142</v>
      </c>
      <c r="U80" s="89">
        <v>25.05</v>
      </c>
      <c r="V80" s="91">
        <v>84.96</v>
      </c>
      <c r="W80" s="86">
        <v>4505</v>
      </c>
      <c r="X80" s="84">
        <v>391.4</v>
      </c>
      <c r="Y80" s="84">
        <v>611.4</v>
      </c>
      <c r="Z80" s="91">
        <v>5.03</v>
      </c>
      <c r="AA80" s="89">
        <v>72.180000000000007</v>
      </c>
      <c r="AB80" s="21">
        <v>217.8</v>
      </c>
      <c r="AC80" s="21">
        <v>3978</v>
      </c>
      <c r="AD80" s="199">
        <v>1</v>
      </c>
      <c r="AE80" s="200">
        <v>1</v>
      </c>
      <c r="AF80" s="201">
        <v>1</v>
      </c>
      <c r="AG80" s="200">
        <v>3</v>
      </c>
      <c r="AH80" s="200">
        <v>4</v>
      </c>
      <c r="AI80" s="202">
        <v>4</v>
      </c>
      <c r="AJ80" s="198" t="s">
        <v>661</v>
      </c>
    </row>
    <row r="81" spans="1:36" s="203" customFormat="1" ht="13.5" customHeight="1">
      <c r="A81" s="197"/>
      <c r="B81" s="140"/>
      <c r="C81" s="205"/>
      <c r="D81" s="198"/>
      <c r="E81" s="198"/>
      <c r="F81" s="198"/>
      <c r="G81" s="139"/>
      <c r="H81" s="82"/>
      <c r="I81" s="83"/>
      <c r="J81" s="83"/>
      <c r="K81" s="83"/>
      <c r="L81" s="86"/>
      <c r="M81" s="87"/>
      <c r="N81" s="88"/>
      <c r="O81" s="89"/>
      <c r="P81" s="197"/>
      <c r="Q81" s="87"/>
      <c r="R81" s="86"/>
      <c r="S81" s="86"/>
      <c r="T81" s="86"/>
      <c r="U81" s="89"/>
      <c r="V81" s="91"/>
      <c r="W81" s="86"/>
      <c r="X81" s="84"/>
      <c r="Y81" s="84"/>
      <c r="Z81" s="91"/>
      <c r="AA81" s="89"/>
      <c r="AB81" s="21"/>
      <c r="AC81" s="21"/>
      <c r="AD81" s="199"/>
      <c r="AE81" s="200"/>
      <c r="AF81" s="201"/>
      <c r="AG81" s="200"/>
      <c r="AH81" s="200"/>
      <c r="AI81" s="202"/>
      <c r="AJ81" s="198"/>
    </row>
    <row r="82" spans="1:36" s="434" customFormat="1" ht="13.5" customHeight="1">
      <c r="A82" s="387" t="s">
        <v>1404</v>
      </c>
      <c r="B82" s="394">
        <v>149</v>
      </c>
      <c r="C82" s="390">
        <v>612.4</v>
      </c>
      <c r="D82" s="389">
        <v>304.8</v>
      </c>
      <c r="E82" s="389">
        <v>11.8</v>
      </c>
      <c r="F82" s="389">
        <v>19.7</v>
      </c>
      <c r="G82" s="388">
        <v>16.5</v>
      </c>
      <c r="H82" s="388">
        <v>190</v>
      </c>
      <c r="I82" s="389">
        <v>573</v>
      </c>
      <c r="J82" s="389">
        <v>540</v>
      </c>
      <c r="K82" s="389" t="s">
        <v>667</v>
      </c>
      <c r="L82" s="393">
        <v>100</v>
      </c>
      <c r="M82" s="394">
        <v>202</v>
      </c>
      <c r="N82" s="395">
        <v>2.3919999999999999</v>
      </c>
      <c r="O82" s="396">
        <v>16.03</v>
      </c>
      <c r="P82" s="387" t="s">
        <v>1404</v>
      </c>
      <c r="Q82" s="394">
        <v>149</v>
      </c>
      <c r="R82" s="393">
        <v>125900</v>
      </c>
      <c r="S82" s="393">
        <v>4111</v>
      </c>
      <c r="T82" s="393">
        <v>4594</v>
      </c>
      <c r="U82" s="396">
        <v>25.74</v>
      </c>
      <c r="V82" s="392">
        <v>78.78</v>
      </c>
      <c r="W82" s="393">
        <v>9308</v>
      </c>
      <c r="X82" s="390">
        <v>610.70000000000005</v>
      </c>
      <c r="Y82" s="390">
        <v>937.3</v>
      </c>
      <c r="Z82" s="392">
        <v>7</v>
      </c>
      <c r="AA82" s="396">
        <v>70.53</v>
      </c>
      <c r="AB82" s="398">
        <v>200.4</v>
      </c>
      <c r="AC82" s="398">
        <v>8165</v>
      </c>
      <c r="AD82" s="453">
        <v>1</v>
      </c>
      <c r="AE82" s="398">
        <v>1</v>
      </c>
      <c r="AF82" s="399">
        <v>2</v>
      </c>
      <c r="AG82" s="398">
        <v>4</v>
      </c>
      <c r="AH82" s="398">
        <v>4</v>
      </c>
      <c r="AI82" s="400">
        <v>4</v>
      </c>
      <c r="AJ82" s="389" t="s">
        <v>661</v>
      </c>
    </row>
    <row r="83" spans="1:36" s="203" customFormat="1" ht="13.5" customHeight="1">
      <c r="A83" s="197" t="s">
        <v>1405</v>
      </c>
      <c r="B83" s="140">
        <v>179</v>
      </c>
      <c r="C83" s="205">
        <v>620.20000000000005</v>
      </c>
      <c r="D83" s="198">
        <v>307.10000000000002</v>
      </c>
      <c r="E83" s="198">
        <v>14.1</v>
      </c>
      <c r="F83" s="198">
        <v>23.6</v>
      </c>
      <c r="G83" s="139">
        <v>16.5</v>
      </c>
      <c r="H83" s="82">
        <v>228.1</v>
      </c>
      <c r="I83" s="83">
        <v>573</v>
      </c>
      <c r="J83" s="83">
        <v>540</v>
      </c>
      <c r="K83" s="83" t="s">
        <v>667</v>
      </c>
      <c r="L83" s="86">
        <v>104</v>
      </c>
      <c r="M83" s="87">
        <v>206</v>
      </c>
      <c r="N83" s="88">
        <v>2.4119999999999999</v>
      </c>
      <c r="O83" s="89">
        <v>13.47</v>
      </c>
      <c r="P83" s="197" t="s">
        <v>1405</v>
      </c>
      <c r="Q83" s="87">
        <v>179</v>
      </c>
      <c r="R83" s="86">
        <v>153000</v>
      </c>
      <c r="S83" s="86">
        <v>4935</v>
      </c>
      <c r="T83" s="86">
        <v>5547</v>
      </c>
      <c r="U83" s="89">
        <v>25.9</v>
      </c>
      <c r="V83" s="91">
        <v>94.25</v>
      </c>
      <c r="W83" s="86">
        <v>11408</v>
      </c>
      <c r="X83" s="84">
        <v>743</v>
      </c>
      <c r="Y83" s="86">
        <v>1144</v>
      </c>
      <c r="Z83" s="91">
        <v>7.07</v>
      </c>
      <c r="AA83" s="89">
        <v>80.63</v>
      </c>
      <c r="AB83" s="21">
        <v>341.6</v>
      </c>
      <c r="AC83" s="21">
        <v>10140</v>
      </c>
      <c r="AD83" s="199">
        <v>1</v>
      </c>
      <c r="AE83" s="200">
        <v>1</v>
      </c>
      <c r="AF83" s="201">
        <v>1</v>
      </c>
      <c r="AG83" s="200">
        <v>3</v>
      </c>
      <c r="AH83" s="200">
        <v>4</v>
      </c>
      <c r="AI83" s="202">
        <v>4</v>
      </c>
      <c r="AJ83" s="198" t="s">
        <v>661</v>
      </c>
    </row>
    <row r="84" spans="1:36" s="434" customFormat="1" ht="13.5" customHeight="1">
      <c r="A84" s="387" t="s">
        <v>1406</v>
      </c>
      <c r="B84" s="394">
        <v>238</v>
      </c>
      <c r="C84" s="390">
        <v>635.79999999999995</v>
      </c>
      <c r="D84" s="389">
        <v>311.39999999999998</v>
      </c>
      <c r="E84" s="389">
        <v>18.399999999999999</v>
      </c>
      <c r="F84" s="389">
        <v>31.4</v>
      </c>
      <c r="G84" s="388">
        <v>16.5</v>
      </c>
      <c r="H84" s="388">
        <v>303.3</v>
      </c>
      <c r="I84" s="389">
        <v>573</v>
      </c>
      <c r="J84" s="389">
        <v>540</v>
      </c>
      <c r="K84" s="389" t="s">
        <v>667</v>
      </c>
      <c r="L84" s="393">
        <v>108</v>
      </c>
      <c r="M84" s="394">
        <v>210</v>
      </c>
      <c r="N84" s="395">
        <v>2.452</v>
      </c>
      <c r="O84" s="396">
        <v>10.3</v>
      </c>
      <c r="P84" s="387" t="s">
        <v>1406</v>
      </c>
      <c r="Q84" s="394">
        <v>238</v>
      </c>
      <c r="R84" s="393">
        <v>209500</v>
      </c>
      <c r="S84" s="393">
        <v>6589</v>
      </c>
      <c r="T84" s="393">
        <v>7486</v>
      </c>
      <c r="U84" s="396">
        <v>26.28</v>
      </c>
      <c r="V84" s="392">
        <v>123.9</v>
      </c>
      <c r="W84" s="393">
        <v>15837</v>
      </c>
      <c r="X84" s="393">
        <v>1017</v>
      </c>
      <c r="Y84" s="393">
        <v>1574</v>
      </c>
      <c r="Z84" s="392">
        <v>7.23</v>
      </c>
      <c r="AA84" s="396">
        <v>100.5</v>
      </c>
      <c r="AB84" s="398">
        <v>790.6</v>
      </c>
      <c r="AC84" s="398">
        <v>14430</v>
      </c>
      <c r="AD84" s="453">
        <v>1</v>
      </c>
      <c r="AE84" s="398">
        <v>1</v>
      </c>
      <c r="AF84" s="399">
        <v>1</v>
      </c>
      <c r="AG84" s="398">
        <v>1</v>
      </c>
      <c r="AH84" s="398">
        <v>2</v>
      </c>
      <c r="AI84" s="400">
        <v>3</v>
      </c>
      <c r="AJ84" s="389" t="s">
        <v>661</v>
      </c>
    </row>
    <row r="85" spans="1:36" s="203" customFormat="1" ht="13.5" customHeight="1">
      <c r="A85" s="197"/>
      <c r="B85" s="140"/>
      <c r="C85" s="205"/>
      <c r="D85" s="198"/>
      <c r="E85" s="198"/>
      <c r="F85" s="198"/>
      <c r="G85" s="139"/>
      <c r="H85" s="82"/>
      <c r="I85" s="83"/>
      <c r="J85" s="83"/>
      <c r="K85" s="83"/>
      <c r="L85" s="86"/>
      <c r="M85" s="87"/>
      <c r="N85" s="88"/>
      <c r="O85" s="89"/>
      <c r="P85" s="197"/>
      <c r="Q85" s="87"/>
      <c r="R85" s="86"/>
      <c r="S85" s="86"/>
      <c r="T85" s="86"/>
      <c r="U85" s="89"/>
      <c r="V85" s="91"/>
      <c r="W85" s="86"/>
      <c r="X85" s="84"/>
      <c r="Y85" s="84"/>
      <c r="Z85" s="91"/>
      <c r="AA85" s="89"/>
      <c r="AB85" s="21"/>
      <c r="AC85" s="21"/>
      <c r="AD85" s="199"/>
      <c r="AE85" s="200"/>
      <c r="AF85" s="201"/>
      <c r="AG85" s="200"/>
      <c r="AH85" s="200"/>
      <c r="AI85" s="202"/>
      <c r="AJ85" s="198"/>
    </row>
    <row r="86" spans="1:36" s="434" customFormat="1" ht="13.5" customHeight="1">
      <c r="A86" s="387" t="s">
        <v>1407</v>
      </c>
      <c r="B86" s="394">
        <v>125</v>
      </c>
      <c r="C86" s="390">
        <v>677.9</v>
      </c>
      <c r="D86" s="389">
        <v>253</v>
      </c>
      <c r="E86" s="389">
        <v>11.7</v>
      </c>
      <c r="F86" s="389">
        <v>16.2</v>
      </c>
      <c r="G86" s="388">
        <v>15.2</v>
      </c>
      <c r="H86" s="388">
        <v>159.5</v>
      </c>
      <c r="I86" s="389">
        <v>645.5</v>
      </c>
      <c r="J86" s="389">
        <v>615.1</v>
      </c>
      <c r="K86" s="389" t="s">
        <v>667</v>
      </c>
      <c r="L86" s="393">
        <v>98</v>
      </c>
      <c r="M86" s="394">
        <v>152</v>
      </c>
      <c r="N86" s="395">
        <v>2.3180000000000001</v>
      </c>
      <c r="O86" s="396">
        <v>18.52</v>
      </c>
      <c r="P86" s="387" t="s">
        <v>1407</v>
      </c>
      <c r="Q86" s="394">
        <v>125</v>
      </c>
      <c r="R86" s="393">
        <v>118000</v>
      </c>
      <c r="S86" s="393">
        <v>3481</v>
      </c>
      <c r="T86" s="393">
        <v>3994</v>
      </c>
      <c r="U86" s="396">
        <v>27.2</v>
      </c>
      <c r="V86" s="392">
        <v>84.33</v>
      </c>
      <c r="W86" s="393">
        <v>4383</v>
      </c>
      <c r="X86" s="390">
        <v>346.5</v>
      </c>
      <c r="Y86" s="390">
        <v>542.4</v>
      </c>
      <c r="Z86" s="392">
        <v>5.24</v>
      </c>
      <c r="AA86" s="396">
        <v>61.91</v>
      </c>
      <c r="AB86" s="398">
        <v>118.3</v>
      </c>
      <c r="AC86" s="398">
        <v>4786</v>
      </c>
      <c r="AD86" s="453">
        <v>1</v>
      </c>
      <c r="AE86" s="398">
        <v>1</v>
      </c>
      <c r="AF86" s="399" t="s">
        <v>616</v>
      </c>
      <c r="AG86" s="398">
        <v>4</v>
      </c>
      <c r="AH86" s="398">
        <v>4</v>
      </c>
      <c r="AI86" s="400" t="s">
        <v>616</v>
      </c>
      <c r="AJ86" s="389"/>
    </row>
    <row r="87" spans="1:36" s="203" customFormat="1" ht="13.5" customHeight="1">
      <c r="A87" s="197" t="s">
        <v>1408</v>
      </c>
      <c r="B87" s="140">
        <v>140</v>
      </c>
      <c r="C87" s="205">
        <v>683.5</v>
      </c>
      <c r="D87" s="198">
        <v>253.7</v>
      </c>
      <c r="E87" s="198">
        <v>12.4</v>
      </c>
      <c r="F87" s="198">
        <v>19</v>
      </c>
      <c r="G87" s="139">
        <v>15.2</v>
      </c>
      <c r="H87" s="82">
        <v>178.4</v>
      </c>
      <c r="I87" s="83">
        <v>645.5</v>
      </c>
      <c r="J87" s="83">
        <v>615.1</v>
      </c>
      <c r="K87" s="83" t="s">
        <v>667</v>
      </c>
      <c r="L87" s="86">
        <v>100</v>
      </c>
      <c r="M87" s="87">
        <v>152</v>
      </c>
      <c r="N87" s="88">
        <v>2.331</v>
      </c>
      <c r="O87" s="89">
        <v>16.64</v>
      </c>
      <c r="P87" s="197" t="s">
        <v>1408</v>
      </c>
      <c r="Q87" s="87">
        <v>140</v>
      </c>
      <c r="R87" s="86">
        <v>136300</v>
      </c>
      <c r="S87" s="86">
        <v>3987</v>
      </c>
      <c r="T87" s="86">
        <v>4558</v>
      </c>
      <c r="U87" s="89">
        <v>27.64</v>
      </c>
      <c r="V87" s="91">
        <v>90.16</v>
      </c>
      <c r="W87" s="86">
        <v>5183</v>
      </c>
      <c r="X87" s="84">
        <v>408.6</v>
      </c>
      <c r="Y87" s="84">
        <v>638.20000000000005</v>
      </c>
      <c r="Z87" s="91">
        <v>5.39</v>
      </c>
      <c r="AA87" s="89">
        <v>68.209999999999994</v>
      </c>
      <c r="AB87" s="21">
        <v>170.3</v>
      </c>
      <c r="AC87" s="21">
        <v>5708</v>
      </c>
      <c r="AD87" s="199">
        <v>1</v>
      </c>
      <c r="AE87" s="200">
        <v>1</v>
      </c>
      <c r="AF87" s="201" t="s">
        <v>616</v>
      </c>
      <c r="AG87" s="200">
        <v>4</v>
      </c>
      <c r="AH87" s="200">
        <v>4</v>
      </c>
      <c r="AI87" s="202" t="s">
        <v>616</v>
      </c>
      <c r="AJ87" s="198"/>
    </row>
    <row r="88" spans="1:36" s="434" customFormat="1" ht="13.5" customHeight="1">
      <c r="A88" s="387" t="s">
        <v>1409</v>
      </c>
      <c r="B88" s="394">
        <v>152</v>
      </c>
      <c r="C88" s="390">
        <v>687.5</v>
      </c>
      <c r="D88" s="389">
        <v>254.5</v>
      </c>
      <c r="E88" s="389">
        <v>13.2</v>
      </c>
      <c r="F88" s="389">
        <v>21</v>
      </c>
      <c r="G88" s="388">
        <v>15.2</v>
      </c>
      <c r="H88" s="388">
        <v>194.1</v>
      </c>
      <c r="I88" s="389">
        <v>645.5</v>
      </c>
      <c r="J88" s="389">
        <v>615.1</v>
      </c>
      <c r="K88" s="389" t="s">
        <v>667</v>
      </c>
      <c r="L88" s="393">
        <v>100</v>
      </c>
      <c r="M88" s="394">
        <v>152</v>
      </c>
      <c r="N88" s="395">
        <v>2.3410000000000002</v>
      </c>
      <c r="O88" s="396">
        <v>15.36</v>
      </c>
      <c r="P88" s="387" t="s">
        <v>1409</v>
      </c>
      <c r="Q88" s="394">
        <v>152</v>
      </c>
      <c r="R88" s="393">
        <v>150400</v>
      </c>
      <c r="S88" s="393">
        <v>4374</v>
      </c>
      <c r="T88" s="393">
        <v>5000</v>
      </c>
      <c r="U88" s="396">
        <v>27.83</v>
      </c>
      <c r="V88" s="392">
        <v>96.35</v>
      </c>
      <c r="W88" s="393">
        <v>5784</v>
      </c>
      <c r="X88" s="390">
        <v>454.5</v>
      </c>
      <c r="Y88" s="390">
        <v>710.2</v>
      </c>
      <c r="Z88" s="392">
        <v>5.46</v>
      </c>
      <c r="AA88" s="396">
        <v>73.010000000000005</v>
      </c>
      <c r="AB88" s="398">
        <v>221.3</v>
      </c>
      <c r="AC88" s="398">
        <v>6407</v>
      </c>
      <c r="AD88" s="453">
        <v>1</v>
      </c>
      <c r="AE88" s="398">
        <v>1</v>
      </c>
      <c r="AF88" s="399">
        <v>1</v>
      </c>
      <c r="AG88" s="398">
        <v>4</v>
      </c>
      <c r="AH88" s="398">
        <v>4</v>
      </c>
      <c r="AI88" s="400">
        <v>4</v>
      </c>
      <c r="AJ88" s="389" t="s">
        <v>661</v>
      </c>
    </row>
    <row r="89" spans="1:36" s="203" customFormat="1" ht="13.5" customHeight="1">
      <c r="A89" s="197" t="s">
        <v>1410</v>
      </c>
      <c r="B89" s="140">
        <v>170</v>
      </c>
      <c r="C89" s="205">
        <v>692.9</v>
      </c>
      <c r="D89" s="198">
        <v>255.8</v>
      </c>
      <c r="E89" s="198">
        <v>14.5</v>
      </c>
      <c r="F89" s="198">
        <v>23.7</v>
      </c>
      <c r="G89" s="139">
        <v>15.2</v>
      </c>
      <c r="H89" s="82">
        <v>216.8</v>
      </c>
      <c r="I89" s="83">
        <v>645.5</v>
      </c>
      <c r="J89" s="83">
        <v>615.1</v>
      </c>
      <c r="K89" s="83" t="s">
        <v>667</v>
      </c>
      <c r="L89" s="86">
        <v>102</v>
      </c>
      <c r="M89" s="87">
        <v>154</v>
      </c>
      <c r="N89" s="88">
        <v>2.3540000000000001</v>
      </c>
      <c r="O89" s="89">
        <v>13.83</v>
      </c>
      <c r="P89" s="197" t="s">
        <v>1410</v>
      </c>
      <c r="Q89" s="87">
        <v>170</v>
      </c>
      <c r="R89" s="86">
        <v>170300</v>
      </c>
      <c r="S89" s="86">
        <v>4916</v>
      </c>
      <c r="T89" s="86">
        <v>5631</v>
      </c>
      <c r="U89" s="89">
        <v>28.03</v>
      </c>
      <c r="V89" s="82">
        <v>106.2</v>
      </c>
      <c r="W89" s="86">
        <v>6630</v>
      </c>
      <c r="X89" s="84">
        <v>518.4</v>
      </c>
      <c r="Y89" s="84">
        <v>811.4</v>
      </c>
      <c r="Z89" s="91">
        <v>5.53</v>
      </c>
      <c r="AA89" s="89">
        <v>79.709999999999994</v>
      </c>
      <c r="AB89" s="21">
        <v>309.8</v>
      </c>
      <c r="AC89" s="21">
        <v>7402</v>
      </c>
      <c r="AD89" s="199">
        <v>1</v>
      </c>
      <c r="AE89" s="200">
        <v>1</v>
      </c>
      <c r="AF89" s="201">
        <v>1</v>
      </c>
      <c r="AG89" s="200">
        <v>4</v>
      </c>
      <c r="AH89" s="200">
        <v>4</v>
      </c>
      <c r="AI89" s="202">
        <v>4</v>
      </c>
      <c r="AJ89" s="198" t="s">
        <v>661</v>
      </c>
    </row>
    <row r="90" spans="1:36" s="203" customFormat="1" ht="13.5" customHeight="1">
      <c r="A90" s="197"/>
      <c r="B90" s="140"/>
      <c r="C90" s="198"/>
      <c r="D90" s="198"/>
      <c r="E90" s="198"/>
      <c r="F90" s="198"/>
      <c r="G90" s="139"/>
      <c r="H90" s="82"/>
      <c r="I90" s="83"/>
      <c r="J90" s="83"/>
      <c r="K90" s="83"/>
      <c r="L90" s="86"/>
      <c r="M90" s="87"/>
      <c r="N90" s="88"/>
      <c r="O90" s="89"/>
      <c r="P90" s="197"/>
      <c r="Q90" s="87"/>
      <c r="R90" s="86"/>
      <c r="S90" s="86"/>
      <c r="T90" s="86"/>
      <c r="U90" s="89"/>
      <c r="V90" s="82"/>
      <c r="W90" s="86"/>
      <c r="X90" s="84"/>
      <c r="Y90" s="84"/>
      <c r="Z90" s="91"/>
      <c r="AA90" s="89"/>
      <c r="AB90" s="21"/>
      <c r="AC90" s="21"/>
      <c r="AD90" s="199"/>
      <c r="AE90" s="200"/>
      <c r="AF90" s="201"/>
      <c r="AG90" s="200"/>
      <c r="AH90" s="200"/>
      <c r="AI90" s="202"/>
      <c r="AJ90" s="198"/>
    </row>
    <row r="91" spans="1:36" s="434" customFormat="1" ht="13.5" customHeight="1">
      <c r="A91" s="387" t="s">
        <v>1411</v>
      </c>
      <c r="B91" s="394">
        <v>147</v>
      </c>
      <c r="C91" s="389">
        <v>754</v>
      </c>
      <c r="D91" s="389">
        <v>265.2</v>
      </c>
      <c r="E91" s="389">
        <v>12.8</v>
      </c>
      <c r="F91" s="389">
        <v>17.5</v>
      </c>
      <c r="G91" s="388">
        <v>16.5</v>
      </c>
      <c r="H91" s="388">
        <v>187.2</v>
      </c>
      <c r="I91" s="389">
        <v>719</v>
      </c>
      <c r="J91" s="389">
        <v>686</v>
      </c>
      <c r="K91" s="389" t="s">
        <v>667</v>
      </c>
      <c r="L91" s="393">
        <v>104</v>
      </c>
      <c r="M91" s="394">
        <v>164</v>
      </c>
      <c r="N91" s="395">
        <v>2.5150000000000001</v>
      </c>
      <c r="O91" s="396">
        <v>17.11</v>
      </c>
      <c r="P91" s="387" t="s">
        <v>1411</v>
      </c>
      <c r="Q91" s="394">
        <v>147</v>
      </c>
      <c r="R91" s="393">
        <v>168500</v>
      </c>
      <c r="S91" s="393">
        <v>4470</v>
      </c>
      <c r="T91" s="393">
        <v>5156</v>
      </c>
      <c r="U91" s="396">
        <v>30</v>
      </c>
      <c r="V91" s="388">
        <v>102.4</v>
      </c>
      <c r="W91" s="393">
        <v>5455</v>
      </c>
      <c r="X91" s="390">
        <v>411.4</v>
      </c>
      <c r="Y91" s="390">
        <v>647.20000000000005</v>
      </c>
      <c r="Z91" s="392">
        <v>5.4</v>
      </c>
      <c r="AA91" s="396">
        <v>67.13</v>
      </c>
      <c r="AB91" s="398">
        <v>162.19999999999999</v>
      </c>
      <c r="AC91" s="398">
        <v>7377</v>
      </c>
      <c r="AD91" s="453">
        <v>1</v>
      </c>
      <c r="AE91" s="398">
        <v>1</v>
      </c>
      <c r="AF91" s="399" t="s">
        <v>616</v>
      </c>
      <c r="AG91" s="398">
        <v>4</v>
      </c>
      <c r="AH91" s="398">
        <v>4</v>
      </c>
      <c r="AI91" s="400" t="s">
        <v>616</v>
      </c>
      <c r="AJ91" s="389"/>
    </row>
    <row r="92" spans="1:36" s="203" customFormat="1" ht="13.5" customHeight="1">
      <c r="A92" s="197" t="s">
        <v>1412</v>
      </c>
      <c r="B92" s="140">
        <v>173</v>
      </c>
      <c r="C92" s="198">
        <v>762.2</v>
      </c>
      <c r="D92" s="198">
        <v>266.7</v>
      </c>
      <c r="E92" s="198">
        <v>14.3</v>
      </c>
      <c r="F92" s="198">
        <v>21.6</v>
      </c>
      <c r="G92" s="139">
        <v>16.5</v>
      </c>
      <c r="H92" s="82">
        <v>220.4</v>
      </c>
      <c r="I92" s="83">
        <v>719</v>
      </c>
      <c r="J92" s="83">
        <v>686</v>
      </c>
      <c r="K92" s="83" t="s">
        <v>667</v>
      </c>
      <c r="L92" s="86">
        <v>104</v>
      </c>
      <c r="M92" s="87">
        <v>164</v>
      </c>
      <c r="N92" s="88">
        <v>2.5339999999999998</v>
      </c>
      <c r="O92" s="89">
        <v>14.65</v>
      </c>
      <c r="P92" s="197" t="s">
        <v>1412</v>
      </c>
      <c r="Q92" s="87">
        <v>173</v>
      </c>
      <c r="R92" s="86">
        <v>205300</v>
      </c>
      <c r="S92" s="86">
        <v>5387</v>
      </c>
      <c r="T92" s="86">
        <v>6198</v>
      </c>
      <c r="U92" s="89">
        <v>30.52</v>
      </c>
      <c r="V92" s="82">
        <v>115.4</v>
      </c>
      <c r="W92" s="86">
        <v>6850</v>
      </c>
      <c r="X92" s="84">
        <v>513.70000000000005</v>
      </c>
      <c r="Y92" s="84">
        <v>807.5</v>
      </c>
      <c r="Z92" s="91">
        <v>5.58</v>
      </c>
      <c r="AA92" s="89">
        <v>76.83</v>
      </c>
      <c r="AB92" s="21">
        <v>270.3</v>
      </c>
      <c r="AC92" s="21">
        <v>9364</v>
      </c>
      <c r="AD92" s="199">
        <v>1</v>
      </c>
      <c r="AE92" s="200">
        <v>1</v>
      </c>
      <c r="AF92" s="201">
        <v>1</v>
      </c>
      <c r="AG92" s="200">
        <v>4</v>
      </c>
      <c r="AH92" s="200">
        <v>4</v>
      </c>
      <c r="AI92" s="202">
        <v>4</v>
      </c>
      <c r="AJ92" s="198" t="s">
        <v>661</v>
      </c>
    </row>
    <row r="93" spans="1:36" s="434" customFormat="1" ht="13.5" customHeight="1">
      <c r="A93" s="387" t="s">
        <v>1413</v>
      </c>
      <c r="B93" s="394">
        <v>197</v>
      </c>
      <c r="C93" s="389">
        <v>769.8</v>
      </c>
      <c r="D93" s="389">
        <v>268</v>
      </c>
      <c r="E93" s="389">
        <v>15.6</v>
      </c>
      <c r="F93" s="389">
        <v>25.4</v>
      </c>
      <c r="G93" s="388">
        <v>16.5</v>
      </c>
      <c r="H93" s="388">
        <v>250.6</v>
      </c>
      <c r="I93" s="389">
        <v>719</v>
      </c>
      <c r="J93" s="389">
        <v>686</v>
      </c>
      <c r="K93" s="389" t="s">
        <v>667</v>
      </c>
      <c r="L93" s="393">
        <v>106</v>
      </c>
      <c r="M93" s="394">
        <v>166</v>
      </c>
      <c r="N93" s="395">
        <v>2.552</v>
      </c>
      <c r="O93" s="396">
        <v>12.97</v>
      </c>
      <c r="P93" s="387" t="s">
        <v>1413</v>
      </c>
      <c r="Q93" s="394">
        <v>197</v>
      </c>
      <c r="R93" s="393">
        <v>240000</v>
      </c>
      <c r="S93" s="393">
        <v>6234</v>
      </c>
      <c r="T93" s="393">
        <v>7167</v>
      </c>
      <c r="U93" s="396">
        <v>30.94</v>
      </c>
      <c r="V93" s="388">
        <v>126.8</v>
      </c>
      <c r="W93" s="393">
        <v>8175</v>
      </c>
      <c r="X93" s="390">
        <v>610.1</v>
      </c>
      <c r="Y93" s="390">
        <v>958.6</v>
      </c>
      <c r="Z93" s="392">
        <v>5.71</v>
      </c>
      <c r="AA93" s="396">
        <v>85.73</v>
      </c>
      <c r="AB93" s="398">
        <v>407.3</v>
      </c>
      <c r="AC93" s="398">
        <v>11290</v>
      </c>
      <c r="AD93" s="453">
        <v>1</v>
      </c>
      <c r="AE93" s="398">
        <v>1</v>
      </c>
      <c r="AF93" s="399">
        <v>1</v>
      </c>
      <c r="AG93" s="398">
        <v>4</v>
      </c>
      <c r="AH93" s="398">
        <v>4</v>
      </c>
      <c r="AI93" s="400">
        <v>4</v>
      </c>
      <c r="AJ93" s="389" t="s">
        <v>661</v>
      </c>
    </row>
    <row r="94" spans="1:36" s="203" customFormat="1" ht="13.5" customHeight="1">
      <c r="A94" s="197"/>
      <c r="B94" s="140"/>
      <c r="C94" s="198"/>
      <c r="D94" s="198"/>
      <c r="E94" s="198"/>
      <c r="F94" s="198"/>
      <c r="G94" s="139"/>
      <c r="H94" s="82"/>
      <c r="I94" s="83"/>
      <c r="J94" s="83"/>
      <c r="K94" s="83"/>
      <c r="L94" s="86"/>
      <c r="M94" s="87"/>
      <c r="N94" s="88"/>
      <c r="O94" s="89"/>
      <c r="P94" s="197"/>
      <c r="Q94" s="87"/>
      <c r="R94" s="86"/>
      <c r="S94" s="86"/>
      <c r="T94" s="86"/>
      <c r="U94" s="89"/>
      <c r="V94" s="82"/>
      <c r="W94" s="86"/>
      <c r="X94" s="84"/>
      <c r="Y94" s="84"/>
      <c r="Z94" s="91"/>
      <c r="AA94" s="89"/>
      <c r="AB94" s="21"/>
      <c r="AC94" s="21"/>
      <c r="AD94" s="199"/>
      <c r="AE94" s="200"/>
      <c r="AF94" s="201"/>
      <c r="AG94" s="200"/>
      <c r="AH94" s="200"/>
      <c r="AI94" s="202"/>
      <c r="AJ94" s="198"/>
    </row>
    <row r="95" spans="1:36" s="434" customFormat="1" ht="13.5" customHeight="1">
      <c r="A95" s="387" t="s">
        <v>1414</v>
      </c>
      <c r="B95" s="394">
        <v>176</v>
      </c>
      <c r="C95" s="389">
        <v>834.9</v>
      </c>
      <c r="D95" s="389">
        <v>291.7</v>
      </c>
      <c r="E95" s="389">
        <v>14</v>
      </c>
      <c r="F95" s="389">
        <v>18.8</v>
      </c>
      <c r="G95" s="388">
        <v>17.8</v>
      </c>
      <c r="H95" s="388">
        <v>224</v>
      </c>
      <c r="I95" s="389">
        <v>797.3</v>
      </c>
      <c r="J95" s="389">
        <v>761.7</v>
      </c>
      <c r="K95" s="389" t="s">
        <v>667</v>
      </c>
      <c r="L95" s="393">
        <v>106</v>
      </c>
      <c r="M95" s="394">
        <v>190</v>
      </c>
      <c r="N95" s="395">
        <v>2.778</v>
      </c>
      <c r="O95" s="396">
        <v>15.8</v>
      </c>
      <c r="P95" s="387" t="s">
        <v>1414</v>
      </c>
      <c r="Q95" s="394">
        <v>176</v>
      </c>
      <c r="R95" s="393">
        <v>246000</v>
      </c>
      <c r="S95" s="393">
        <v>5893</v>
      </c>
      <c r="T95" s="393">
        <v>6808</v>
      </c>
      <c r="U95" s="396">
        <v>33.14</v>
      </c>
      <c r="V95" s="388">
        <v>123.7</v>
      </c>
      <c r="W95" s="393">
        <v>7799</v>
      </c>
      <c r="X95" s="390">
        <v>534.70000000000005</v>
      </c>
      <c r="Y95" s="390">
        <v>841.9</v>
      </c>
      <c r="Z95" s="392">
        <v>5.9</v>
      </c>
      <c r="AA95" s="396">
        <v>72.45</v>
      </c>
      <c r="AB95" s="398">
        <v>226.2</v>
      </c>
      <c r="AC95" s="398">
        <v>12950</v>
      </c>
      <c r="AD95" s="453">
        <v>1</v>
      </c>
      <c r="AE95" s="398">
        <v>1</v>
      </c>
      <c r="AF95" s="399" t="s">
        <v>616</v>
      </c>
      <c r="AG95" s="398">
        <v>4</v>
      </c>
      <c r="AH95" s="398">
        <v>4</v>
      </c>
      <c r="AI95" s="400" t="s">
        <v>616</v>
      </c>
      <c r="AJ95" s="389"/>
    </row>
    <row r="96" spans="1:36" s="203" customFormat="1" ht="13.5" customHeight="1">
      <c r="A96" s="197" t="s">
        <v>1415</v>
      </c>
      <c r="B96" s="140">
        <v>194</v>
      </c>
      <c r="C96" s="198">
        <v>840.7</v>
      </c>
      <c r="D96" s="198">
        <v>292.39999999999998</v>
      </c>
      <c r="E96" s="198">
        <v>14.7</v>
      </c>
      <c r="F96" s="198">
        <v>21.7</v>
      </c>
      <c r="G96" s="139">
        <v>17.8</v>
      </c>
      <c r="H96" s="82">
        <v>246.8</v>
      </c>
      <c r="I96" s="83">
        <v>797.3</v>
      </c>
      <c r="J96" s="83">
        <v>761.7</v>
      </c>
      <c r="K96" s="83" t="s">
        <v>667</v>
      </c>
      <c r="L96" s="86">
        <v>108</v>
      </c>
      <c r="M96" s="87">
        <v>190</v>
      </c>
      <c r="N96" s="88">
        <v>2.7909999999999999</v>
      </c>
      <c r="O96" s="89">
        <v>14.4</v>
      </c>
      <c r="P96" s="197" t="s">
        <v>1415</v>
      </c>
      <c r="Q96" s="87">
        <v>194</v>
      </c>
      <c r="R96" s="86">
        <v>279200</v>
      </c>
      <c r="S96" s="86">
        <v>6641</v>
      </c>
      <c r="T96" s="86">
        <v>7640</v>
      </c>
      <c r="U96" s="89">
        <v>33.630000000000003</v>
      </c>
      <c r="V96" s="82">
        <v>130.80000000000001</v>
      </c>
      <c r="W96" s="86">
        <v>9066</v>
      </c>
      <c r="X96" s="84">
        <v>620.1</v>
      </c>
      <c r="Y96" s="84">
        <v>973.8</v>
      </c>
      <c r="Z96" s="91">
        <v>6.06</v>
      </c>
      <c r="AA96" s="89">
        <v>78.95</v>
      </c>
      <c r="AB96" s="21">
        <v>309.60000000000002</v>
      </c>
      <c r="AC96" s="21">
        <v>15160</v>
      </c>
      <c r="AD96" s="199">
        <v>1</v>
      </c>
      <c r="AE96" s="200">
        <v>1</v>
      </c>
      <c r="AF96" s="201">
        <v>2</v>
      </c>
      <c r="AG96" s="200">
        <v>4</v>
      </c>
      <c r="AH96" s="200">
        <v>4</v>
      </c>
      <c r="AI96" s="202">
        <v>4</v>
      </c>
      <c r="AJ96" s="198" t="s">
        <v>661</v>
      </c>
    </row>
    <row r="97" spans="1:36" s="434" customFormat="1" ht="13.5" customHeight="1">
      <c r="A97" s="387" t="s">
        <v>1416</v>
      </c>
      <c r="B97" s="394">
        <v>227</v>
      </c>
      <c r="C97" s="389">
        <v>850.9</v>
      </c>
      <c r="D97" s="389">
        <v>293.8</v>
      </c>
      <c r="E97" s="389">
        <v>16.100000000000001</v>
      </c>
      <c r="F97" s="389">
        <v>26.8</v>
      </c>
      <c r="G97" s="388">
        <v>17.8</v>
      </c>
      <c r="H97" s="388">
        <v>288.60000000000002</v>
      </c>
      <c r="I97" s="389">
        <v>797.3</v>
      </c>
      <c r="J97" s="389">
        <v>761.7</v>
      </c>
      <c r="K97" s="389" t="s">
        <v>667</v>
      </c>
      <c r="L97" s="393">
        <v>108</v>
      </c>
      <c r="M97" s="394">
        <v>192</v>
      </c>
      <c r="N97" s="395">
        <v>2.8140000000000001</v>
      </c>
      <c r="O97" s="396">
        <v>12.42</v>
      </c>
      <c r="P97" s="387" t="s">
        <v>1416</v>
      </c>
      <c r="Q97" s="394">
        <v>227</v>
      </c>
      <c r="R97" s="393">
        <v>339700</v>
      </c>
      <c r="S97" s="393">
        <v>7985</v>
      </c>
      <c r="T97" s="393">
        <v>9155</v>
      </c>
      <c r="U97" s="396">
        <v>34.31</v>
      </c>
      <c r="V97" s="388">
        <v>144.9</v>
      </c>
      <c r="W97" s="393">
        <v>11360</v>
      </c>
      <c r="X97" s="390">
        <v>773.3</v>
      </c>
      <c r="Y97" s="393">
        <v>1212</v>
      </c>
      <c r="Z97" s="392">
        <v>6.27</v>
      </c>
      <c r="AA97" s="396">
        <v>90.55</v>
      </c>
      <c r="AB97" s="398">
        <v>516.5</v>
      </c>
      <c r="AC97" s="398">
        <v>19230</v>
      </c>
      <c r="AD97" s="453">
        <v>1</v>
      </c>
      <c r="AE97" s="398">
        <v>1</v>
      </c>
      <c r="AF97" s="399">
        <v>1</v>
      </c>
      <c r="AG97" s="398">
        <v>4</v>
      </c>
      <c r="AH97" s="398">
        <v>4</v>
      </c>
      <c r="AI97" s="400">
        <v>4</v>
      </c>
      <c r="AJ97" s="389" t="s">
        <v>661</v>
      </c>
    </row>
    <row r="98" spans="1:36" s="203" customFormat="1" ht="13.5" customHeight="1">
      <c r="A98" s="197"/>
      <c r="B98" s="140"/>
      <c r="C98" s="198"/>
      <c r="D98" s="198"/>
      <c r="E98" s="198"/>
      <c r="F98" s="198"/>
      <c r="G98" s="139"/>
      <c r="H98" s="82"/>
      <c r="I98" s="83"/>
      <c r="J98" s="83"/>
      <c r="K98" s="83"/>
      <c r="L98" s="86"/>
      <c r="M98" s="87"/>
      <c r="N98" s="88"/>
      <c r="O98" s="89"/>
      <c r="P98" s="197"/>
      <c r="Q98" s="87"/>
      <c r="R98" s="86"/>
      <c r="S98" s="86"/>
      <c r="T98" s="86"/>
      <c r="U98" s="89"/>
      <c r="V98" s="82"/>
      <c r="W98" s="86"/>
      <c r="X98" s="84"/>
      <c r="Y98" s="84"/>
      <c r="Z98" s="91"/>
      <c r="AA98" s="89"/>
      <c r="AB98" s="21"/>
      <c r="AC98" s="21"/>
      <c r="AD98" s="199"/>
      <c r="AE98" s="200"/>
      <c r="AF98" s="201"/>
      <c r="AG98" s="200"/>
      <c r="AH98" s="200"/>
      <c r="AI98" s="202"/>
      <c r="AJ98" s="198"/>
    </row>
    <row r="99" spans="1:36" s="434" customFormat="1" ht="13.5" customHeight="1">
      <c r="A99" s="387" t="s">
        <v>1417</v>
      </c>
      <c r="B99" s="394">
        <v>201</v>
      </c>
      <c r="C99" s="389">
        <v>903</v>
      </c>
      <c r="D99" s="389">
        <v>303.3</v>
      </c>
      <c r="E99" s="389">
        <v>15.1</v>
      </c>
      <c r="F99" s="389">
        <v>20.2</v>
      </c>
      <c r="G99" s="388">
        <v>19.100000000000001</v>
      </c>
      <c r="H99" s="388">
        <v>255.9</v>
      </c>
      <c r="I99" s="389">
        <v>862.6</v>
      </c>
      <c r="J99" s="389">
        <v>824.4</v>
      </c>
      <c r="K99" s="389" t="s">
        <v>667</v>
      </c>
      <c r="L99" s="393">
        <v>110</v>
      </c>
      <c r="M99" s="394">
        <v>202</v>
      </c>
      <c r="N99" s="395">
        <v>2.956</v>
      </c>
      <c r="O99" s="396">
        <v>14.72</v>
      </c>
      <c r="P99" s="387" t="s">
        <v>1417</v>
      </c>
      <c r="Q99" s="394">
        <v>201</v>
      </c>
      <c r="R99" s="393">
        <v>325300</v>
      </c>
      <c r="S99" s="393">
        <v>7204</v>
      </c>
      <c r="T99" s="393">
        <v>8351</v>
      </c>
      <c r="U99" s="396">
        <v>35.65</v>
      </c>
      <c r="V99" s="388">
        <v>144.19999999999999</v>
      </c>
      <c r="W99" s="393">
        <v>9423</v>
      </c>
      <c r="X99" s="390">
        <v>621.4</v>
      </c>
      <c r="Y99" s="390">
        <v>982</v>
      </c>
      <c r="Z99" s="392">
        <v>6.07</v>
      </c>
      <c r="AA99" s="396">
        <v>77.88</v>
      </c>
      <c r="AB99" s="398">
        <v>297.89999999999998</v>
      </c>
      <c r="AC99" s="398">
        <v>18300</v>
      </c>
      <c r="AD99" s="453">
        <v>1</v>
      </c>
      <c r="AE99" s="398">
        <v>1</v>
      </c>
      <c r="AF99" s="399" t="s">
        <v>616</v>
      </c>
      <c r="AG99" s="398">
        <v>4</v>
      </c>
      <c r="AH99" s="398">
        <v>4</v>
      </c>
      <c r="AI99" s="400" t="s">
        <v>616</v>
      </c>
      <c r="AJ99" s="389"/>
    </row>
    <row r="100" spans="1:36" s="203" customFormat="1" ht="13.5" customHeight="1">
      <c r="A100" s="197" t="s">
        <v>1418</v>
      </c>
      <c r="B100" s="140">
        <v>224</v>
      </c>
      <c r="C100" s="198">
        <v>910.4</v>
      </c>
      <c r="D100" s="198">
        <v>304.10000000000002</v>
      </c>
      <c r="E100" s="198">
        <v>15.9</v>
      </c>
      <c r="F100" s="198">
        <v>23.9</v>
      </c>
      <c r="G100" s="139">
        <v>19.100000000000001</v>
      </c>
      <c r="H100" s="82">
        <v>285.60000000000002</v>
      </c>
      <c r="I100" s="83">
        <v>862.6</v>
      </c>
      <c r="J100" s="83">
        <v>824.4</v>
      </c>
      <c r="K100" s="83" t="s">
        <v>667</v>
      </c>
      <c r="L100" s="86">
        <v>110</v>
      </c>
      <c r="M100" s="87">
        <v>202</v>
      </c>
      <c r="N100" s="88">
        <v>2.9729999999999999</v>
      </c>
      <c r="O100" s="89">
        <v>13.26</v>
      </c>
      <c r="P100" s="197" t="s">
        <v>1418</v>
      </c>
      <c r="Q100" s="87">
        <v>224</v>
      </c>
      <c r="R100" s="86">
        <v>376400</v>
      </c>
      <c r="S100" s="86">
        <v>8269</v>
      </c>
      <c r="T100" s="86">
        <v>9535</v>
      </c>
      <c r="U100" s="89">
        <v>36.299999999999997</v>
      </c>
      <c r="V100" s="82">
        <v>153.19999999999999</v>
      </c>
      <c r="W100" s="86">
        <v>11240</v>
      </c>
      <c r="X100" s="84">
        <v>739</v>
      </c>
      <c r="Y100" s="86">
        <v>1163</v>
      </c>
      <c r="Z100" s="91">
        <v>6.27</v>
      </c>
      <c r="AA100" s="89">
        <v>86.08</v>
      </c>
      <c r="AB100" s="21">
        <v>427.2</v>
      </c>
      <c r="AC100" s="21">
        <v>22010</v>
      </c>
      <c r="AD100" s="199">
        <v>1</v>
      </c>
      <c r="AE100" s="200">
        <v>1</v>
      </c>
      <c r="AF100" s="201">
        <v>2</v>
      </c>
      <c r="AG100" s="200">
        <v>4</v>
      </c>
      <c r="AH100" s="200">
        <v>4</v>
      </c>
      <c r="AI100" s="202">
        <v>4</v>
      </c>
      <c r="AJ100" s="198" t="s">
        <v>661</v>
      </c>
    </row>
    <row r="101" spans="1:36" s="434" customFormat="1" ht="13.5" customHeight="1">
      <c r="A101" s="387" t="s">
        <v>1419</v>
      </c>
      <c r="B101" s="394">
        <v>253</v>
      </c>
      <c r="C101" s="389">
        <v>918.4</v>
      </c>
      <c r="D101" s="389">
        <v>305.5</v>
      </c>
      <c r="E101" s="389">
        <v>17.3</v>
      </c>
      <c r="F101" s="389">
        <v>27.9</v>
      </c>
      <c r="G101" s="388">
        <v>19.100000000000001</v>
      </c>
      <c r="H101" s="388">
        <v>322.8</v>
      </c>
      <c r="I101" s="389">
        <v>862.6</v>
      </c>
      <c r="J101" s="389">
        <v>824.4</v>
      </c>
      <c r="K101" s="389" t="s">
        <v>667</v>
      </c>
      <c r="L101" s="393">
        <v>112</v>
      </c>
      <c r="M101" s="394">
        <v>204</v>
      </c>
      <c r="N101" s="395">
        <v>2.9910000000000001</v>
      </c>
      <c r="O101" s="396">
        <v>11.8</v>
      </c>
      <c r="P101" s="387" t="s">
        <v>1419</v>
      </c>
      <c r="Q101" s="394">
        <v>253</v>
      </c>
      <c r="R101" s="393">
        <v>436300</v>
      </c>
      <c r="S101" s="393">
        <v>9501</v>
      </c>
      <c r="T101" s="393">
        <v>10940</v>
      </c>
      <c r="U101" s="396">
        <v>36.76</v>
      </c>
      <c r="V101" s="388">
        <v>167.8</v>
      </c>
      <c r="W101" s="393">
        <v>13300</v>
      </c>
      <c r="X101" s="390">
        <v>870.8</v>
      </c>
      <c r="Y101" s="393">
        <v>1371</v>
      </c>
      <c r="Z101" s="392">
        <v>6.42</v>
      </c>
      <c r="AA101" s="396">
        <v>95.48</v>
      </c>
      <c r="AB101" s="398">
        <v>630.5</v>
      </c>
      <c r="AC101" s="398">
        <v>26280</v>
      </c>
      <c r="AD101" s="453">
        <v>1</v>
      </c>
      <c r="AE101" s="398">
        <v>1</v>
      </c>
      <c r="AF101" s="399">
        <v>1</v>
      </c>
      <c r="AG101" s="398">
        <v>4</v>
      </c>
      <c r="AH101" s="398">
        <v>4</v>
      </c>
      <c r="AI101" s="400">
        <v>4</v>
      </c>
      <c r="AJ101" s="389" t="s">
        <v>661</v>
      </c>
    </row>
    <row r="102" spans="1:36" s="203" customFormat="1" ht="13.5" customHeight="1">
      <c r="A102" s="197" t="s">
        <v>1420</v>
      </c>
      <c r="B102" s="140">
        <v>289</v>
      </c>
      <c r="C102" s="198">
        <v>926.6</v>
      </c>
      <c r="D102" s="198">
        <v>307.7</v>
      </c>
      <c r="E102" s="198">
        <v>19.5</v>
      </c>
      <c r="F102" s="198">
        <v>32</v>
      </c>
      <c r="G102" s="139">
        <v>19.100000000000001</v>
      </c>
      <c r="H102" s="82">
        <v>368.3</v>
      </c>
      <c r="I102" s="83">
        <v>862.6</v>
      </c>
      <c r="J102" s="83">
        <v>824.4</v>
      </c>
      <c r="K102" s="83" t="s">
        <v>667</v>
      </c>
      <c r="L102" s="86">
        <v>114</v>
      </c>
      <c r="M102" s="87">
        <v>206</v>
      </c>
      <c r="N102" s="88">
        <v>3.012</v>
      </c>
      <c r="O102" s="89">
        <v>10.42</v>
      </c>
      <c r="P102" s="197" t="s">
        <v>1420</v>
      </c>
      <c r="Q102" s="87">
        <v>289</v>
      </c>
      <c r="R102" s="86">
        <v>504200</v>
      </c>
      <c r="S102" s="86">
        <v>10880</v>
      </c>
      <c r="T102" s="86">
        <v>12570</v>
      </c>
      <c r="U102" s="89">
        <v>37</v>
      </c>
      <c r="V102" s="82">
        <v>189.8</v>
      </c>
      <c r="W102" s="86">
        <v>15600</v>
      </c>
      <c r="X102" s="86">
        <v>1014</v>
      </c>
      <c r="Y102" s="86">
        <v>1601</v>
      </c>
      <c r="Z102" s="91">
        <v>6.51</v>
      </c>
      <c r="AA102" s="84">
        <v>105.9</v>
      </c>
      <c r="AB102" s="21">
        <v>933.6</v>
      </c>
      <c r="AC102" s="21">
        <v>31090</v>
      </c>
      <c r="AD102" s="199">
        <v>1</v>
      </c>
      <c r="AE102" s="200">
        <v>1</v>
      </c>
      <c r="AF102" s="201">
        <v>1</v>
      </c>
      <c r="AG102" s="200">
        <v>4</v>
      </c>
      <c r="AH102" s="200">
        <v>4</v>
      </c>
      <c r="AI102" s="202">
        <v>4</v>
      </c>
      <c r="AJ102" s="198" t="s">
        <v>661</v>
      </c>
    </row>
    <row r="103" spans="1:36" s="203" customFormat="1" ht="13.5" customHeight="1">
      <c r="A103" s="197"/>
      <c r="B103" s="140"/>
      <c r="C103" s="198"/>
      <c r="D103" s="198"/>
      <c r="E103" s="198"/>
      <c r="F103" s="198"/>
      <c r="G103" s="139"/>
      <c r="H103" s="82"/>
      <c r="I103" s="83"/>
      <c r="J103" s="83"/>
      <c r="K103" s="83"/>
      <c r="L103" s="86"/>
      <c r="M103" s="87"/>
      <c r="N103" s="88"/>
      <c r="O103" s="84"/>
      <c r="P103" s="197"/>
      <c r="Q103" s="87"/>
      <c r="R103" s="86"/>
      <c r="S103" s="86"/>
      <c r="T103" s="86"/>
      <c r="U103" s="89"/>
      <c r="V103" s="82"/>
      <c r="W103" s="86"/>
      <c r="X103" s="84"/>
      <c r="Y103" s="86"/>
      <c r="Z103" s="91"/>
      <c r="AA103" s="84"/>
      <c r="AB103" s="21"/>
      <c r="AC103" s="21"/>
      <c r="AD103" s="199"/>
      <c r="AE103" s="200"/>
      <c r="AF103" s="201"/>
      <c r="AG103" s="200"/>
      <c r="AH103" s="200"/>
      <c r="AI103" s="202"/>
      <c r="AJ103" s="198"/>
    </row>
    <row r="104" spans="1:36" s="434" customFormat="1" ht="13.5" customHeight="1">
      <c r="A104" s="387" t="s">
        <v>1421</v>
      </c>
      <c r="B104" s="394">
        <v>343</v>
      </c>
      <c r="C104" s="389">
        <v>911.8</v>
      </c>
      <c r="D104" s="389">
        <v>418.5</v>
      </c>
      <c r="E104" s="389">
        <v>19.399999999999999</v>
      </c>
      <c r="F104" s="389">
        <v>32</v>
      </c>
      <c r="G104" s="388">
        <v>24.1</v>
      </c>
      <c r="H104" s="388">
        <v>437.3</v>
      </c>
      <c r="I104" s="389">
        <v>847.8</v>
      </c>
      <c r="J104" s="389">
        <v>799.6</v>
      </c>
      <c r="K104" s="389" t="s">
        <v>667</v>
      </c>
      <c r="L104" s="393">
        <v>126</v>
      </c>
      <c r="M104" s="394">
        <v>312</v>
      </c>
      <c r="N104" s="395">
        <v>3.4169999999999998</v>
      </c>
      <c r="O104" s="395">
        <v>9.9550000000000001</v>
      </c>
      <c r="P104" s="387" t="s">
        <v>1421</v>
      </c>
      <c r="Q104" s="394">
        <v>343</v>
      </c>
      <c r="R104" s="393">
        <v>625800</v>
      </c>
      <c r="S104" s="393">
        <v>13730</v>
      </c>
      <c r="T104" s="393">
        <v>15480</v>
      </c>
      <c r="U104" s="396">
        <v>37.83</v>
      </c>
      <c r="V104" s="388">
        <v>191.1</v>
      </c>
      <c r="W104" s="393">
        <v>39160</v>
      </c>
      <c r="X104" s="393">
        <v>1871</v>
      </c>
      <c r="Y104" s="393">
        <v>2890</v>
      </c>
      <c r="Z104" s="392">
        <v>9.4600000000000009</v>
      </c>
      <c r="AA104" s="390">
        <v>111.6</v>
      </c>
      <c r="AB104" s="398">
        <v>1199</v>
      </c>
      <c r="AC104" s="398">
        <v>75650</v>
      </c>
      <c r="AD104" s="453">
        <v>1</v>
      </c>
      <c r="AE104" s="398">
        <v>1</v>
      </c>
      <c r="AF104" s="399">
        <v>1</v>
      </c>
      <c r="AG104" s="398">
        <v>3</v>
      </c>
      <c r="AH104" s="398">
        <v>4</v>
      </c>
      <c r="AI104" s="400">
        <v>4</v>
      </c>
      <c r="AJ104" s="389" t="s">
        <v>661</v>
      </c>
    </row>
    <row r="105" spans="1:36" s="203" customFormat="1" ht="13.5" customHeight="1">
      <c r="A105" s="197" t="s">
        <v>1422</v>
      </c>
      <c r="B105" s="140">
        <v>388</v>
      </c>
      <c r="C105" s="198">
        <v>921</v>
      </c>
      <c r="D105" s="198">
        <v>420.5</v>
      </c>
      <c r="E105" s="198">
        <v>21.4</v>
      </c>
      <c r="F105" s="198">
        <v>36.6</v>
      </c>
      <c r="G105" s="139">
        <v>24.1</v>
      </c>
      <c r="H105" s="82">
        <v>494.2</v>
      </c>
      <c r="I105" s="83">
        <v>847.8</v>
      </c>
      <c r="J105" s="83">
        <v>799.6</v>
      </c>
      <c r="K105" s="83" t="s">
        <v>667</v>
      </c>
      <c r="L105" s="86">
        <v>128</v>
      </c>
      <c r="M105" s="87">
        <v>314</v>
      </c>
      <c r="N105" s="88">
        <v>3.44</v>
      </c>
      <c r="O105" s="88">
        <v>8.8659999999999997</v>
      </c>
      <c r="P105" s="197" t="s">
        <v>1422</v>
      </c>
      <c r="Q105" s="87">
        <v>388</v>
      </c>
      <c r="R105" s="86">
        <v>719600</v>
      </c>
      <c r="S105" s="86">
        <v>15630</v>
      </c>
      <c r="T105" s="86">
        <v>17670</v>
      </c>
      <c r="U105" s="89">
        <v>38.159999999999997</v>
      </c>
      <c r="V105" s="82">
        <v>211.9</v>
      </c>
      <c r="W105" s="86">
        <v>45440</v>
      </c>
      <c r="X105" s="86">
        <v>2161</v>
      </c>
      <c r="Y105" s="86">
        <v>3341</v>
      </c>
      <c r="Z105" s="91">
        <v>9.59</v>
      </c>
      <c r="AA105" s="84">
        <v>122.8</v>
      </c>
      <c r="AB105" s="21">
        <v>1741</v>
      </c>
      <c r="AC105" s="21">
        <v>88690</v>
      </c>
      <c r="AD105" s="199">
        <v>1</v>
      </c>
      <c r="AE105" s="200">
        <v>1</v>
      </c>
      <c r="AF105" s="201">
        <v>1</v>
      </c>
      <c r="AG105" s="200">
        <v>2</v>
      </c>
      <c r="AH105" s="200">
        <v>4</v>
      </c>
      <c r="AI105" s="202">
        <v>4</v>
      </c>
      <c r="AJ105" s="198" t="s">
        <v>661</v>
      </c>
    </row>
    <row r="106" spans="1:36" s="203" customFormat="1" ht="13.5" customHeight="1">
      <c r="A106" s="197"/>
      <c r="B106" s="140"/>
      <c r="C106" s="198"/>
      <c r="D106" s="198"/>
      <c r="E106" s="198"/>
      <c r="F106" s="198"/>
      <c r="G106" s="206"/>
      <c r="H106" s="82"/>
      <c r="I106" s="83"/>
      <c r="J106" s="83"/>
      <c r="K106" s="83"/>
      <c r="L106" s="86"/>
      <c r="M106" s="87"/>
      <c r="N106" s="89"/>
      <c r="O106" s="88"/>
      <c r="P106" s="197"/>
      <c r="Q106" s="87"/>
      <c r="R106" s="86"/>
      <c r="S106" s="86"/>
      <c r="T106" s="86"/>
      <c r="U106" s="89"/>
      <c r="V106" s="82"/>
      <c r="W106" s="86"/>
      <c r="X106" s="86"/>
      <c r="Y106" s="86"/>
      <c r="Z106" s="91"/>
      <c r="AA106" s="84"/>
      <c r="AB106" s="21"/>
      <c r="AC106" s="21"/>
      <c r="AD106" s="199"/>
      <c r="AE106" s="200"/>
      <c r="AF106" s="201"/>
      <c r="AG106" s="200"/>
      <c r="AH106" s="200"/>
      <c r="AI106" s="202"/>
      <c r="AJ106" s="198"/>
    </row>
    <row r="107" spans="1:36" s="203" customFormat="1" ht="13.5" customHeight="1" thickBot="1">
      <c r="A107" s="197"/>
      <c r="B107" s="206"/>
      <c r="C107" s="198"/>
      <c r="D107" s="198"/>
      <c r="E107" s="198"/>
      <c r="F107" s="198"/>
      <c r="G107" s="206"/>
      <c r="H107" s="206"/>
      <c r="I107" s="198"/>
      <c r="J107" s="198"/>
      <c r="K107" s="198"/>
      <c r="L107" s="207"/>
      <c r="M107" s="206"/>
      <c r="N107" s="198"/>
      <c r="O107" s="198"/>
      <c r="P107" s="197"/>
      <c r="Q107" s="206"/>
      <c r="R107" s="198"/>
      <c r="S107" s="198"/>
      <c r="T107" s="198"/>
      <c r="U107" s="198"/>
      <c r="V107" s="206"/>
      <c r="W107" s="198"/>
      <c r="X107" s="198"/>
      <c r="Y107" s="198"/>
      <c r="Z107" s="206"/>
      <c r="AA107" s="198"/>
      <c r="AB107" s="200"/>
      <c r="AC107" s="35"/>
      <c r="AD107" s="208"/>
      <c r="AE107" s="209"/>
      <c r="AF107" s="210"/>
      <c r="AG107" s="209"/>
      <c r="AH107" s="209"/>
      <c r="AI107" s="211"/>
      <c r="AJ107" s="212"/>
    </row>
    <row r="108" spans="1:36" s="203" customFormat="1" ht="13.5" hidden="1" customHeight="1" thickTop="1">
      <c r="A108" s="213"/>
      <c r="B108" s="212"/>
      <c r="L108" s="214"/>
      <c r="P108" s="213"/>
      <c r="AB108" s="215"/>
      <c r="AC108" s="215"/>
      <c r="AD108" s="215"/>
      <c r="AE108" s="215"/>
      <c r="AF108" s="215"/>
      <c r="AG108" s="215"/>
      <c r="AH108" s="215"/>
      <c r="AI108" s="215"/>
    </row>
    <row r="109" spans="1:36" s="203" customFormat="1" ht="13.5" hidden="1" customHeight="1">
      <c r="A109" s="213"/>
      <c r="B109" s="212"/>
      <c r="L109" s="214"/>
      <c r="P109" s="213"/>
      <c r="AB109" s="215"/>
      <c r="AC109" s="215"/>
      <c r="AD109" s="215"/>
      <c r="AE109" s="215"/>
      <c r="AF109" s="215"/>
      <c r="AG109" s="215"/>
      <c r="AH109" s="215"/>
      <c r="AI109" s="215"/>
    </row>
    <row r="110" spans="1:36" s="203" customFormat="1" ht="13.5" hidden="1" customHeight="1">
      <c r="A110" s="213"/>
      <c r="B110" s="212"/>
      <c r="L110" s="214"/>
      <c r="P110" s="213"/>
      <c r="AB110" s="215"/>
      <c r="AC110" s="215"/>
      <c r="AD110" s="215"/>
      <c r="AE110" s="215"/>
      <c r="AF110" s="215"/>
      <c r="AG110" s="215"/>
      <c r="AH110" s="215"/>
      <c r="AI110" s="215"/>
    </row>
    <row r="111" spans="1:36" s="203" customFormat="1" ht="13.5" hidden="1" customHeight="1">
      <c r="A111" s="213"/>
      <c r="B111" s="212"/>
      <c r="L111" s="214"/>
      <c r="P111" s="213"/>
      <c r="AB111" s="215"/>
      <c r="AC111" s="215"/>
      <c r="AD111" s="215"/>
      <c r="AE111" s="215"/>
      <c r="AF111" s="215"/>
      <c r="AG111" s="215"/>
      <c r="AH111" s="215"/>
      <c r="AI111" s="215"/>
    </row>
    <row r="112" spans="1:36" s="203" customFormat="1" ht="13.5" hidden="1" customHeight="1">
      <c r="A112" s="213"/>
      <c r="B112" s="212"/>
      <c r="L112" s="214"/>
      <c r="P112" s="213"/>
      <c r="AB112" s="215"/>
      <c r="AC112" s="215"/>
      <c r="AD112" s="215"/>
      <c r="AE112" s="215"/>
      <c r="AF112" s="215"/>
      <c r="AG112" s="215"/>
      <c r="AH112" s="215"/>
      <c r="AI112" s="215"/>
    </row>
    <row r="113" spans="1:36" s="203" customFormat="1" ht="13.5" hidden="1" customHeight="1">
      <c r="A113" s="216"/>
      <c r="B113" s="217"/>
      <c r="C113" s="218"/>
      <c r="D113" s="218"/>
      <c r="E113" s="218"/>
      <c r="F113" s="218"/>
      <c r="G113" s="218"/>
      <c r="H113" s="218"/>
      <c r="I113" s="218"/>
      <c r="J113" s="218"/>
      <c r="K113" s="218"/>
      <c r="L113" s="219"/>
      <c r="M113" s="218"/>
      <c r="N113" s="218"/>
      <c r="O113" s="218"/>
      <c r="P113" s="216"/>
      <c r="Q113" s="101"/>
      <c r="R113" s="102"/>
      <c r="S113" s="102"/>
      <c r="T113" s="102"/>
      <c r="U113" s="102"/>
      <c r="V113" s="102"/>
      <c r="W113" s="101"/>
      <c r="X113" s="102"/>
      <c r="Y113" s="102"/>
      <c r="Z113" s="102"/>
      <c r="AA113" s="102"/>
      <c r="AB113" s="59"/>
      <c r="AC113" s="59"/>
      <c r="AD113" s="101"/>
      <c r="AE113" s="220"/>
      <c r="AF113" s="220"/>
      <c r="AG113" s="220"/>
      <c r="AH113" s="220"/>
      <c r="AI113" s="220"/>
      <c r="AJ113" s="218"/>
    </row>
    <row r="114" spans="1:36" s="203" customFormat="1" ht="13.5" hidden="1" customHeight="1">
      <c r="A114" s="216"/>
      <c r="B114" s="217"/>
      <c r="C114" s="218"/>
      <c r="D114" s="218"/>
      <c r="E114" s="218"/>
      <c r="F114" s="218"/>
      <c r="G114" s="218"/>
      <c r="H114" s="218"/>
      <c r="I114" s="218"/>
      <c r="J114" s="218"/>
      <c r="K114" s="218"/>
      <c r="L114" s="219"/>
      <c r="M114" s="218"/>
      <c r="N114" s="218"/>
      <c r="O114" s="218"/>
      <c r="P114" s="216"/>
      <c r="Q114" s="101"/>
      <c r="R114" s="102"/>
      <c r="S114" s="102"/>
      <c r="T114" s="102"/>
      <c r="U114" s="102"/>
      <c r="V114" s="102"/>
      <c r="W114" s="101"/>
      <c r="X114" s="102"/>
      <c r="Y114" s="102"/>
      <c r="Z114" s="102"/>
      <c r="AA114" s="102"/>
      <c r="AB114" s="59"/>
      <c r="AC114" s="59"/>
      <c r="AD114" s="101"/>
      <c r="AE114" s="220"/>
      <c r="AF114" s="220"/>
      <c r="AG114" s="220"/>
      <c r="AH114" s="220"/>
      <c r="AI114" s="220"/>
      <c r="AJ114" s="218"/>
    </row>
    <row r="115" spans="1:36" s="203" customFormat="1" ht="13.5" hidden="1" customHeight="1">
      <c r="A115" s="101"/>
      <c r="B115" s="194"/>
      <c r="C115" s="193"/>
      <c r="D115" s="193"/>
      <c r="E115" s="101"/>
      <c r="F115" s="193"/>
      <c r="G115" s="193"/>
      <c r="H115" s="193"/>
      <c r="I115" s="193"/>
      <c r="J115" s="193"/>
      <c r="K115" s="101"/>
      <c r="L115" s="219"/>
      <c r="M115" s="218"/>
      <c r="N115" s="218"/>
      <c r="O115" s="218"/>
      <c r="P115" s="216"/>
      <c r="Q115" s="101"/>
      <c r="R115" s="102"/>
      <c r="S115" s="102"/>
      <c r="T115" s="102"/>
      <c r="U115" s="102"/>
      <c r="V115" s="102"/>
      <c r="W115" s="101"/>
      <c r="X115" s="102"/>
      <c r="Y115" s="102"/>
      <c r="Z115" s="102"/>
      <c r="AA115" s="102"/>
      <c r="AB115" s="59"/>
      <c r="AC115" s="59"/>
      <c r="AD115" s="101"/>
      <c r="AE115" s="220"/>
      <c r="AF115" s="220"/>
      <c r="AG115" s="220"/>
      <c r="AH115" s="220"/>
      <c r="AI115" s="220"/>
      <c r="AJ115" s="218"/>
    </row>
    <row r="116" spans="1:36" ht="13.5" hidden="1" customHeight="1">
      <c r="A116" s="101"/>
      <c r="E116" s="101"/>
      <c r="K116" s="101"/>
      <c r="Q116" s="101"/>
      <c r="R116" s="102"/>
      <c r="S116" s="102"/>
      <c r="T116" s="102"/>
      <c r="U116" s="102"/>
      <c r="V116" s="102"/>
      <c r="W116" s="101"/>
      <c r="X116" s="102"/>
      <c r="Y116" s="102"/>
      <c r="Z116" s="102"/>
      <c r="AA116" s="102"/>
      <c r="AB116" s="59"/>
      <c r="AC116" s="59"/>
      <c r="AD116" s="101"/>
    </row>
    <row r="117" spans="1:36" ht="13.5" hidden="1" customHeight="1">
      <c r="A117" s="101"/>
      <c r="E117" s="101"/>
      <c r="K117" s="101"/>
    </row>
    <row r="118" spans="1:36" ht="13.5" hidden="1" customHeight="1">
      <c r="A118" s="101"/>
      <c r="E118" s="101"/>
      <c r="K118" s="101"/>
    </row>
    <row r="119" spans="1:36" ht="13.5" hidden="1" customHeight="1"/>
    <row r="120" spans="1:36" ht="13.5" hidden="1" customHeight="1"/>
    <row r="121" spans="1:36" ht="13.5" hidden="1" customHeight="1"/>
    <row r="122" spans="1:36" ht="13.5" hidden="1" customHeight="1"/>
    <row r="123" spans="1:36" ht="13.5" hidden="1" customHeight="1"/>
    <row r="124" spans="1:36" ht="13.5" hidden="1" customHeight="1"/>
    <row r="125" spans="1:36" ht="13.5" hidden="1" customHeight="1"/>
    <row r="126" spans="1:36" ht="13.5" hidden="1" customHeight="1"/>
    <row r="127" spans="1:36" ht="13.5" hidden="1" customHeight="1"/>
    <row r="128" spans="1:36" ht="13.5" hidden="1" customHeight="1"/>
    <row r="129" ht="13.5" hidden="1" customHeight="1"/>
    <row r="130" ht="13.5" hidden="1" customHeight="1"/>
    <row r="131" ht="13.5" hidden="1" customHeight="1"/>
    <row r="132" ht="13.5" hidden="1" customHeight="1"/>
    <row r="133" ht="13.5" hidden="1" customHeight="1"/>
    <row r="134" ht="13.5" hidden="1" customHeight="1"/>
    <row r="135" ht="13.5" hidden="1" customHeight="1"/>
    <row r="136" ht="13.5" hidden="1" customHeight="1"/>
    <row r="137" ht="13.5" hidden="1" customHeight="1"/>
    <row r="138" ht="13.5" hidden="1" customHeight="1"/>
    <row r="139" ht="13.5" hidden="1" customHeight="1"/>
    <row r="140" ht="13.5" hidden="1" customHeight="1"/>
    <row r="141" ht="13.5" hidden="1" customHeight="1"/>
    <row r="142" ht="13.5" hidden="1" customHeight="1"/>
    <row r="143" ht="13.5" hidden="1" customHeight="1"/>
    <row r="144" ht="13.5" hidden="1" customHeight="1"/>
    <row r="145" ht="13.5" hidden="1" customHeight="1"/>
    <row r="146" ht="13.5" hidden="1" customHeight="1"/>
    <row r="147" ht="13.5" hidden="1" customHeight="1"/>
    <row r="148" ht="13.5" hidden="1" customHeight="1"/>
    <row r="149" ht="13.5" hidden="1" customHeight="1"/>
    <row r="150" ht="13.5" hidden="1" customHeight="1"/>
    <row r="151" ht="13.5" hidden="1" customHeight="1"/>
    <row r="152" ht="13.5" hidden="1" customHeight="1"/>
    <row r="153" ht="13.5" hidden="1" customHeight="1"/>
    <row r="154" ht="13.5" hidden="1" customHeight="1"/>
    <row r="155" ht="13.5" hidden="1" customHeight="1"/>
    <row r="156" ht="13.5" hidden="1" customHeight="1"/>
    <row r="157" ht="13.5" hidden="1" customHeight="1"/>
    <row r="158" ht="13.5" hidden="1" customHeight="1"/>
    <row r="159" ht="13.5" hidden="1" customHeight="1"/>
    <row r="160" ht="13.5" hidden="1" customHeight="1"/>
    <row r="161" ht="13.5" hidden="1" customHeight="1"/>
    <row r="162" ht="13.5" hidden="1" customHeight="1"/>
    <row r="163" ht="13.5" hidden="1" customHeight="1"/>
    <row r="164" ht="13.5" hidden="1" customHeight="1"/>
    <row r="165" ht="13.5" hidden="1" customHeight="1"/>
    <row r="166" ht="13.5" hidden="1" customHeight="1"/>
    <row r="167" ht="13.5" hidden="1" customHeight="1"/>
    <row r="168" ht="13.5" hidden="1" customHeight="1"/>
    <row r="169" ht="13.5" hidden="1" customHeight="1"/>
    <row r="170" ht="13.5" hidden="1" customHeight="1"/>
    <row r="171" ht="13.5" hidden="1" customHeight="1"/>
    <row r="172" ht="13.5" hidden="1" customHeight="1"/>
    <row r="173" ht="13.5" hidden="1" customHeight="1"/>
    <row r="174" ht="13.5" hidden="1" customHeight="1"/>
    <row r="175" ht="13.5" hidden="1" customHeight="1"/>
    <row r="176" ht="13.5" hidden="1" customHeight="1"/>
    <row r="177" ht="13.5" hidden="1" customHeight="1"/>
    <row r="178" ht="13.5" hidden="1" customHeight="1"/>
    <row r="179" ht="13.5" hidden="1" customHeight="1"/>
    <row r="180" ht="13.5" hidden="1" customHeight="1"/>
    <row r="181" ht="13.5" hidden="1" customHeight="1"/>
    <row r="182" ht="13.5" hidden="1" customHeight="1"/>
    <row r="183" ht="13.5" hidden="1" customHeight="1"/>
    <row r="184" ht="13.5" hidden="1" customHeight="1"/>
    <row r="185" ht="13.5" hidden="1" customHeight="1"/>
    <row r="186" ht="13.5" hidden="1" customHeight="1"/>
    <row r="187" ht="13.5" hidden="1" customHeight="1"/>
    <row r="188" ht="13.5" hidden="1" customHeight="1"/>
    <row r="189" ht="13.5" hidden="1" customHeight="1"/>
    <row r="190" ht="13.5" hidden="1" customHeight="1"/>
    <row r="191" ht="13.5" hidden="1" customHeight="1"/>
    <row r="192" ht="13.5" hidden="1" customHeight="1"/>
    <row r="193" ht="13.5" hidden="1" customHeight="1"/>
    <row r="194" ht="13.5" hidden="1" customHeight="1"/>
    <row r="195" ht="13.5" hidden="1" customHeight="1"/>
    <row r="196" ht="13.5" hidden="1" customHeight="1"/>
    <row r="197" ht="13.5" hidden="1" customHeight="1"/>
    <row r="198" ht="13.5" hidden="1" customHeight="1"/>
    <row r="199" ht="13.5" hidden="1" customHeight="1"/>
    <row r="200" ht="13.5" hidden="1" customHeight="1"/>
    <row r="201" ht="13.5" hidden="1" customHeight="1"/>
    <row r="202" ht="13.5" hidden="1" customHeight="1"/>
    <row r="203" ht="13.5" hidden="1" customHeight="1"/>
    <row r="204" ht="13.5" hidden="1" customHeight="1"/>
    <row r="205" ht="13.5" hidden="1" customHeight="1"/>
    <row r="206" ht="13.5" hidden="1" customHeight="1"/>
    <row r="207" ht="13.5" hidden="1" customHeight="1"/>
    <row r="208" ht="13.5" hidden="1" customHeight="1"/>
    <row r="209" ht="13.5" hidden="1" customHeight="1"/>
    <row r="210" ht="13.5" hidden="1" customHeight="1"/>
    <row r="211" ht="13.5" hidden="1" customHeight="1"/>
    <row r="212" ht="13.5" hidden="1" customHeight="1"/>
    <row r="213" ht="13.5" hidden="1" customHeight="1"/>
    <row r="214" ht="13.5" hidden="1" customHeight="1"/>
    <row r="215" ht="13.5" hidden="1" customHeight="1"/>
    <row r="216" ht="13.5" hidden="1" customHeight="1"/>
    <row r="217" ht="13.5" hidden="1" customHeight="1"/>
    <row r="218" ht="13.5" hidden="1" customHeight="1"/>
    <row r="219" ht="13.5" hidden="1" customHeight="1"/>
    <row r="220" ht="13.5" hidden="1" customHeight="1"/>
    <row r="221" ht="13.5" hidden="1" customHeight="1"/>
    <row r="222" ht="13.5" hidden="1" customHeight="1"/>
    <row r="223" ht="13.5" hidden="1" customHeight="1"/>
    <row r="224" ht="13.5" hidden="1" customHeight="1"/>
    <row r="225" ht="13.5" hidden="1" customHeight="1"/>
    <row r="226" ht="13.5" hidden="1" customHeight="1"/>
    <row r="227" ht="13.5" hidden="1" customHeight="1"/>
    <row r="228" ht="13.5" hidden="1" customHeight="1"/>
    <row r="229" ht="13.5" hidden="1" customHeight="1"/>
    <row r="230" ht="13.5" hidden="1" customHeight="1"/>
    <row r="231" ht="13.5" hidden="1" customHeight="1"/>
    <row r="232" ht="13.5" hidden="1" customHeight="1"/>
    <row r="233" ht="13.5" hidden="1" customHeight="1"/>
    <row r="234" ht="13.5" hidden="1" customHeight="1"/>
    <row r="235" ht="13.5" hidden="1" customHeight="1"/>
    <row r="236" ht="13.5" hidden="1" customHeight="1"/>
    <row r="237" ht="13.5" hidden="1" customHeight="1"/>
    <row r="238" ht="13.5" hidden="1" customHeight="1"/>
    <row r="239" ht="13.5" hidden="1" customHeight="1"/>
    <row r="240" ht="13.5" hidden="1" customHeight="1"/>
    <row r="241" ht="13.5" hidden="1" customHeight="1"/>
    <row r="242" ht="13.5" hidden="1" customHeight="1"/>
    <row r="243" ht="13.5" hidden="1" customHeight="1"/>
    <row r="244" ht="13.5" hidden="1" customHeight="1"/>
    <row r="245" ht="13.5" hidden="1" customHeight="1"/>
    <row r="246" ht="13.5" hidden="1" customHeight="1"/>
    <row r="247" ht="13.5" hidden="1" customHeight="1"/>
    <row r="248" ht="13.5" hidden="1" customHeight="1"/>
    <row r="249" ht="13.5" hidden="1" customHeight="1"/>
    <row r="250" ht="13.5" hidden="1" customHeight="1"/>
    <row r="251" ht="13.5" hidden="1" customHeight="1"/>
    <row r="252" ht="13.5" hidden="1" customHeight="1"/>
    <row r="253" ht="13.5" hidden="1" customHeight="1"/>
    <row r="254" ht="13.5" hidden="1" customHeight="1"/>
    <row r="255" ht="13.5" hidden="1" customHeight="1"/>
    <row r="256" ht="13.5" hidden="1" customHeight="1"/>
    <row r="257" ht="13.5" hidden="1" customHeight="1"/>
    <row r="258" ht="13.5" hidden="1" customHeight="1"/>
    <row r="259" ht="13.5" hidden="1" customHeight="1"/>
    <row r="260" ht="13.5" hidden="1" customHeight="1"/>
    <row r="261" ht="13.5" hidden="1" customHeight="1"/>
    <row r="262" ht="13.5" hidden="1" customHeight="1"/>
    <row r="263" ht="13.5" hidden="1" customHeight="1"/>
    <row r="264" ht="13.5" hidden="1" customHeight="1"/>
    <row r="265" ht="13.5" hidden="1" customHeight="1"/>
    <row r="266" ht="13.5" hidden="1" customHeight="1"/>
    <row r="267" ht="13.5" hidden="1" customHeight="1"/>
    <row r="268" ht="13.5" hidden="1" customHeight="1"/>
    <row r="269" ht="13.5" hidden="1" customHeight="1"/>
    <row r="270" ht="13.5" hidden="1" customHeight="1"/>
    <row r="271" ht="13.5" hidden="1" customHeight="1"/>
    <row r="272" ht="13.5" hidden="1" customHeight="1"/>
    <row r="273" ht="13.5" hidden="1" customHeight="1"/>
    <row r="274" ht="13.5" hidden="1" customHeight="1"/>
    <row r="275" ht="13.5" hidden="1" customHeight="1"/>
    <row r="276" ht="13.5" hidden="1" customHeight="1"/>
    <row r="277" ht="13.5" hidden="1" customHeight="1"/>
    <row r="278" ht="13.5" hidden="1" customHeight="1"/>
    <row r="279" ht="13.5" hidden="1" customHeight="1"/>
    <row r="280" ht="13.5" hidden="1" customHeight="1"/>
    <row r="281" ht="13.5" hidden="1" customHeight="1"/>
    <row r="282" ht="13.5" hidden="1" customHeight="1"/>
    <row r="283" ht="13.5" hidden="1" customHeight="1"/>
    <row r="284" ht="13.5" hidden="1" customHeight="1"/>
    <row r="285" ht="13.5" hidden="1" customHeight="1"/>
    <row r="286" ht="13.5" hidden="1" customHeight="1"/>
    <row r="287" ht="13.5" hidden="1" customHeight="1"/>
    <row r="288" ht="13.5" hidden="1" customHeight="1"/>
    <row r="289" ht="13.5" hidden="1" customHeight="1"/>
    <row r="290" ht="13.5" hidden="1" customHeight="1"/>
    <row r="291" ht="13.5" hidden="1" customHeight="1"/>
    <row r="292" ht="13.5" hidden="1" customHeight="1"/>
    <row r="293" ht="13.5" hidden="1" customHeight="1"/>
    <row r="294" ht="13.5" hidden="1" customHeight="1"/>
    <row r="295" ht="13.5" hidden="1" customHeight="1"/>
    <row r="296" ht="13.5" hidden="1" customHeight="1"/>
    <row r="297" ht="13.5" hidden="1" customHeight="1"/>
    <row r="298" ht="13.5" hidden="1" customHeight="1"/>
    <row r="299" ht="13.5" hidden="1" customHeight="1"/>
    <row r="300" ht="13.5" hidden="1" customHeight="1"/>
    <row r="301" ht="13.5" hidden="1" customHeight="1"/>
    <row r="302" ht="13.5" hidden="1" customHeight="1"/>
    <row r="303" ht="13.5" hidden="1" customHeight="1"/>
    <row r="304" ht="13.5" hidden="1" customHeight="1"/>
    <row r="305" ht="13.5" hidden="1" customHeight="1"/>
    <row r="306" ht="13.5" hidden="1" customHeight="1"/>
    <row r="307" ht="13.5" hidden="1" customHeight="1"/>
    <row r="308" ht="13.5" hidden="1" customHeight="1"/>
    <row r="309" ht="13.5" hidden="1" customHeight="1"/>
    <row r="310" ht="13.5" hidden="1" customHeight="1"/>
    <row r="311" ht="13.5" hidden="1" customHeight="1"/>
    <row r="312" ht="13.5" hidden="1" customHeight="1"/>
    <row r="313" ht="13.5" hidden="1" customHeight="1"/>
    <row r="314" ht="13.5" hidden="1" customHeight="1"/>
    <row r="315" ht="13.5" hidden="1" customHeight="1"/>
    <row r="316" ht="13.5" hidden="1" customHeight="1"/>
    <row r="317" ht="13.5" hidden="1" customHeight="1"/>
    <row r="318" ht="13.5" hidden="1" customHeight="1"/>
    <row r="319" ht="13.5" hidden="1" customHeight="1"/>
    <row r="320" ht="13.5" hidden="1" customHeight="1"/>
    <row r="321" ht="13.5" hidden="1" customHeight="1"/>
    <row r="322" ht="13.5" hidden="1" customHeight="1"/>
    <row r="323" ht="13.5" hidden="1" customHeight="1"/>
    <row r="324" ht="13.5" hidden="1" customHeight="1"/>
    <row r="325" ht="13.5" hidden="1" customHeight="1"/>
    <row r="326" ht="13.5" hidden="1" customHeight="1"/>
    <row r="327" ht="13.5" hidden="1" customHeight="1"/>
    <row r="328" ht="13.5" hidden="1" customHeight="1"/>
    <row r="329" ht="13.5" hidden="1" customHeight="1"/>
    <row r="330" ht="13.5" hidden="1" customHeight="1"/>
    <row r="331" ht="13.5" hidden="1" customHeight="1"/>
    <row r="332" ht="13.5" hidden="1" customHeight="1"/>
    <row r="333" ht="13.5" hidden="1" customHeight="1"/>
    <row r="334" ht="13.5" hidden="1" customHeight="1"/>
  </sheetData>
  <phoneticPr fontId="0" type="noConversion"/>
  <pageMargins left="0.75" right="0.75" top="1" bottom="1" header="0.4921259845" footer="0.4921259845"/>
  <pageSetup paperSize="0" scale="59" orientation="landscape" horizontalDpi="4294967292" verticalDpi="4294967292"/>
  <headerFooter alignWithMargins="0">
    <oddFooter>&amp;LLe &amp;D&amp;CProfilés &amp;A du &amp;F&amp;RPage &amp;P sur &amp;N</oddFooter>
  </headerFooter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AJ72"/>
  <sheetViews>
    <sheetView workbookViewId="0"/>
  </sheetViews>
  <sheetFormatPr defaultColWidth="0" defaultRowHeight="12" zeroHeight="1"/>
  <cols>
    <col min="1" max="1" width="16.42578125" style="191" customWidth="1"/>
    <col min="2" max="4" width="5.7109375" style="189" customWidth="1"/>
    <col min="5" max="5" width="5" style="189" customWidth="1"/>
    <col min="6" max="7" width="4.7109375" style="189" customWidth="1"/>
    <col min="8" max="8" width="6" style="189" customWidth="1"/>
    <col min="9" max="9" width="5.7109375" style="189" customWidth="1"/>
    <col min="10" max="10" width="5.28515625" style="189" customWidth="1"/>
    <col min="11" max="11" width="5.140625" style="189" customWidth="1"/>
    <col min="12" max="12" width="6.28515625" style="192" customWidth="1"/>
    <col min="13" max="13" width="5.28515625" style="189" customWidth="1"/>
    <col min="14" max="14" width="6" style="189" customWidth="1"/>
    <col min="15" max="15" width="5.7109375" style="189" customWidth="1"/>
    <col min="16" max="16" width="16.42578125" style="191" customWidth="1"/>
    <col min="17" max="17" width="5.7109375" style="187" customWidth="1"/>
    <col min="18" max="18" width="5.28515625" style="189" customWidth="1"/>
    <col min="19" max="20" width="5.7109375" style="189" customWidth="1"/>
    <col min="21" max="21" width="5" style="189" customWidth="1"/>
    <col min="22" max="22" width="5.140625" style="189" customWidth="1"/>
    <col min="23" max="23" width="5.42578125" style="189" customWidth="1"/>
    <col min="24" max="24" width="5.28515625" style="189" customWidth="1"/>
    <col min="25" max="25" width="5.7109375" style="189" customWidth="1"/>
    <col min="26" max="26" width="4.140625" style="189" customWidth="1"/>
    <col min="27" max="27" width="5.42578125" style="189" customWidth="1"/>
    <col min="28" max="28" width="5.7109375" style="189" customWidth="1"/>
    <col min="29" max="29" width="6.140625" style="189" customWidth="1"/>
    <col min="30" max="35" width="3.28515625" style="189" customWidth="1"/>
    <col min="36" max="36" width="2.42578125" style="189" customWidth="1"/>
    <col min="37" max="16384" width="10.85546875" style="189" hidden="1"/>
  </cols>
  <sheetData>
    <row r="1" spans="1:36" ht="21.75" customHeight="1">
      <c r="A1" s="488"/>
      <c r="B1" s="489"/>
      <c r="C1" s="489"/>
      <c r="D1" s="489"/>
      <c r="E1" s="489"/>
      <c r="F1" s="489"/>
      <c r="G1" s="489"/>
      <c r="H1" s="489"/>
      <c r="I1" s="489"/>
      <c r="J1" s="489"/>
      <c r="K1" s="489"/>
      <c r="L1" s="490"/>
      <c r="M1" s="489"/>
      <c r="N1" s="489"/>
      <c r="O1" s="489"/>
      <c r="P1" s="488"/>
      <c r="Q1" s="491"/>
      <c r="R1" s="489"/>
      <c r="S1" s="489"/>
      <c r="T1" s="489"/>
      <c r="U1" s="489"/>
      <c r="V1" s="489"/>
      <c r="W1" s="489"/>
      <c r="X1" s="489"/>
      <c r="Y1" s="489"/>
      <c r="Z1" s="489"/>
      <c r="AA1" s="489"/>
      <c r="AB1" s="489"/>
      <c r="AC1" s="489"/>
      <c r="AD1" s="489"/>
      <c r="AE1" s="489"/>
      <c r="AF1" s="489"/>
      <c r="AG1" s="489"/>
      <c r="AH1" s="489"/>
      <c r="AI1" s="489"/>
      <c r="AJ1" s="489"/>
    </row>
    <row r="2" spans="1:36" s="170" customFormat="1" ht="18.75" customHeight="1">
      <c r="A2" s="423" t="s">
        <v>1825</v>
      </c>
      <c r="B2" s="322"/>
      <c r="C2" s="322"/>
      <c r="D2" s="322"/>
      <c r="E2" s="321"/>
      <c r="F2" s="324"/>
      <c r="G2" s="322"/>
      <c r="H2" s="324"/>
      <c r="I2" s="322"/>
      <c r="J2" s="322"/>
      <c r="K2" s="473"/>
      <c r="L2" s="474"/>
      <c r="M2" s="475"/>
      <c r="N2" s="475"/>
      <c r="O2" s="475"/>
      <c r="P2" s="475"/>
      <c r="Q2" s="483"/>
      <c r="R2" s="475"/>
      <c r="S2" s="475"/>
      <c r="T2" s="475"/>
      <c r="U2" s="475"/>
      <c r="V2" s="475"/>
      <c r="W2" s="475"/>
      <c r="X2" s="475"/>
      <c r="Y2" s="475"/>
      <c r="Z2" s="475"/>
      <c r="AA2" s="475"/>
      <c r="AB2" s="475"/>
      <c r="AC2" s="475"/>
      <c r="AD2" s="475"/>
      <c r="AE2" s="475"/>
      <c r="AF2" s="475"/>
      <c r="AG2" s="475"/>
      <c r="AH2" s="475"/>
      <c r="AI2" s="475"/>
      <c r="AJ2" s="475"/>
    </row>
    <row r="3" spans="1:36" s="170" customFormat="1" ht="18.75" customHeight="1">
      <c r="A3" s="423" t="s">
        <v>1829</v>
      </c>
      <c r="B3" s="322"/>
      <c r="C3" s="322"/>
      <c r="D3" s="322"/>
      <c r="E3" s="321"/>
      <c r="F3" s="324"/>
      <c r="G3" s="322"/>
      <c r="H3" s="324"/>
      <c r="I3" s="322"/>
      <c r="J3" s="322"/>
      <c r="K3" s="321"/>
      <c r="L3" s="474"/>
      <c r="M3" s="475"/>
      <c r="N3" s="475"/>
      <c r="O3" s="475"/>
      <c r="P3" s="475"/>
      <c r="Q3" s="483"/>
      <c r="R3" s="475"/>
      <c r="S3" s="475"/>
      <c r="T3" s="475"/>
      <c r="U3" s="475"/>
      <c r="V3" s="475"/>
      <c r="W3" s="475"/>
      <c r="X3" s="475"/>
      <c r="Y3" s="475"/>
      <c r="Z3" s="475"/>
      <c r="AA3" s="475"/>
      <c r="AB3" s="475"/>
      <c r="AC3" s="475"/>
      <c r="AD3" s="475"/>
      <c r="AE3" s="475"/>
      <c r="AF3" s="475"/>
      <c r="AG3" s="475"/>
      <c r="AH3" s="475"/>
      <c r="AI3" s="475"/>
      <c r="AJ3" s="475"/>
    </row>
    <row r="4" spans="1:36" s="170" customFormat="1" ht="20.25">
      <c r="A4" s="423" t="s">
        <v>1861</v>
      </c>
      <c r="B4" s="417"/>
      <c r="C4" s="417"/>
      <c r="D4" s="417"/>
      <c r="E4" s="321"/>
      <c r="F4" s="324"/>
      <c r="G4" s="324"/>
      <c r="H4" s="422"/>
      <c r="I4" s="417"/>
      <c r="J4" s="417"/>
      <c r="K4" s="417"/>
      <c r="L4" s="474"/>
      <c r="M4" s="475"/>
      <c r="N4" s="475"/>
      <c r="O4" s="475"/>
      <c r="P4" s="475"/>
      <c r="Q4" s="483"/>
      <c r="R4" s="475"/>
      <c r="S4" s="475"/>
      <c r="T4" s="475"/>
      <c r="U4" s="475"/>
      <c r="V4" s="475"/>
      <c r="W4" s="475"/>
      <c r="X4" s="475"/>
      <c r="Y4" s="475"/>
      <c r="Z4" s="475"/>
      <c r="AA4" s="475"/>
      <c r="AB4" s="475"/>
      <c r="AC4" s="475"/>
      <c r="AD4" s="475"/>
      <c r="AE4" s="475"/>
      <c r="AF4" s="475"/>
      <c r="AG4" s="475"/>
      <c r="AH4" s="475"/>
      <c r="AI4" s="475"/>
      <c r="AJ4" s="475"/>
    </row>
    <row r="5" spans="1:36" s="170" customFormat="1">
      <c r="A5" s="484" t="s">
        <v>1828</v>
      </c>
      <c r="B5" s="475"/>
      <c r="C5" s="475"/>
      <c r="D5" s="475"/>
      <c r="E5" s="475"/>
      <c r="F5" s="475"/>
      <c r="G5" s="475"/>
      <c r="H5" s="475"/>
      <c r="I5" s="475"/>
      <c r="J5" s="475"/>
      <c r="K5" s="475"/>
      <c r="L5" s="474"/>
      <c r="M5" s="475"/>
      <c r="N5" s="475"/>
      <c r="O5" s="475"/>
      <c r="P5" s="475"/>
      <c r="Q5" s="483"/>
      <c r="R5" s="475"/>
      <c r="S5" s="475"/>
      <c r="T5" s="475"/>
      <c r="U5" s="475"/>
      <c r="V5" s="475"/>
      <c r="W5" s="475"/>
      <c r="X5" s="475"/>
      <c r="Y5" s="475"/>
      <c r="Z5" s="475"/>
      <c r="AA5" s="475"/>
      <c r="AB5" s="475"/>
      <c r="AC5" s="475"/>
      <c r="AD5" s="475"/>
      <c r="AE5" s="475"/>
      <c r="AF5" s="475"/>
      <c r="AG5" s="475"/>
      <c r="AH5" s="475"/>
      <c r="AI5" s="475"/>
      <c r="AJ5" s="475"/>
    </row>
    <row r="6" spans="1:36" s="170" customFormat="1">
      <c r="A6" s="484"/>
      <c r="B6" s="475"/>
      <c r="C6" s="475"/>
      <c r="D6" s="475"/>
      <c r="E6" s="475"/>
      <c r="F6" s="475"/>
      <c r="G6" s="475"/>
      <c r="H6" s="475"/>
      <c r="I6" s="475"/>
      <c r="J6" s="475"/>
      <c r="K6" s="475"/>
      <c r="L6" s="474"/>
      <c r="M6" s="475"/>
      <c r="N6" s="475"/>
      <c r="O6" s="475"/>
      <c r="P6" s="475"/>
      <c r="Q6" s="483"/>
      <c r="R6" s="475"/>
      <c r="S6" s="475"/>
      <c r="T6" s="475"/>
      <c r="U6" s="475"/>
      <c r="V6" s="475"/>
      <c r="W6" s="475"/>
      <c r="X6" s="475"/>
      <c r="Y6" s="475"/>
      <c r="Z6" s="475"/>
      <c r="AA6" s="475"/>
      <c r="AB6" s="475"/>
      <c r="AC6" s="475"/>
      <c r="AD6" s="475"/>
      <c r="AE6" s="475"/>
      <c r="AF6" s="475"/>
      <c r="AG6" s="475"/>
      <c r="AH6" s="475"/>
      <c r="AI6" s="475"/>
      <c r="AJ6" s="475"/>
    </row>
    <row r="7" spans="1:36" s="170" customFormat="1">
      <c r="A7" s="484"/>
      <c r="B7" s="475"/>
      <c r="C7" s="475"/>
      <c r="D7" s="475"/>
      <c r="E7" s="475"/>
      <c r="F7" s="475"/>
      <c r="G7" s="475"/>
      <c r="H7" s="475"/>
      <c r="I7" s="475"/>
      <c r="J7" s="475"/>
      <c r="K7" s="475"/>
      <c r="L7" s="474"/>
      <c r="M7" s="475"/>
      <c r="N7" s="475"/>
      <c r="O7" s="475"/>
      <c r="P7" s="475"/>
      <c r="Q7" s="483"/>
      <c r="R7" s="475"/>
      <c r="S7" s="475"/>
      <c r="T7" s="475"/>
      <c r="U7" s="475"/>
      <c r="V7" s="475"/>
      <c r="W7" s="475"/>
      <c r="X7" s="475"/>
      <c r="Y7" s="475"/>
      <c r="Z7" s="475"/>
      <c r="AA7" s="475"/>
      <c r="AB7" s="475"/>
      <c r="AC7" s="475"/>
      <c r="AD7" s="475"/>
      <c r="AE7" s="475"/>
      <c r="AF7" s="475"/>
      <c r="AG7" s="475"/>
      <c r="AH7" s="475"/>
      <c r="AI7" s="475"/>
      <c r="AJ7" s="475"/>
    </row>
    <row r="8" spans="1:36" s="170" customFormat="1">
      <c r="A8" s="484"/>
      <c r="B8" s="475"/>
      <c r="C8" s="475"/>
      <c r="D8" s="475"/>
      <c r="E8" s="475"/>
      <c r="F8" s="475"/>
      <c r="G8" s="475"/>
      <c r="H8" s="475"/>
      <c r="I8" s="475"/>
      <c r="J8" s="475"/>
      <c r="K8" s="475"/>
      <c r="L8" s="474"/>
      <c r="M8" s="475"/>
      <c r="N8" s="475"/>
      <c r="O8" s="475"/>
      <c r="P8" s="475"/>
      <c r="Q8" s="483"/>
      <c r="R8" s="475"/>
      <c r="S8" s="475"/>
      <c r="T8" s="475"/>
      <c r="U8" s="475"/>
      <c r="V8" s="475"/>
      <c r="W8" s="475"/>
      <c r="X8" s="475"/>
      <c r="Y8" s="475"/>
      <c r="Z8" s="475"/>
      <c r="AA8" s="475"/>
      <c r="AB8" s="475"/>
      <c r="AC8" s="475"/>
      <c r="AD8" s="475"/>
      <c r="AE8" s="475"/>
      <c r="AF8" s="475"/>
      <c r="AG8" s="475"/>
      <c r="AH8" s="475"/>
      <c r="AI8" s="475"/>
      <c r="AJ8" s="475"/>
    </row>
    <row r="9" spans="1:36" s="170" customFormat="1" ht="12.75" thickBot="1">
      <c r="A9" s="475"/>
      <c r="B9" s="475"/>
      <c r="C9" s="475"/>
      <c r="D9" s="475"/>
      <c r="E9" s="475"/>
      <c r="F9" s="475"/>
      <c r="G9" s="475"/>
      <c r="H9" s="475"/>
      <c r="I9" s="475"/>
      <c r="J9" s="475"/>
      <c r="K9" s="475"/>
      <c r="L9" s="474"/>
      <c r="M9" s="475"/>
      <c r="N9" s="475"/>
      <c r="O9" s="475"/>
      <c r="P9" s="475"/>
      <c r="Q9" s="483"/>
      <c r="R9" s="475"/>
      <c r="S9" s="475"/>
      <c r="T9" s="475"/>
      <c r="U9" s="475"/>
      <c r="V9" s="475"/>
      <c r="W9" s="475"/>
      <c r="X9" s="475"/>
      <c r="Y9" s="475"/>
      <c r="Z9" s="475"/>
      <c r="AA9" s="475"/>
      <c r="AB9" s="475"/>
      <c r="AC9" s="475"/>
      <c r="AD9" s="475"/>
      <c r="AE9" s="475"/>
      <c r="AF9" s="475"/>
      <c r="AG9" s="475"/>
      <c r="AH9" s="475"/>
      <c r="AI9" s="475"/>
      <c r="AJ9" s="475"/>
    </row>
    <row r="10" spans="1:36" s="170" customFormat="1" ht="13.5" thickTop="1" thickBot="1">
      <c r="A10" s="327"/>
      <c r="B10" s="328"/>
      <c r="C10" s="327"/>
      <c r="D10" s="363"/>
      <c r="E10" s="363"/>
      <c r="F10" s="363"/>
      <c r="G10" s="364"/>
      <c r="H10" s="366" t="s">
        <v>1799</v>
      </c>
      <c r="I10" s="327"/>
      <c r="J10" s="363"/>
      <c r="K10" s="363"/>
      <c r="L10" s="368"/>
      <c r="M10" s="364"/>
      <c r="N10" s="327"/>
      <c r="O10" s="364"/>
      <c r="P10" s="327"/>
      <c r="Q10" s="364"/>
      <c r="R10" s="370"/>
      <c r="S10" s="362"/>
      <c r="T10" s="362"/>
      <c r="U10" s="362"/>
      <c r="V10" s="362"/>
      <c r="W10" s="362" t="s">
        <v>1804</v>
      </c>
      <c r="X10" s="362"/>
      <c r="Y10" s="362"/>
      <c r="Z10" s="362"/>
      <c r="AA10" s="362"/>
      <c r="AB10" s="371"/>
      <c r="AC10" s="372"/>
      <c r="AD10" s="374"/>
      <c r="AE10" s="375"/>
      <c r="AF10" s="375" t="s">
        <v>1806</v>
      </c>
      <c r="AG10" s="375"/>
      <c r="AH10" s="375"/>
      <c r="AI10" s="376"/>
      <c r="AJ10" s="66" t="s">
        <v>570</v>
      </c>
    </row>
    <row r="11" spans="1:36" s="170" customFormat="1" ht="13.5" thickTop="1" thickBot="1">
      <c r="A11" s="329" t="s">
        <v>1799</v>
      </c>
      <c r="B11" s="330"/>
      <c r="C11" s="329"/>
      <c r="D11" s="360"/>
      <c r="E11" s="360" t="s">
        <v>1800</v>
      </c>
      <c r="F11" s="360"/>
      <c r="G11" s="365"/>
      <c r="H11" s="367" t="s">
        <v>1801</v>
      </c>
      <c r="I11" s="329"/>
      <c r="J11" s="360" t="s">
        <v>1802</v>
      </c>
      <c r="K11" s="360"/>
      <c r="L11" s="369"/>
      <c r="M11" s="365"/>
      <c r="N11" s="329" t="s">
        <v>1803</v>
      </c>
      <c r="O11" s="365"/>
      <c r="P11" s="329" t="s">
        <v>1799</v>
      </c>
      <c r="Q11" s="365"/>
      <c r="R11" s="370"/>
      <c r="S11" s="362" t="s">
        <v>1859</v>
      </c>
      <c r="T11" s="362"/>
      <c r="U11" s="362"/>
      <c r="V11" s="373"/>
      <c r="W11" s="370"/>
      <c r="X11" s="362" t="s">
        <v>1860</v>
      </c>
      <c r="Y11" s="362"/>
      <c r="Z11" s="373"/>
      <c r="AA11" s="331"/>
      <c r="AB11" s="332"/>
      <c r="AC11" s="333"/>
      <c r="AD11" s="377"/>
      <c r="AE11" s="378"/>
      <c r="AF11" s="378" t="s">
        <v>1807</v>
      </c>
      <c r="AG11" s="378"/>
      <c r="AH11" s="378"/>
      <c r="AI11" s="379"/>
      <c r="AJ11" s="66" t="s">
        <v>571</v>
      </c>
    </row>
    <row r="12" spans="1:36" s="170" customFormat="1" ht="20.25" thickTop="1">
      <c r="A12" s="69"/>
      <c r="B12" s="67" t="s">
        <v>572</v>
      </c>
      <c r="C12" s="18" t="s">
        <v>573</v>
      </c>
      <c r="D12" s="18" t="s">
        <v>574</v>
      </c>
      <c r="E12" s="18" t="s">
        <v>575</v>
      </c>
      <c r="F12" s="18" t="s">
        <v>576</v>
      </c>
      <c r="G12" s="67" t="s">
        <v>577</v>
      </c>
      <c r="H12" s="67" t="s">
        <v>578</v>
      </c>
      <c r="I12" s="18" t="s">
        <v>579</v>
      </c>
      <c r="J12" s="18" t="s">
        <v>580</v>
      </c>
      <c r="K12" s="18" t="s">
        <v>581</v>
      </c>
      <c r="L12" s="130" t="s">
        <v>582</v>
      </c>
      <c r="M12" s="67" t="s">
        <v>583</v>
      </c>
      <c r="N12" s="18" t="s">
        <v>584</v>
      </c>
      <c r="O12" s="18" t="s">
        <v>585</v>
      </c>
      <c r="P12" s="69"/>
      <c r="Q12" s="67" t="s">
        <v>572</v>
      </c>
      <c r="R12" s="18" t="s">
        <v>586</v>
      </c>
      <c r="S12" s="18" t="s">
        <v>587</v>
      </c>
      <c r="T12" s="18" t="s">
        <v>588</v>
      </c>
      <c r="U12" s="18" t="s">
        <v>589</v>
      </c>
      <c r="V12" s="67" t="s">
        <v>590</v>
      </c>
      <c r="W12" s="18" t="s">
        <v>591</v>
      </c>
      <c r="X12" s="18" t="s">
        <v>592</v>
      </c>
      <c r="Y12" s="18" t="s">
        <v>593</v>
      </c>
      <c r="Z12" s="67" t="s">
        <v>594</v>
      </c>
      <c r="AA12" s="18" t="s">
        <v>595</v>
      </c>
      <c r="AB12" s="18" t="s">
        <v>1331</v>
      </c>
      <c r="AC12" s="172" t="s">
        <v>1332</v>
      </c>
      <c r="AD12" s="374"/>
      <c r="AE12" s="375"/>
      <c r="AF12" s="376"/>
      <c r="AG12" s="374"/>
      <c r="AH12" s="375"/>
      <c r="AI12" s="376"/>
      <c r="AJ12" s="66" t="s">
        <v>598</v>
      </c>
    </row>
    <row r="13" spans="1:36" s="170" customFormat="1" ht="18.75" thickBot="1">
      <c r="A13" s="69"/>
      <c r="B13" s="67" t="s">
        <v>599</v>
      </c>
      <c r="C13" s="18" t="s">
        <v>600</v>
      </c>
      <c r="D13" s="18" t="s">
        <v>601</v>
      </c>
      <c r="E13" s="18" t="s">
        <v>601</v>
      </c>
      <c r="F13" s="18" t="s">
        <v>601</v>
      </c>
      <c r="G13" s="67" t="s">
        <v>601</v>
      </c>
      <c r="H13" s="67" t="s">
        <v>602</v>
      </c>
      <c r="I13" s="18" t="s">
        <v>601</v>
      </c>
      <c r="J13" s="18" t="s">
        <v>601</v>
      </c>
      <c r="K13" s="18"/>
      <c r="L13" s="129" t="s">
        <v>601</v>
      </c>
      <c r="M13" s="67" t="s">
        <v>601</v>
      </c>
      <c r="N13" s="18" t="s">
        <v>603</v>
      </c>
      <c r="O13" s="18" t="s">
        <v>604</v>
      </c>
      <c r="P13" s="69"/>
      <c r="Q13" s="67" t="s">
        <v>599</v>
      </c>
      <c r="R13" s="18" t="s">
        <v>605</v>
      </c>
      <c r="S13" s="18" t="s">
        <v>606</v>
      </c>
      <c r="T13" s="18" t="s">
        <v>606</v>
      </c>
      <c r="U13" s="18" t="s">
        <v>607</v>
      </c>
      <c r="V13" s="67" t="s">
        <v>608</v>
      </c>
      <c r="W13" s="18" t="s">
        <v>609</v>
      </c>
      <c r="X13" s="18" t="s">
        <v>610</v>
      </c>
      <c r="Y13" s="18" t="s">
        <v>610</v>
      </c>
      <c r="Z13" s="67" t="s">
        <v>607</v>
      </c>
      <c r="AA13" s="18" t="s">
        <v>601</v>
      </c>
      <c r="AB13" s="18" t="s">
        <v>609</v>
      </c>
      <c r="AC13" s="172" t="s">
        <v>1333</v>
      </c>
      <c r="AD13" s="377"/>
      <c r="AE13" s="378" t="s">
        <v>1808</v>
      </c>
      <c r="AF13" s="379"/>
      <c r="AG13" s="377"/>
      <c r="AH13" s="378" t="s">
        <v>1809</v>
      </c>
      <c r="AI13" s="379"/>
      <c r="AJ13" s="66" t="s">
        <v>613</v>
      </c>
    </row>
    <row r="14" spans="1:36" s="170" customFormat="1" ht="13.5" thickTop="1" thickBot="1">
      <c r="A14" s="131"/>
      <c r="B14" s="132"/>
      <c r="C14" s="133"/>
      <c r="D14" s="133"/>
      <c r="E14" s="133"/>
      <c r="F14" s="133"/>
      <c r="G14" s="132"/>
      <c r="H14" s="132"/>
      <c r="I14" s="133"/>
      <c r="J14" s="133"/>
      <c r="K14" s="133"/>
      <c r="L14" s="134"/>
      <c r="M14" s="132"/>
      <c r="N14" s="133"/>
      <c r="O14" s="133"/>
      <c r="P14" s="131"/>
      <c r="Q14" s="132"/>
      <c r="R14" s="133"/>
      <c r="S14" s="133"/>
      <c r="T14" s="133"/>
      <c r="U14" s="133"/>
      <c r="V14" s="132"/>
      <c r="W14" s="133"/>
      <c r="X14" s="133"/>
      <c r="Y14" s="133"/>
      <c r="Z14" s="132"/>
      <c r="AA14" s="133"/>
      <c r="AB14" s="133"/>
      <c r="AC14" s="176"/>
      <c r="AD14" s="177">
        <v>235</v>
      </c>
      <c r="AE14" s="177">
        <v>355</v>
      </c>
      <c r="AF14" s="177">
        <v>460</v>
      </c>
      <c r="AG14" s="177">
        <v>235</v>
      </c>
      <c r="AH14" s="177">
        <v>355</v>
      </c>
      <c r="AI14" s="178">
        <v>460</v>
      </c>
      <c r="AJ14" s="66" t="s">
        <v>578</v>
      </c>
    </row>
    <row r="15" spans="1:36" s="170" customFormat="1" ht="12.75" thickTop="1">
      <c r="A15" s="69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29"/>
      <c r="M15" s="18"/>
      <c r="N15" s="18"/>
      <c r="O15" s="18"/>
      <c r="P15" s="69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17"/>
      <c r="AE15" s="117"/>
      <c r="AF15" s="117"/>
      <c r="AG15" s="117"/>
      <c r="AH15" s="117"/>
      <c r="AI15" s="117"/>
      <c r="AJ15" s="66" t="s">
        <v>614</v>
      </c>
    </row>
    <row r="16" spans="1:36" s="480" customFormat="1" ht="13.5" customHeight="1">
      <c r="A16" s="404" t="s">
        <v>1423</v>
      </c>
      <c r="B16" s="405">
        <v>44.9</v>
      </c>
      <c r="C16" s="398">
        <v>200.2</v>
      </c>
      <c r="D16" s="398">
        <v>205.9</v>
      </c>
      <c r="E16" s="398">
        <v>9.5</v>
      </c>
      <c r="F16" s="398">
        <v>9.5</v>
      </c>
      <c r="G16" s="399">
        <v>10.199999999999999</v>
      </c>
      <c r="H16" s="407">
        <v>57.23</v>
      </c>
      <c r="I16" s="406">
        <v>181.2</v>
      </c>
      <c r="J16" s="406">
        <v>160.80000000000001</v>
      </c>
      <c r="K16" s="398" t="s">
        <v>667</v>
      </c>
      <c r="L16" s="408">
        <v>90</v>
      </c>
      <c r="M16" s="409">
        <v>106</v>
      </c>
      <c r="N16" s="411">
        <v>1.19</v>
      </c>
      <c r="O16" s="411">
        <v>26.43</v>
      </c>
      <c r="P16" s="404" t="s">
        <v>1423</v>
      </c>
      <c r="Q16" s="405">
        <v>44.9</v>
      </c>
      <c r="R16" s="408">
        <v>4100</v>
      </c>
      <c r="S16" s="485">
        <v>409.6</v>
      </c>
      <c r="T16" s="406">
        <v>458.9</v>
      </c>
      <c r="U16" s="411">
        <v>8.4600000000000009</v>
      </c>
      <c r="V16" s="407">
        <v>20.95</v>
      </c>
      <c r="W16" s="408">
        <v>1384</v>
      </c>
      <c r="X16" s="406">
        <v>134.4</v>
      </c>
      <c r="Y16" s="406">
        <v>206.1</v>
      </c>
      <c r="Z16" s="407">
        <v>4.92</v>
      </c>
      <c r="AA16" s="411">
        <v>40.450000000000003</v>
      </c>
      <c r="AB16" s="398">
        <v>20.8</v>
      </c>
      <c r="AC16" s="439">
        <v>125.7</v>
      </c>
      <c r="AD16" s="398">
        <v>2</v>
      </c>
      <c r="AE16" s="398">
        <v>3</v>
      </c>
      <c r="AF16" s="399" t="s">
        <v>616</v>
      </c>
      <c r="AG16" s="398">
        <v>2</v>
      </c>
      <c r="AH16" s="398">
        <v>3</v>
      </c>
      <c r="AI16" s="400" t="s">
        <v>616</v>
      </c>
      <c r="AJ16" s="398"/>
    </row>
    <row r="17" spans="1:36" s="174" customFormat="1" ht="13.5" customHeight="1">
      <c r="A17" s="33" t="s">
        <v>1424</v>
      </c>
      <c r="B17" s="51">
        <v>53.9</v>
      </c>
      <c r="C17" s="21">
        <v>204</v>
      </c>
      <c r="D17" s="21">
        <v>207.7</v>
      </c>
      <c r="E17" s="21">
        <v>11.3</v>
      </c>
      <c r="F17" s="21">
        <v>11.4</v>
      </c>
      <c r="G17" s="43">
        <v>10.199999999999999</v>
      </c>
      <c r="H17" s="41">
        <v>68.72</v>
      </c>
      <c r="I17" s="36">
        <v>181.2</v>
      </c>
      <c r="J17" s="36">
        <v>160.80000000000001</v>
      </c>
      <c r="K17" s="21" t="s">
        <v>667</v>
      </c>
      <c r="L17" s="35">
        <v>94</v>
      </c>
      <c r="M17" s="38">
        <v>108</v>
      </c>
      <c r="N17" s="40">
        <v>1.2</v>
      </c>
      <c r="O17" s="40">
        <v>22.22</v>
      </c>
      <c r="P17" s="33" t="s">
        <v>1424</v>
      </c>
      <c r="Q17" s="51">
        <v>53.9</v>
      </c>
      <c r="R17" s="35">
        <v>5027</v>
      </c>
      <c r="S17" s="179">
        <v>492.8</v>
      </c>
      <c r="T17" s="36">
        <v>556.70000000000005</v>
      </c>
      <c r="U17" s="40">
        <v>8.5500000000000007</v>
      </c>
      <c r="V17" s="41">
        <v>24.98</v>
      </c>
      <c r="W17" s="35">
        <v>1705</v>
      </c>
      <c r="X17" s="36">
        <v>164.2</v>
      </c>
      <c r="Y17" s="36">
        <v>252.4</v>
      </c>
      <c r="Z17" s="41">
        <v>4.9800000000000004</v>
      </c>
      <c r="AA17" s="40">
        <v>46.05</v>
      </c>
      <c r="AB17" s="21">
        <v>34.97</v>
      </c>
      <c r="AC17" s="50">
        <v>157.9</v>
      </c>
      <c r="AD17" s="21">
        <v>1</v>
      </c>
      <c r="AE17" s="21">
        <v>3</v>
      </c>
      <c r="AF17" s="43" t="s">
        <v>616</v>
      </c>
      <c r="AG17" s="21">
        <v>1</v>
      </c>
      <c r="AH17" s="21">
        <v>3</v>
      </c>
      <c r="AI17" s="42" t="s">
        <v>616</v>
      </c>
      <c r="AJ17" s="21"/>
    </row>
    <row r="18" spans="1:36" s="174" customFormat="1" ht="13.5" customHeight="1">
      <c r="A18" s="33"/>
      <c r="B18" s="51"/>
      <c r="C18" s="21"/>
      <c r="D18" s="21"/>
      <c r="E18" s="21"/>
      <c r="F18" s="21"/>
      <c r="G18" s="43"/>
      <c r="H18" s="41"/>
      <c r="I18" s="36"/>
      <c r="J18" s="36"/>
      <c r="K18" s="21"/>
      <c r="L18" s="35"/>
      <c r="M18" s="38"/>
      <c r="N18" s="40"/>
      <c r="O18" s="40"/>
      <c r="P18" s="33"/>
      <c r="Q18" s="51"/>
      <c r="R18" s="35"/>
      <c r="S18" s="179"/>
      <c r="T18" s="36"/>
      <c r="U18" s="40"/>
      <c r="V18" s="41"/>
      <c r="W18" s="35"/>
      <c r="X18" s="36"/>
      <c r="Y18" s="36"/>
      <c r="Z18" s="41"/>
      <c r="AA18" s="40"/>
      <c r="AB18" s="21"/>
      <c r="AC18" s="50"/>
      <c r="AD18" s="21"/>
      <c r="AE18" s="21"/>
      <c r="AF18" s="43"/>
      <c r="AG18" s="21"/>
      <c r="AH18" s="21"/>
      <c r="AI18" s="42"/>
      <c r="AJ18" s="21"/>
    </row>
    <row r="19" spans="1:36" s="480" customFormat="1" ht="13.5" customHeight="1">
      <c r="A19" s="404" t="s">
        <v>1425</v>
      </c>
      <c r="B19" s="405">
        <v>63</v>
      </c>
      <c r="C19" s="398">
        <v>247.1</v>
      </c>
      <c r="D19" s="398">
        <v>256.60000000000002</v>
      </c>
      <c r="E19" s="398">
        <v>10.6</v>
      </c>
      <c r="F19" s="398">
        <v>10.7</v>
      </c>
      <c r="G19" s="399">
        <v>12.7</v>
      </c>
      <c r="H19" s="407">
        <v>80.22</v>
      </c>
      <c r="I19" s="406">
        <v>225.7</v>
      </c>
      <c r="J19" s="406">
        <v>200.3</v>
      </c>
      <c r="K19" s="398" t="s">
        <v>667</v>
      </c>
      <c r="L19" s="408">
        <v>102</v>
      </c>
      <c r="M19" s="409">
        <v>154</v>
      </c>
      <c r="N19" s="411">
        <v>1.48</v>
      </c>
      <c r="O19" s="411">
        <v>23.46</v>
      </c>
      <c r="P19" s="404" t="s">
        <v>1425</v>
      </c>
      <c r="Q19" s="405">
        <v>63</v>
      </c>
      <c r="R19" s="408">
        <v>8860</v>
      </c>
      <c r="S19" s="485">
        <v>717.2</v>
      </c>
      <c r="T19" s="406">
        <v>799.3</v>
      </c>
      <c r="U19" s="411">
        <v>10.51</v>
      </c>
      <c r="V19" s="407">
        <v>29.16</v>
      </c>
      <c r="W19" s="408">
        <v>3016</v>
      </c>
      <c r="X19" s="406">
        <v>235.1</v>
      </c>
      <c r="Y19" s="406">
        <v>359.7</v>
      </c>
      <c r="Z19" s="407">
        <v>6.13</v>
      </c>
      <c r="AA19" s="411">
        <v>46.88</v>
      </c>
      <c r="AB19" s="398">
        <v>37.200000000000003</v>
      </c>
      <c r="AC19" s="439">
        <v>421</v>
      </c>
      <c r="AD19" s="398">
        <v>3</v>
      </c>
      <c r="AE19" s="398">
        <v>3</v>
      </c>
      <c r="AF19" s="399" t="s">
        <v>616</v>
      </c>
      <c r="AG19" s="398">
        <v>3</v>
      </c>
      <c r="AH19" s="398">
        <v>3</v>
      </c>
      <c r="AI19" s="400" t="s">
        <v>616</v>
      </c>
      <c r="AJ19" s="398"/>
    </row>
    <row r="20" spans="1:36" s="174" customFormat="1" ht="13.5" customHeight="1">
      <c r="A20" s="33" t="s">
        <v>1426</v>
      </c>
      <c r="B20" s="51">
        <v>71</v>
      </c>
      <c r="C20" s="21">
        <v>249.7</v>
      </c>
      <c r="D20" s="21">
        <v>258</v>
      </c>
      <c r="E20" s="21">
        <v>12</v>
      </c>
      <c r="F20" s="21">
        <v>12</v>
      </c>
      <c r="G20" s="43">
        <v>12.7</v>
      </c>
      <c r="H20" s="41">
        <v>90.39</v>
      </c>
      <c r="I20" s="36">
        <v>225.7</v>
      </c>
      <c r="J20" s="36">
        <v>200.3</v>
      </c>
      <c r="K20" s="21" t="s">
        <v>667</v>
      </c>
      <c r="L20" s="35">
        <v>104</v>
      </c>
      <c r="M20" s="38">
        <v>156</v>
      </c>
      <c r="N20" s="40">
        <v>1.49</v>
      </c>
      <c r="O20" s="40">
        <v>20.94</v>
      </c>
      <c r="P20" s="33" t="s">
        <v>1426</v>
      </c>
      <c r="Q20" s="51">
        <v>71</v>
      </c>
      <c r="R20" s="35">
        <v>10070</v>
      </c>
      <c r="S20" s="179">
        <v>806.7</v>
      </c>
      <c r="T20" s="36">
        <v>904</v>
      </c>
      <c r="U20" s="40">
        <v>10.56</v>
      </c>
      <c r="V20" s="41">
        <v>32.96</v>
      </c>
      <c r="W20" s="35">
        <v>3439</v>
      </c>
      <c r="X20" s="36">
        <v>266.60000000000002</v>
      </c>
      <c r="Y20" s="36">
        <v>408.7</v>
      </c>
      <c r="Z20" s="41">
        <v>6.17</v>
      </c>
      <c r="AA20" s="40">
        <v>50.88</v>
      </c>
      <c r="AB20" s="21">
        <v>52.27</v>
      </c>
      <c r="AC20" s="50">
        <v>485.2</v>
      </c>
      <c r="AD20" s="21">
        <v>2</v>
      </c>
      <c r="AE20" s="21">
        <v>3</v>
      </c>
      <c r="AF20" s="43" t="s">
        <v>616</v>
      </c>
      <c r="AG20" s="21">
        <v>2</v>
      </c>
      <c r="AH20" s="21">
        <v>3</v>
      </c>
      <c r="AI20" s="42" t="s">
        <v>616</v>
      </c>
      <c r="AJ20" s="21"/>
    </row>
    <row r="21" spans="1:36" s="486" customFormat="1" ht="13.5" customHeight="1">
      <c r="A21" s="404" t="s">
        <v>1427</v>
      </c>
      <c r="B21" s="405">
        <v>85.1</v>
      </c>
      <c r="C21" s="398">
        <v>254.3</v>
      </c>
      <c r="D21" s="398">
        <v>260.39999999999998</v>
      </c>
      <c r="E21" s="398">
        <v>14.4</v>
      </c>
      <c r="F21" s="398">
        <v>14.3</v>
      </c>
      <c r="G21" s="399">
        <v>12.7</v>
      </c>
      <c r="H21" s="405">
        <v>108.4</v>
      </c>
      <c r="I21" s="406">
        <v>225.7</v>
      </c>
      <c r="J21" s="406">
        <v>200.3</v>
      </c>
      <c r="K21" s="398" t="s">
        <v>667</v>
      </c>
      <c r="L21" s="408">
        <v>106</v>
      </c>
      <c r="M21" s="409">
        <v>158</v>
      </c>
      <c r="N21" s="411">
        <v>1.5</v>
      </c>
      <c r="O21" s="411">
        <v>17.63</v>
      </c>
      <c r="P21" s="404" t="s">
        <v>1427</v>
      </c>
      <c r="Q21" s="405">
        <v>85.1</v>
      </c>
      <c r="R21" s="408">
        <v>12280</v>
      </c>
      <c r="S21" s="406">
        <v>966.1</v>
      </c>
      <c r="T21" s="408">
        <v>1092</v>
      </c>
      <c r="U21" s="411">
        <v>10.65</v>
      </c>
      <c r="V21" s="407">
        <v>39.58</v>
      </c>
      <c r="W21" s="408">
        <v>4215</v>
      </c>
      <c r="X21" s="406">
        <v>323.8</v>
      </c>
      <c r="Y21" s="406">
        <v>497.9</v>
      </c>
      <c r="Z21" s="407">
        <v>6.24</v>
      </c>
      <c r="AA21" s="411">
        <v>57.88</v>
      </c>
      <c r="AB21" s="398">
        <v>87.82</v>
      </c>
      <c r="AC21" s="439">
        <v>606</v>
      </c>
      <c r="AD21" s="398">
        <v>1</v>
      </c>
      <c r="AE21" s="398">
        <v>3</v>
      </c>
      <c r="AF21" s="399" t="s">
        <v>616</v>
      </c>
      <c r="AG21" s="398">
        <v>1</v>
      </c>
      <c r="AH21" s="398">
        <v>3</v>
      </c>
      <c r="AI21" s="400" t="s">
        <v>616</v>
      </c>
      <c r="AJ21" s="398" t="s">
        <v>661</v>
      </c>
    </row>
    <row r="22" spans="1:36" s="46" customFormat="1" ht="13.5" customHeight="1">
      <c r="A22" s="33"/>
      <c r="B22" s="51"/>
      <c r="C22" s="21"/>
      <c r="D22" s="21"/>
      <c r="E22" s="21"/>
      <c r="F22" s="21"/>
      <c r="G22" s="43"/>
      <c r="H22" s="51"/>
      <c r="I22" s="36"/>
      <c r="J22" s="36"/>
      <c r="K22" s="21"/>
      <c r="L22" s="35"/>
      <c r="M22" s="38"/>
      <c r="N22" s="40"/>
      <c r="O22" s="40"/>
      <c r="P22" s="33"/>
      <c r="Q22" s="51"/>
      <c r="R22" s="35"/>
      <c r="S22" s="35"/>
      <c r="T22" s="35"/>
      <c r="U22" s="40"/>
      <c r="V22" s="41"/>
      <c r="W22" s="35"/>
      <c r="X22" s="36"/>
      <c r="Y22" s="36"/>
      <c r="Z22" s="41"/>
      <c r="AA22" s="40"/>
      <c r="AB22" s="21"/>
      <c r="AC22" s="52"/>
      <c r="AD22" s="21"/>
      <c r="AE22" s="21"/>
      <c r="AF22" s="43"/>
      <c r="AG22" s="21"/>
      <c r="AH22" s="21"/>
      <c r="AI22" s="42"/>
      <c r="AJ22" s="21"/>
    </row>
    <row r="23" spans="1:36" s="443" customFormat="1" ht="13.5" customHeight="1">
      <c r="A23" s="404" t="s">
        <v>1428</v>
      </c>
      <c r="B23" s="405">
        <v>78.900000000000006</v>
      </c>
      <c r="C23" s="398">
        <v>299.3</v>
      </c>
      <c r="D23" s="398">
        <v>306.39999999999998</v>
      </c>
      <c r="E23" s="398">
        <v>11</v>
      </c>
      <c r="F23" s="398">
        <v>11.1</v>
      </c>
      <c r="G23" s="399">
        <v>15.2</v>
      </c>
      <c r="H23" s="405">
        <v>100.5</v>
      </c>
      <c r="I23" s="406">
        <v>277.10000000000002</v>
      </c>
      <c r="J23" s="406">
        <v>246.7</v>
      </c>
      <c r="K23" s="398" t="s">
        <v>667</v>
      </c>
      <c r="L23" s="408">
        <v>102</v>
      </c>
      <c r="M23" s="409">
        <v>204</v>
      </c>
      <c r="N23" s="411">
        <v>1.78</v>
      </c>
      <c r="O23" s="411">
        <v>22.52</v>
      </c>
      <c r="P23" s="404" t="s">
        <v>1428</v>
      </c>
      <c r="Q23" s="405">
        <v>78.900000000000006</v>
      </c>
      <c r="R23" s="408">
        <v>16440</v>
      </c>
      <c r="S23" s="408">
        <v>1099</v>
      </c>
      <c r="T23" s="408">
        <v>1218</v>
      </c>
      <c r="U23" s="411">
        <v>12.79</v>
      </c>
      <c r="V23" s="407">
        <v>37.06</v>
      </c>
      <c r="W23" s="408">
        <v>5326</v>
      </c>
      <c r="X23" s="406">
        <v>347.7</v>
      </c>
      <c r="Y23" s="406">
        <v>531.20000000000005</v>
      </c>
      <c r="Z23" s="407">
        <v>7.28</v>
      </c>
      <c r="AA23" s="411">
        <v>51.01</v>
      </c>
      <c r="AB23" s="398">
        <v>51.37</v>
      </c>
      <c r="AC23" s="487">
        <v>1105</v>
      </c>
      <c r="AD23" s="398">
        <v>3</v>
      </c>
      <c r="AE23" s="398">
        <v>4</v>
      </c>
      <c r="AF23" s="399" t="s">
        <v>616</v>
      </c>
      <c r="AG23" s="398">
        <v>3</v>
      </c>
      <c r="AH23" s="398">
        <v>4</v>
      </c>
      <c r="AI23" s="400" t="s">
        <v>616</v>
      </c>
      <c r="AJ23" s="398"/>
    </row>
    <row r="24" spans="1:36" s="46" customFormat="1" ht="13.5" customHeight="1">
      <c r="A24" s="33" t="s">
        <v>1429</v>
      </c>
      <c r="B24" s="51">
        <v>88</v>
      </c>
      <c r="C24" s="21">
        <v>301.7</v>
      </c>
      <c r="D24" s="21">
        <v>307.8</v>
      </c>
      <c r="E24" s="21">
        <v>12.4</v>
      </c>
      <c r="F24" s="21">
        <v>12.3</v>
      </c>
      <c r="G24" s="43">
        <v>15.2</v>
      </c>
      <c r="H24" s="51">
        <v>112.1</v>
      </c>
      <c r="I24" s="36">
        <v>277.10000000000002</v>
      </c>
      <c r="J24" s="36">
        <v>246.7</v>
      </c>
      <c r="K24" s="21" t="s">
        <v>667</v>
      </c>
      <c r="L24" s="35">
        <v>104</v>
      </c>
      <c r="M24" s="38">
        <v>206</v>
      </c>
      <c r="N24" s="40">
        <v>1.78</v>
      </c>
      <c r="O24" s="40">
        <v>20.28</v>
      </c>
      <c r="P24" s="33" t="s">
        <v>1429</v>
      </c>
      <c r="Q24" s="51">
        <v>88</v>
      </c>
      <c r="R24" s="35">
        <v>18420</v>
      </c>
      <c r="S24" s="35">
        <v>1221</v>
      </c>
      <c r="T24" s="35">
        <v>1360</v>
      </c>
      <c r="U24" s="40">
        <v>12.82</v>
      </c>
      <c r="V24" s="41">
        <v>41.61</v>
      </c>
      <c r="W24" s="35">
        <v>5984</v>
      </c>
      <c r="X24" s="36">
        <v>388.9</v>
      </c>
      <c r="Y24" s="36">
        <v>595.20000000000005</v>
      </c>
      <c r="Z24" s="41">
        <v>7.31</v>
      </c>
      <c r="AA24" s="40">
        <v>54.81</v>
      </c>
      <c r="AB24" s="21">
        <v>70.05</v>
      </c>
      <c r="AC24" s="52">
        <v>1252</v>
      </c>
      <c r="AD24" s="21">
        <v>3</v>
      </c>
      <c r="AE24" s="21">
        <v>4</v>
      </c>
      <c r="AF24" s="43" t="s">
        <v>616</v>
      </c>
      <c r="AG24" s="21">
        <v>3</v>
      </c>
      <c r="AH24" s="21">
        <v>4</v>
      </c>
      <c r="AI24" s="42" t="s">
        <v>616</v>
      </c>
      <c r="AJ24" s="21"/>
    </row>
    <row r="25" spans="1:36" s="443" customFormat="1" ht="13.5" customHeight="1">
      <c r="A25" s="404" t="s">
        <v>1430</v>
      </c>
      <c r="B25" s="405">
        <v>94.9</v>
      </c>
      <c r="C25" s="398">
        <v>303.7</v>
      </c>
      <c r="D25" s="398">
        <v>308.7</v>
      </c>
      <c r="E25" s="398">
        <v>13.3</v>
      </c>
      <c r="F25" s="398">
        <v>13.3</v>
      </c>
      <c r="G25" s="399">
        <v>15.2</v>
      </c>
      <c r="H25" s="405">
        <v>120.9</v>
      </c>
      <c r="I25" s="406">
        <v>277.10000000000002</v>
      </c>
      <c r="J25" s="406">
        <v>246.7</v>
      </c>
      <c r="K25" s="398" t="s">
        <v>667</v>
      </c>
      <c r="L25" s="408">
        <v>106</v>
      </c>
      <c r="M25" s="409">
        <v>206</v>
      </c>
      <c r="N25" s="411">
        <v>1.79</v>
      </c>
      <c r="O25" s="411">
        <v>18.850000000000001</v>
      </c>
      <c r="P25" s="404" t="s">
        <v>1430</v>
      </c>
      <c r="Q25" s="405">
        <v>94.9</v>
      </c>
      <c r="R25" s="408">
        <v>20040</v>
      </c>
      <c r="S25" s="408">
        <v>1320</v>
      </c>
      <c r="T25" s="408">
        <v>1474</v>
      </c>
      <c r="U25" s="411">
        <v>12.87</v>
      </c>
      <c r="V25" s="407">
        <v>44.65</v>
      </c>
      <c r="W25" s="408">
        <v>6529</v>
      </c>
      <c r="X25" s="406">
        <v>423</v>
      </c>
      <c r="Y25" s="406">
        <v>648</v>
      </c>
      <c r="Z25" s="407">
        <v>7.35</v>
      </c>
      <c r="AA25" s="411">
        <v>57.71</v>
      </c>
      <c r="AB25" s="398">
        <v>86.69</v>
      </c>
      <c r="AC25" s="487">
        <v>1375</v>
      </c>
      <c r="AD25" s="398">
        <v>3</v>
      </c>
      <c r="AE25" s="398">
        <v>3</v>
      </c>
      <c r="AF25" s="399" t="s">
        <v>616</v>
      </c>
      <c r="AG25" s="398">
        <v>3</v>
      </c>
      <c r="AH25" s="398">
        <v>3</v>
      </c>
      <c r="AI25" s="400" t="s">
        <v>616</v>
      </c>
      <c r="AJ25" s="398"/>
    </row>
    <row r="26" spans="1:36" s="46" customFormat="1" ht="13.5" customHeight="1">
      <c r="A26" s="33" t="s">
        <v>1431</v>
      </c>
      <c r="B26" s="38">
        <v>110</v>
      </c>
      <c r="C26" s="21">
        <v>307.89999999999998</v>
      </c>
      <c r="D26" s="21">
        <v>310.7</v>
      </c>
      <c r="E26" s="21">
        <v>15.3</v>
      </c>
      <c r="F26" s="21">
        <v>15.4</v>
      </c>
      <c r="G26" s="43">
        <v>15.2</v>
      </c>
      <c r="H26" s="51">
        <v>140.1</v>
      </c>
      <c r="I26" s="36">
        <v>277.10000000000002</v>
      </c>
      <c r="J26" s="36">
        <v>246.7</v>
      </c>
      <c r="K26" s="21" t="s">
        <v>667</v>
      </c>
      <c r="L26" s="35">
        <v>108</v>
      </c>
      <c r="M26" s="38">
        <v>208</v>
      </c>
      <c r="N26" s="40">
        <v>1.8</v>
      </c>
      <c r="O26" s="40">
        <v>16.39</v>
      </c>
      <c r="P26" s="33" t="s">
        <v>1431</v>
      </c>
      <c r="Q26" s="38">
        <v>110</v>
      </c>
      <c r="R26" s="35">
        <v>23560</v>
      </c>
      <c r="S26" s="35">
        <v>1531</v>
      </c>
      <c r="T26" s="35">
        <v>1720</v>
      </c>
      <c r="U26" s="40">
        <v>12.97</v>
      </c>
      <c r="V26" s="41">
        <v>51.42</v>
      </c>
      <c r="W26" s="35">
        <v>7709</v>
      </c>
      <c r="X26" s="36">
        <v>496.2</v>
      </c>
      <c r="Y26" s="36">
        <v>761.7</v>
      </c>
      <c r="Z26" s="41">
        <v>7.42</v>
      </c>
      <c r="AA26" s="40">
        <v>63.91</v>
      </c>
      <c r="AB26" s="21">
        <v>131.4</v>
      </c>
      <c r="AC26" s="52">
        <v>1647</v>
      </c>
      <c r="AD26" s="21">
        <v>2</v>
      </c>
      <c r="AE26" s="21">
        <v>3</v>
      </c>
      <c r="AF26" s="43" t="s">
        <v>616</v>
      </c>
      <c r="AG26" s="21">
        <v>2</v>
      </c>
      <c r="AH26" s="21">
        <v>3</v>
      </c>
      <c r="AI26" s="42" t="s">
        <v>616</v>
      </c>
      <c r="AJ26" s="21" t="s">
        <v>661</v>
      </c>
    </row>
    <row r="27" spans="1:36" s="443" customFormat="1" ht="13.5" customHeight="1">
      <c r="A27" s="404" t="s">
        <v>1432</v>
      </c>
      <c r="B27" s="409">
        <v>126</v>
      </c>
      <c r="C27" s="398">
        <v>312.3</v>
      </c>
      <c r="D27" s="398">
        <v>312.89999999999998</v>
      </c>
      <c r="E27" s="398">
        <v>17.5</v>
      </c>
      <c r="F27" s="398">
        <v>17.600000000000001</v>
      </c>
      <c r="G27" s="399">
        <v>15.2</v>
      </c>
      <c r="H27" s="405">
        <v>160.6</v>
      </c>
      <c r="I27" s="406">
        <v>277.10000000000002</v>
      </c>
      <c r="J27" s="406">
        <v>246.7</v>
      </c>
      <c r="K27" s="398" t="s">
        <v>667</v>
      </c>
      <c r="L27" s="408">
        <v>110</v>
      </c>
      <c r="M27" s="409">
        <v>210</v>
      </c>
      <c r="N27" s="411">
        <v>1.82</v>
      </c>
      <c r="O27" s="411">
        <v>14.4</v>
      </c>
      <c r="P27" s="404" t="s">
        <v>1432</v>
      </c>
      <c r="Q27" s="409">
        <v>126</v>
      </c>
      <c r="R27" s="408">
        <v>27410</v>
      </c>
      <c r="S27" s="408">
        <v>1755</v>
      </c>
      <c r="T27" s="408">
        <v>1986</v>
      </c>
      <c r="U27" s="411">
        <v>13.06</v>
      </c>
      <c r="V27" s="407">
        <v>58.91</v>
      </c>
      <c r="W27" s="408">
        <v>9002</v>
      </c>
      <c r="X27" s="406">
        <v>575.4</v>
      </c>
      <c r="Y27" s="406">
        <v>885.2</v>
      </c>
      <c r="Z27" s="407">
        <v>7.49</v>
      </c>
      <c r="AA27" s="411">
        <v>70.510000000000005</v>
      </c>
      <c r="AB27" s="398">
        <v>194.3</v>
      </c>
      <c r="AC27" s="487">
        <v>1951</v>
      </c>
      <c r="AD27" s="398">
        <v>1</v>
      </c>
      <c r="AE27" s="398">
        <v>2</v>
      </c>
      <c r="AF27" s="399" t="s">
        <v>616</v>
      </c>
      <c r="AG27" s="398">
        <v>1</v>
      </c>
      <c r="AH27" s="398">
        <v>2</v>
      </c>
      <c r="AI27" s="400" t="s">
        <v>616</v>
      </c>
      <c r="AJ27" s="398" t="s">
        <v>661</v>
      </c>
    </row>
    <row r="28" spans="1:36" s="46" customFormat="1" ht="13.5" customHeight="1">
      <c r="A28" s="33" t="s">
        <v>1433</v>
      </c>
      <c r="B28" s="38">
        <v>149</v>
      </c>
      <c r="C28" s="21">
        <v>318.5</v>
      </c>
      <c r="D28" s="21">
        <v>316</v>
      </c>
      <c r="E28" s="21">
        <v>20.6</v>
      </c>
      <c r="F28" s="21">
        <v>20.7</v>
      </c>
      <c r="G28" s="43">
        <v>15.2</v>
      </c>
      <c r="H28" s="51">
        <v>189.9</v>
      </c>
      <c r="I28" s="36">
        <v>277.10000000000002</v>
      </c>
      <c r="J28" s="36">
        <v>246.7</v>
      </c>
      <c r="K28" s="21" t="s">
        <v>667</v>
      </c>
      <c r="L28" s="35">
        <v>114</v>
      </c>
      <c r="M28" s="38">
        <v>214</v>
      </c>
      <c r="N28" s="40">
        <v>1.83</v>
      </c>
      <c r="O28" s="40">
        <v>12.3</v>
      </c>
      <c r="P28" s="33" t="s">
        <v>1433</v>
      </c>
      <c r="Q28" s="38">
        <v>149</v>
      </c>
      <c r="R28" s="35">
        <v>33070</v>
      </c>
      <c r="S28" s="35">
        <v>2076</v>
      </c>
      <c r="T28" s="35">
        <v>2370</v>
      </c>
      <c r="U28" s="40">
        <v>13.2</v>
      </c>
      <c r="V28" s="41">
        <v>69.62</v>
      </c>
      <c r="W28" s="35">
        <v>10910</v>
      </c>
      <c r="X28" s="36">
        <v>690.5</v>
      </c>
      <c r="Y28" s="35">
        <v>1066</v>
      </c>
      <c r="Z28" s="41">
        <v>7.58</v>
      </c>
      <c r="AA28" s="36">
        <v>79.81</v>
      </c>
      <c r="AB28" s="21">
        <v>314.2</v>
      </c>
      <c r="AC28" s="52">
        <v>2414</v>
      </c>
      <c r="AD28" s="21">
        <v>1</v>
      </c>
      <c r="AE28" s="21">
        <v>1</v>
      </c>
      <c r="AF28" s="43" t="s">
        <v>616</v>
      </c>
      <c r="AG28" s="21">
        <v>1</v>
      </c>
      <c r="AH28" s="21">
        <v>1</v>
      </c>
      <c r="AI28" s="42" t="s">
        <v>616</v>
      </c>
      <c r="AJ28" s="21" t="s">
        <v>661</v>
      </c>
    </row>
    <row r="29" spans="1:36" s="443" customFormat="1" ht="13.5" customHeight="1">
      <c r="A29" s="404" t="s">
        <v>1434</v>
      </c>
      <c r="B29" s="409">
        <v>186</v>
      </c>
      <c r="C29" s="398">
        <v>328.3</v>
      </c>
      <c r="D29" s="398">
        <v>320.89999999999998</v>
      </c>
      <c r="E29" s="398">
        <v>25.5</v>
      </c>
      <c r="F29" s="398">
        <v>25.6</v>
      </c>
      <c r="G29" s="399">
        <v>15.2</v>
      </c>
      <c r="H29" s="405">
        <v>236.9</v>
      </c>
      <c r="I29" s="406">
        <v>277.10000000000002</v>
      </c>
      <c r="J29" s="406">
        <v>246.7</v>
      </c>
      <c r="K29" s="398" t="s">
        <v>667</v>
      </c>
      <c r="L29" s="408">
        <v>118</v>
      </c>
      <c r="M29" s="409">
        <v>218</v>
      </c>
      <c r="N29" s="411">
        <v>1.86</v>
      </c>
      <c r="O29" s="411">
        <v>10.02</v>
      </c>
      <c r="P29" s="404" t="s">
        <v>1434</v>
      </c>
      <c r="Q29" s="409">
        <v>186</v>
      </c>
      <c r="R29" s="408">
        <v>42610</v>
      </c>
      <c r="S29" s="408">
        <v>2596</v>
      </c>
      <c r="T29" s="408">
        <v>3003</v>
      </c>
      <c r="U29" s="411">
        <v>13.41</v>
      </c>
      <c r="V29" s="407">
        <v>86.95</v>
      </c>
      <c r="W29" s="408">
        <v>14140</v>
      </c>
      <c r="X29" s="406">
        <v>881.5</v>
      </c>
      <c r="Y29" s="408">
        <v>1366</v>
      </c>
      <c r="Z29" s="407">
        <v>7.73</v>
      </c>
      <c r="AA29" s="411">
        <v>94.51</v>
      </c>
      <c r="AB29" s="398">
        <v>593.70000000000005</v>
      </c>
      <c r="AC29" s="487">
        <v>3230</v>
      </c>
      <c r="AD29" s="398">
        <v>1</v>
      </c>
      <c r="AE29" s="398">
        <v>1</v>
      </c>
      <c r="AF29" s="399" t="s">
        <v>616</v>
      </c>
      <c r="AG29" s="398">
        <v>1</v>
      </c>
      <c r="AH29" s="398">
        <v>1</v>
      </c>
      <c r="AI29" s="400" t="s">
        <v>616</v>
      </c>
      <c r="AJ29" s="398" t="s">
        <v>661</v>
      </c>
    </row>
    <row r="30" spans="1:36" s="46" customFormat="1" ht="13.5" customHeight="1">
      <c r="A30" s="33" t="s">
        <v>1435</v>
      </c>
      <c r="B30" s="38">
        <v>223</v>
      </c>
      <c r="C30" s="21">
        <v>337.9</v>
      </c>
      <c r="D30" s="21">
        <v>325.7</v>
      </c>
      <c r="E30" s="21">
        <v>30.3</v>
      </c>
      <c r="F30" s="21">
        <v>30.4</v>
      </c>
      <c r="G30" s="43">
        <v>15.2</v>
      </c>
      <c r="H30" s="51">
        <v>284</v>
      </c>
      <c r="I30" s="36">
        <v>277.10000000000002</v>
      </c>
      <c r="J30" s="36">
        <v>246.7</v>
      </c>
      <c r="K30" s="21" t="s">
        <v>667</v>
      </c>
      <c r="L30" s="35">
        <v>124</v>
      </c>
      <c r="M30" s="38">
        <v>220</v>
      </c>
      <c r="N30" s="40">
        <v>1.89</v>
      </c>
      <c r="O30" s="40">
        <v>8.49</v>
      </c>
      <c r="P30" s="33" t="s">
        <v>1435</v>
      </c>
      <c r="Q30" s="38">
        <v>223</v>
      </c>
      <c r="R30" s="35">
        <v>52700</v>
      </c>
      <c r="S30" s="35">
        <v>3119</v>
      </c>
      <c r="T30" s="35">
        <v>3653</v>
      </c>
      <c r="U30" s="40">
        <v>13.62</v>
      </c>
      <c r="V30" s="41">
        <v>104.4</v>
      </c>
      <c r="W30" s="35">
        <v>17580</v>
      </c>
      <c r="X30" s="36">
        <v>1079</v>
      </c>
      <c r="Y30" s="35">
        <v>1680</v>
      </c>
      <c r="Z30" s="41">
        <v>7.87</v>
      </c>
      <c r="AA30" s="40">
        <v>108.9</v>
      </c>
      <c r="AB30" s="21">
        <v>998.4</v>
      </c>
      <c r="AC30" s="52">
        <v>4138</v>
      </c>
      <c r="AD30" s="21">
        <v>1</v>
      </c>
      <c r="AE30" s="21">
        <v>1</v>
      </c>
      <c r="AF30" s="43" t="s">
        <v>616</v>
      </c>
      <c r="AG30" s="21">
        <v>1</v>
      </c>
      <c r="AH30" s="21">
        <v>1</v>
      </c>
      <c r="AI30" s="42" t="s">
        <v>616</v>
      </c>
      <c r="AJ30" s="21" t="s">
        <v>661</v>
      </c>
    </row>
    <row r="31" spans="1:36" s="46" customFormat="1" ht="13.5" customHeight="1">
      <c r="A31" s="33"/>
      <c r="B31" s="38"/>
      <c r="C31" s="21"/>
      <c r="D31" s="21"/>
      <c r="E31" s="21"/>
      <c r="F31" s="21"/>
      <c r="G31" s="43"/>
      <c r="H31" s="51"/>
      <c r="I31" s="36"/>
      <c r="J31" s="36"/>
      <c r="K31" s="21"/>
      <c r="L31" s="35"/>
      <c r="M31" s="38"/>
      <c r="N31" s="40"/>
      <c r="O31" s="40"/>
      <c r="P31" s="33"/>
      <c r="Q31" s="38"/>
      <c r="R31" s="35"/>
      <c r="S31" s="35"/>
      <c r="T31" s="35"/>
      <c r="U31" s="40"/>
      <c r="V31" s="41"/>
      <c r="W31" s="35"/>
      <c r="X31" s="36"/>
      <c r="Y31" s="36"/>
      <c r="Z31" s="41"/>
      <c r="AA31" s="40"/>
      <c r="AB31" s="21"/>
      <c r="AC31" s="52"/>
      <c r="AD31" s="21"/>
      <c r="AE31" s="21"/>
      <c r="AF31" s="43"/>
      <c r="AG31" s="21"/>
      <c r="AH31" s="21"/>
      <c r="AI31" s="42"/>
      <c r="AJ31" s="21"/>
    </row>
    <row r="32" spans="1:36" s="443" customFormat="1" ht="13.5" customHeight="1">
      <c r="A32" s="404" t="s">
        <v>1436</v>
      </c>
      <c r="B32" s="409">
        <v>109</v>
      </c>
      <c r="C32" s="398">
        <v>346.4</v>
      </c>
      <c r="D32" s="398">
        <v>371</v>
      </c>
      <c r="E32" s="398">
        <v>12.8</v>
      </c>
      <c r="F32" s="398">
        <v>12.9</v>
      </c>
      <c r="G32" s="399">
        <v>15.2</v>
      </c>
      <c r="H32" s="405">
        <v>138.69999999999999</v>
      </c>
      <c r="I32" s="406">
        <v>320.60000000000002</v>
      </c>
      <c r="J32" s="406">
        <v>290.2</v>
      </c>
      <c r="K32" s="398" t="s">
        <v>667</v>
      </c>
      <c r="L32" s="408">
        <v>102</v>
      </c>
      <c r="M32" s="409">
        <v>266</v>
      </c>
      <c r="N32" s="411">
        <v>2.13</v>
      </c>
      <c r="O32" s="411">
        <v>19.510000000000002</v>
      </c>
      <c r="P32" s="404" t="s">
        <v>1436</v>
      </c>
      <c r="Q32" s="409">
        <v>109</v>
      </c>
      <c r="R32" s="408">
        <v>30630</v>
      </c>
      <c r="S32" s="408">
        <v>1769</v>
      </c>
      <c r="T32" s="408">
        <v>1956</v>
      </c>
      <c r="U32" s="411">
        <v>14.86</v>
      </c>
      <c r="V32" s="407">
        <v>48.59</v>
      </c>
      <c r="W32" s="408">
        <v>10990</v>
      </c>
      <c r="X32" s="406">
        <v>592.29999999999995</v>
      </c>
      <c r="Y32" s="406">
        <v>902.9</v>
      </c>
      <c r="Z32" s="407">
        <v>8.9</v>
      </c>
      <c r="AA32" s="411">
        <v>56.41</v>
      </c>
      <c r="AB32" s="398">
        <v>90.73</v>
      </c>
      <c r="AC32" s="487">
        <v>3053</v>
      </c>
      <c r="AD32" s="398">
        <v>3</v>
      </c>
      <c r="AE32" s="398">
        <v>4</v>
      </c>
      <c r="AF32" s="399" t="s">
        <v>616</v>
      </c>
      <c r="AG32" s="398">
        <v>3</v>
      </c>
      <c r="AH32" s="398">
        <v>4</v>
      </c>
      <c r="AI32" s="400" t="s">
        <v>616</v>
      </c>
      <c r="AJ32" s="398"/>
    </row>
    <row r="33" spans="1:36" s="46" customFormat="1" ht="13.5" customHeight="1">
      <c r="A33" s="33" t="s">
        <v>1437</v>
      </c>
      <c r="B33" s="38">
        <v>133</v>
      </c>
      <c r="C33" s="21">
        <v>352</v>
      </c>
      <c r="D33" s="21">
        <v>373.8</v>
      </c>
      <c r="E33" s="21">
        <v>15.6</v>
      </c>
      <c r="F33" s="21">
        <v>15.7</v>
      </c>
      <c r="G33" s="43">
        <v>15.2</v>
      </c>
      <c r="H33" s="51">
        <v>169.4</v>
      </c>
      <c r="I33" s="36">
        <v>320.60000000000002</v>
      </c>
      <c r="J33" s="36">
        <v>290.2</v>
      </c>
      <c r="K33" s="21" t="s">
        <v>667</v>
      </c>
      <c r="L33" s="35">
        <v>104</v>
      </c>
      <c r="M33" s="38">
        <v>268</v>
      </c>
      <c r="N33" s="40">
        <v>2.14</v>
      </c>
      <c r="O33" s="40">
        <v>16.11</v>
      </c>
      <c r="P33" s="33" t="s">
        <v>1437</v>
      </c>
      <c r="Q33" s="38">
        <v>133</v>
      </c>
      <c r="R33" s="35">
        <v>37980</v>
      </c>
      <c r="S33" s="35">
        <v>2158</v>
      </c>
      <c r="T33" s="35">
        <v>2406</v>
      </c>
      <c r="U33" s="40">
        <v>14.98</v>
      </c>
      <c r="V33" s="41">
        <v>59.22</v>
      </c>
      <c r="W33" s="35">
        <v>13680</v>
      </c>
      <c r="X33" s="36">
        <v>731.9</v>
      </c>
      <c r="Y33" s="35">
        <v>1119</v>
      </c>
      <c r="Z33" s="41">
        <v>8.99</v>
      </c>
      <c r="AA33" s="40">
        <v>64.81</v>
      </c>
      <c r="AB33" s="21">
        <v>160.69999999999999</v>
      </c>
      <c r="AC33" s="52">
        <v>3864</v>
      </c>
      <c r="AD33" s="21">
        <v>3</v>
      </c>
      <c r="AE33" s="21">
        <v>3</v>
      </c>
      <c r="AF33" s="43" t="s">
        <v>616</v>
      </c>
      <c r="AG33" s="21">
        <v>3</v>
      </c>
      <c r="AH33" s="21">
        <v>3</v>
      </c>
      <c r="AI33" s="42" t="s">
        <v>616</v>
      </c>
      <c r="AJ33" s="21" t="s">
        <v>661</v>
      </c>
    </row>
    <row r="34" spans="1:36" s="443" customFormat="1" ht="13.5" customHeight="1">
      <c r="A34" s="404" t="s">
        <v>1438</v>
      </c>
      <c r="B34" s="409">
        <v>152</v>
      </c>
      <c r="C34" s="398">
        <v>356.4</v>
      </c>
      <c r="D34" s="398">
        <v>376</v>
      </c>
      <c r="E34" s="398">
        <v>17.8</v>
      </c>
      <c r="F34" s="398">
        <v>17.899999999999999</v>
      </c>
      <c r="G34" s="399">
        <v>15.2</v>
      </c>
      <c r="H34" s="405">
        <v>193.7</v>
      </c>
      <c r="I34" s="406">
        <v>320.60000000000002</v>
      </c>
      <c r="J34" s="406">
        <v>290.2</v>
      </c>
      <c r="K34" s="398" t="s">
        <v>667</v>
      </c>
      <c r="L34" s="408">
        <v>106</v>
      </c>
      <c r="M34" s="409">
        <v>270</v>
      </c>
      <c r="N34" s="411">
        <v>2.16</v>
      </c>
      <c r="O34" s="411">
        <v>14.18</v>
      </c>
      <c r="P34" s="404" t="s">
        <v>1438</v>
      </c>
      <c r="Q34" s="409">
        <v>152</v>
      </c>
      <c r="R34" s="408">
        <v>43970</v>
      </c>
      <c r="S34" s="408">
        <v>2468</v>
      </c>
      <c r="T34" s="408">
        <v>2767</v>
      </c>
      <c r="U34" s="411">
        <v>15.07</v>
      </c>
      <c r="V34" s="407">
        <v>67.680000000000007</v>
      </c>
      <c r="W34" s="408">
        <v>15880</v>
      </c>
      <c r="X34" s="406">
        <v>844.5</v>
      </c>
      <c r="Y34" s="408">
        <v>1293</v>
      </c>
      <c r="Z34" s="407">
        <v>9.0500000000000007</v>
      </c>
      <c r="AA34" s="411">
        <v>71.41</v>
      </c>
      <c r="AB34" s="398">
        <v>236.4</v>
      </c>
      <c r="AC34" s="487">
        <v>4543</v>
      </c>
      <c r="AD34" s="398">
        <v>2</v>
      </c>
      <c r="AE34" s="398">
        <v>3</v>
      </c>
      <c r="AF34" s="399" t="s">
        <v>616</v>
      </c>
      <c r="AG34" s="398">
        <v>2</v>
      </c>
      <c r="AH34" s="398">
        <v>3</v>
      </c>
      <c r="AI34" s="400" t="s">
        <v>616</v>
      </c>
      <c r="AJ34" s="398" t="s">
        <v>661</v>
      </c>
    </row>
    <row r="35" spans="1:36" s="46" customFormat="1" ht="13.5" customHeight="1">
      <c r="A35" s="33" t="s">
        <v>1439</v>
      </c>
      <c r="B35" s="38">
        <v>174</v>
      </c>
      <c r="C35" s="21">
        <v>361.4</v>
      </c>
      <c r="D35" s="21">
        <v>378.5</v>
      </c>
      <c r="E35" s="21">
        <v>20.3</v>
      </c>
      <c r="F35" s="21">
        <v>20.399999999999999</v>
      </c>
      <c r="G35" s="43">
        <v>15.2</v>
      </c>
      <c r="H35" s="51">
        <v>221.5</v>
      </c>
      <c r="I35" s="36">
        <v>320.60000000000002</v>
      </c>
      <c r="J35" s="36">
        <v>290.2</v>
      </c>
      <c r="K35" s="21" t="s">
        <v>667</v>
      </c>
      <c r="L35" s="35">
        <v>110</v>
      </c>
      <c r="M35" s="38">
        <v>272</v>
      </c>
      <c r="N35" s="40">
        <v>2.17</v>
      </c>
      <c r="O35" s="40">
        <v>12.48</v>
      </c>
      <c r="P35" s="33" t="s">
        <v>1439</v>
      </c>
      <c r="Q35" s="38">
        <v>174</v>
      </c>
      <c r="R35" s="35">
        <v>51010</v>
      </c>
      <c r="S35" s="35">
        <v>2823</v>
      </c>
      <c r="T35" s="35">
        <v>3186</v>
      </c>
      <c r="U35" s="40">
        <v>15.18</v>
      </c>
      <c r="V35" s="41">
        <v>77.41</v>
      </c>
      <c r="W35" s="35">
        <v>18460</v>
      </c>
      <c r="X35" s="36">
        <v>975.6</v>
      </c>
      <c r="Y35" s="35">
        <v>1497</v>
      </c>
      <c r="Z35" s="41">
        <v>9.1300000000000008</v>
      </c>
      <c r="AA35" s="40">
        <v>78.91</v>
      </c>
      <c r="AB35" s="21">
        <v>348.5</v>
      </c>
      <c r="AC35" s="52">
        <v>5360</v>
      </c>
      <c r="AD35" s="21">
        <v>1</v>
      </c>
      <c r="AE35" s="21">
        <v>3</v>
      </c>
      <c r="AF35" s="43" t="s">
        <v>616</v>
      </c>
      <c r="AG35" s="21">
        <v>1</v>
      </c>
      <c r="AH35" s="21">
        <v>3</v>
      </c>
      <c r="AI35" s="42" t="s">
        <v>616</v>
      </c>
      <c r="AJ35" s="21" t="s">
        <v>661</v>
      </c>
    </row>
    <row r="36" spans="1:36" s="46" customFormat="1" ht="13.5" customHeight="1">
      <c r="A36" s="33"/>
      <c r="B36" s="38"/>
      <c r="C36" s="21"/>
      <c r="D36" s="21"/>
      <c r="E36" s="21"/>
      <c r="F36" s="21"/>
      <c r="G36" s="43"/>
      <c r="H36" s="51"/>
      <c r="I36" s="36"/>
      <c r="J36" s="36"/>
      <c r="K36" s="21"/>
      <c r="L36" s="35"/>
      <c r="M36" s="38"/>
      <c r="N36" s="40"/>
      <c r="O36" s="40"/>
      <c r="P36" s="33"/>
      <c r="Q36" s="38"/>
      <c r="R36" s="35"/>
      <c r="S36" s="35"/>
      <c r="T36" s="35"/>
      <c r="U36" s="40"/>
      <c r="V36" s="41"/>
      <c r="W36" s="35"/>
      <c r="X36" s="35"/>
      <c r="Y36" s="35"/>
      <c r="Z36" s="41"/>
      <c r="AA36" s="36"/>
      <c r="AB36" s="21"/>
      <c r="AC36" s="52"/>
      <c r="AD36" s="21"/>
      <c r="AE36" s="21"/>
      <c r="AF36" s="43"/>
      <c r="AG36" s="21"/>
      <c r="AH36" s="21"/>
      <c r="AI36" s="42"/>
      <c r="AJ36" s="21"/>
    </row>
    <row r="37" spans="1:36" s="46" customFormat="1" ht="13.5" hidden="1" customHeight="1">
      <c r="A37" s="186"/>
      <c r="B37" s="187"/>
      <c r="C37" s="187"/>
      <c r="D37" s="187"/>
      <c r="E37" s="187"/>
      <c r="F37" s="187"/>
      <c r="G37" s="187"/>
      <c r="H37" s="187"/>
      <c r="I37" s="187"/>
      <c r="J37" s="187"/>
      <c r="K37" s="187"/>
      <c r="L37" s="188"/>
      <c r="M37" s="187"/>
      <c r="N37" s="187"/>
      <c r="O37" s="187"/>
      <c r="P37" s="186"/>
      <c r="Q37" s="187"/>
      <c r="R37" s="187"/>
      <c r="S37" s="187"/>
      <c r="T37" s="187"/>
      <c r="U37" s="187"/>
      <c r="V37" s="187"/>
      <c r="W37" s="187"/>
      <c r="X37" s="187"/>
      <c r="Y37" s="187"/>
      <c r="Z37" s="187"/>
      <c r="AA37" s="187"/>
      <c r="AB37" s="187"/>
      <c r="AC37" s="187"/>
      <c r="AD37" s="189"/>
      <c r="AE37" s="189"/>
      <c r="AF37" s="189"/>
      <c r="AG37" s="189"/>
      <c r="AH37" s="189"/>
      <c r="AI37" s="189"/>
      <c r="AJ37" s="189"/>
    </row>
    <row r="38" spans="1:36" s="46" customFormat="1" ht="13.5" hidden="1" customHeight="1">
      <c r="A38" s="186"/>
      <c r="B38" s="187"/>
      <c r="C38" s="187"/>
      <c r="D38" s="187"/>
      <c r="E38" s="187"/>
      <c r="F38" s="187"/>
      <c r="G38" s="187"/>
      <c r="H38" s="187"/>
      <c r="I38" s="187"/>
      <c r="J38" s="187"/>
      <c r="K38" s="187"/>
      <c r="L38" s="188"/>
      <c r="M38" s="187"/>
      <c r="N38" s="187"/>
      <c r="O38" s="187"/>
      <c r="P38" s="186"/>
      <c r="Q38" s="187"/>
      <c r="R38" s="187"/>
      <c r="S38" s="187"/>
      <c r="T38" s="187"/>
      <c r="U38" s="187"/>
      <c r="V38" s="187"/>
      <c r="W38" s="187"/>
      <c r="X38" s="187"/>
      <c r="Y38" s="187"/>
      <c r="Z38" s="187"/>
      <c r="AA38" s="187"/>
      <c r="AB38" s="187"/>
      <c r="AC38" s="187"/>
      <c r="AD38" s="189"/>
      <c r="AE38" s="189"/>
      <c r="AF38" s="189"/>
      <c r="AG38" s="189"/>
      <c r="AH38" s="189"/>
      <c r="AI38" s="189"/>
      <c r="AJ38" s="189"/>
    </row>
    <row r="39" spans="1:36" s="46" customFormat="1" ht="13.5" hidden="1" customHeight="1">
      <c r="A39" s="186"/>
      <c r="B39" s="187"/>
      <c r="C39" s="187"/>
      <c r="D39" s="187"/>
      <c r="E39" s="187"/>
      <c r="F39" s="187"/>
      <c r="G39" s="187"/>
      <c r="H39" s="187"/>
      <c r="I39" s="187"/>
      <c r="J39" s="187"/>
      <c r="K39" s="187"/>
      <c r="L39" s="188"/>
      <c r="M39" s="187"/>
      <c r="N39" s="187"/>
      <c r="O39" s="187"/>
      <c r="P39" s="186"/>
      <c r="Q39" s="187"/>
      <c r="R39" s="187"/>
      <c r="S39" s="187"/>
      <c r="T39" s="187"/>
      <c r="U39" s="187"/>
      <c r="V39" s="187"/>
      <c r="W39" s="187"/>
      <c r="X39" s="187"/>
      <c r="Y39" s="187"/>
      <c r="Z39" s="187"/>
      <c r="AA39" s="187"/>
      <c r="AB39" s="187"/>
      <c r="AC39" s="187"/>
      <c r="AD39" s="189"/>
      <c r="AE39" s="189"/>
      <c r="AF39" s="189"/>
      <c r="AG39" s="189"/>
      <c r="AH39" s="189"/>
      <c r="AI39" s="189"/>
      <c r="AJ39" s="189"/>
    </row>
    <row r="40" spans="1:36" s="46" customFormat="1" ht="13.5" hidden="1" customHeight="1">
      <c r="A40" s="186"/>
      <c r="B40" s="187"/>
      <c r="C40" s="187"/>
      <c r="D40" s="187"/>
      <c r="E40" s="187"/>
      <c r="F40" s="187"/>
      <c r="G40" s="187"/>
      <c r="H40" s="187"/>
      <c r="I40" s="187"/>
      <c r="J40" s="187"/>
      <c r="K40" s="187"/>
      <c r="L40" s="188"/>
      <c r="M40" s="187"/>
      <c r="N40" s="187"/>
      <c r="O40" s="187"/>
      <c r="P40" s="186"/>
      <c r="Q40" s="187"/>
      <c r="R40" s="187"/>
      <c r="S40" s="187"/>
      <c r="T40" s="187"/>
      <c r="U40" s="187"/>
      <c r="V40" s="187"/>
      <c r="W40" s="187"/>
      <c r="X40" s="187"/>
      <c r="Y40" s="187"/>
      <c r="Z40" s="187"/>
      <c r="AA40" s="187"/>
      <c r="AB40" s="187"/>
      <c r="AC40" s="187"/>
      <c r="AD40" s="189"/>
      <c r="AE40" s="189"/>
      <c r="AF40" s="189"/>
      <c r="AG40" s="189"/>
      <c r="AH40" s="189"/>
      <c r="AI40" s="189"/>
      <c r="AJ40" s="189"/>
    </row>
    <row r="41" spans="1:36" s="46" customFormat="1" ht="13.5" hidden="1" customHeight="1">
      <c r="A41" s="186"/>
      <c r="B41" s="187"/>
      <c r="C41" s="187"/>
      <c r="D41" s="187"/>
      <c r="E41" s="187"/>
      <c r="F41" s="187"/>
      <c r="G41" s="187"/>
      <c r="H41" s="187"/>
      <c r="I41" s="187"/>
      <c r="J41" s="187"/>
      <c r="K41" s="187"/>
      <c r="L41" s="188"/>
      <c r="M41" s="187"/>
      <c r="N41" s="187"/>
      <c r="O41" s="187"/>
      <c r="P41" s="186"/>
      <c r="Q41" s="187"/>
      <c r="R41" s="187"/>
      <c r="S41" s="187"/>
      <c r="T41" s="187"/>
      <c r="U41" s="187"/>
      <c r="V41" s="187"/>
      <c r="W41" s="187"/>
      <c r="X41" s="187"/>
      <c r="Y41" s="187"/>
      <c r="Z41" s="187"/>
      <c r="AA41" s="187"/>
      <c r="AB41" s="187"/>
      <c r="AC41" s="187"/>
      <c r="AD41" s="189"/>
      <c r="AE41" s="189"/>
      <c r="AF41" s="189"/>
      <c r="AG41" s="189"/>
      <c r="AH41" s="189"/>
      <c r="AI41" s="189"/>
      <c r="AJ41" s="189"/>
    </row>
    <row r="42" spans="1:36" s="46" customFormat="1" ht="13.5" hidden="1" customHeight="1">
      <c r="A42" s="186"/>
      <c r="B42" s="187"/>
      <c r="C42" s="187"/>
      <c r="D42" s="187"/>
      <c r="E42" s="187"/>
      <c r="F42" s="187"/>
      <c r="G42" s="187"/>
      <c r="H42" s="187"/>
      <c r="I42" s="187"/>
      <c r="J42" s="187"/>
      <c r="K42" s="187"/>
      <c r="L42" s="188"/>
      <c r="M42" s="187"/>
      <c r="N42" s="187"/>
      <c r="O42" s="187"/>
      <c r="P42" s="186"/>
      <c r="Q42" s="187"/>
      <c r="R42" s="187"/>
      <c r="S42" s="187"/>
      <c r="T42" s="187"/>
      <c r="U42" s="187"/>
      <c r="V42" s="187"/>
      <c r="W42" s="187"/>
      <c r="X42" s="187"/>
      <c r="Y42" s="187"/>
      <c r="Z42" s="187"/>
      <c r="AA42" s="187"/>
      <c r="AB42" s="187"/>
      <c r="AC42" s="187"/>
      <c r="AD42" s="189"/>
      <c r="AE42" s="189"/>
      <c r="AF42" s="189"/>
      <c r="AG42" s="189"/>
      <c r="AH42" s="189"/>
      <c r="AI42" s="189"/>
      <c r="AJ42" s="189"/>
    </row>
    <row r="43" spans="1:36" ht="13.5" hidden="1" customHeight="1">
      <c r="A43" s="186"/>
      <c r="B43" s="187"/>
      <c r="C43" s="187"/>
      <c r="D43" s="187"/>
      <c r="E43" s="187"/>
      <c r="F43" s="187"/>
      <c r="G43" s="187"/>
      <c r="H43" s="187"/>
      <c r="I43" s="187"/>
      <c r="J43" s="187"/>
      <c r="K43" s="187"/>
      <c r="L43" s="188"/>
      <c r="M43" s="187"/>
      <c r="N43" s="187"/>
      <c r="O43" s="187"/>
      <c r="P43" s="186"/>
      <c r="R43" s="187"/>
      <c r="S43" s="187"/>
      <c r="T43" s="187"/>
      <c r="U43" s="187"/>
      <c r="V43" s="187"/>
      <c r="W43" s="187"/>
      <c r="X43" s="187"/>
      <c r="Y43" s="187"/>
      <c r="Z43" s="187"/>
      <c r="AA43" s="187"/>
      <c r="AB43" s="187"/>
      <c r="AC43" s="187"/>
    </row>
    <row r="44" spans="1:36" ht="13.5" hidden="1" customHeight="1">
      <c r="A44" s="186"/>
      <c r="B44" s="187"/>
      <c r="C44" s="187"/>
      <c r="D44" s="187"/>
      <c r="E44" s="187"/>
      <c r="F44" s="187"/>
      <c r="G44" s="187"/>
      <c r="H44" s="187"/>
      <c r="I44" s="187"/>
      <c r="J44" s="187"/>
      <c r="K44" s="187"/>
      <c r="L44" s="188"/>
      <c r="M44" s="187"/>
      <c r="N44" s="187"/>
      <c r="O44" s="187"/>
      <c r="P44" s="186"/>
      <c r="R44" s="187"/>
      <c r="S44" s="187"/>
      <c r="T44" s="187"/>
      <c r="U44" s="187"/>
      <c r="V44" s="187"/>
      <c r="W44" s="187"/>
      <c r="X44" s="187"/>
      <c r="Y44" s="187"/>
      <c r="Z44" s="187"/>
      <c r="AA44" s="187"/>
      <c r="AB44" s="187"/>
      <c r="AC44" s="187"/>
    </row>
    <row r="45" spans="1:36" ht="13.5" hidden="1" customHeight="1">
      <c r="A45" s="186"/>
      <c r="B45" s="187"/>
      <c r="C45" s="187"/>
      <c r="D45" s="187"/>
      <c r="E45" s="187"/>
      <c r="F45" s="187"/>
      <c r="G45" s="187"/>
      <c r="H45" s="187"/>
      <c r="I45" s="187"/>
      <c r="J45" s="187"/>
      <c r="K45" s="187"/>
      <c r="L45" s="188"/>
      <c r="M45" s="187"/>
      <c r="N45" s="187"/>
      <c r="O45" s="187"/>
      <c r="P45" s="186"/>
      <c r="R45" s="187"/>
      <c r="S45" s="187"/>
      <c r="T45" s="187"/>
      <c r="U45" s="187"/>
      <c r="V45" s="187"/>
      <c r="W45" s="187"/>
      <c r="X45" s="187"/>
      <c r="Y45" s="187"/>
      <c r="Z45" s="187"/>
      <c r="AA45" s="187"/>
      <c r="AB45" s="187"/>
      <c r="AC45" s="187"/>
    </row>
    <row r="46" spans="1:36" ht="13.5" hidden="1" customHeight="1">
      <c r="A46" s="186"/>
      <c r="B46" s="187"/>
      <c r="C46" s="187"/>
      <c r="D46" s="187"/>
      <c r="E46" s="187"/>
      <c r="F46" s="187"/>
      <c r="G46" s="187"/>
      <c r="H46" s="187"/>
      <c r="I46" s="187"/>
      <c r="J46" s="187"/>
      <c r="K46" s="187"/>
      <c r="L46" s="188"/>
      <c r="M46" s="187"/>
      <c r="N46" s="187"/>
      <c r="O46" s="187"/>
      <c r="P46" s="186"/>
      <c r="R46" s="187"/>
      <c r="S46" s="187"/>
      <c r="T46" s="187"/>
      <c r="U46" s="187"/>
      <c r="V46" s="187"/>
      <c r="W46" s="187"/>
      <c r="X46" s="187"/>
      <c r="Y46" s="187"/>
      <c r="Z46" s="187"/>
      <c r="AA46" s="187"/>
      <c r="AB46" s="187"/>
      <c r="AC46" s="187"/>
    </row>
    <row r="47" spans="1:36" ht="13.5" hidden="1" customHeight="1">
      <c r="A47" s="186"/>
      <c r="B47" s="187"/>
      <c r="C47" s="187"/>
      <c r="D47" s="187"/>
      <c r="E47" s="187"/>
      <c r="F47" s="187"/>
      <c r="G47" s="187"/>
      <c r="H47" s="187"/>
      <c r="I47" s="187"/>
      <c r="J47" s="187"/>
      <c r="K47" s="187"/>
      <c r="L47" s="188"/>
      <c r="M47" s="187"/>
      <c r="N47" s="187"/>
      <c r="O47" s="187"/>
      <c r="P47" s="186"/>
      <c r="R47" s="187"/>
      <c r="S47" s="187"/>
      <c r="T47" s="187"/>
      <c r="U47" s="187"/>
      <c r="V47" s="187"/>
      <c r="W47" s="187"/>
      <c r="X47" s="187"/>
      <c r="Y47" s="187"/>
      <c r="Z47" s="187"/>
      <c r="AA47" s="187"/>
      <c r="AB47" s="187"/>
      <c r="AC47" s="187"/>
    </row>
    <row r="48" spans="1:36" ht="13.5" hidden="1" customHeight="1">
      <c r="A48" s="186"/>
      <c r="B48" s="187"/>
      <c r="C48" s="187"/>
      <c r="D48" s="187"/>
      <c r="E48" s="187"/>
      <c r="F48" s="187"/>
      <c r="G48" s="187"/>
      <c r="H48" s="187"/>
      <c r="I48" s="187"/>
      <c r="J48" s="187"/>
      <c r="K48" s="187"/>
      <c r="L48" s="188"/>
      <c r="M48" s="187"/>
      <c r="N48" s="187"/>
      <c r="O48" s="187"/>
      <c r="P48" s="186"/>
      <c r="R48" s="187"/>
      <c r="S48" s="187"/>
      <c r="T48" s="187"/>
      <c r="U48" s="187"/>
      <c r="V48" s="187"/>
      <c r="W48" s="187"/>
      <c r="X48" s="187"/>
      <c r="Y48" s="187"/>
      <c r="Z48" s="187"/>
      <c r="AA48" s="187"/>
      <c r="AB48" s="187"/>
      <c r="AC48" s="187"/>
    </row>
    <row r="49" spans="1:29" ht="13.5" hidden="1" customHeight="1">
      <c r="A49" s="186"/>
      <c r="B49" s="187"/>
      <c r="C49" s="187"/>
      <c r="D49" s="187"/>
      <c r="E49" s="187"/>
      <c r="F49" s="187"/>
      <c r="G49" s="187"/>
      <c r="H49" s="187"/>
      <c r="I49" s="187"/>
      <c r="J49" s="187"/>
      <c r="K49" s="187"/>
      <c r="L49" s="188"/>
      <c r="M49" s="187"/>
      <c r="N49" s="187"/>
      <c r="O49" s="187"/>
      <c r="P49" s="186"/>
      <c r="R49" s="187"/>
      <c r="S49" s="187"/>
      <c r="T49" s="187"/>
      <c r="U49" s="187"/>
      <c r="V49" s="187"/>
      <c r="W49" s="187"/>
      <c r="X49" s="187"/>
      <c r="Y49" s="187"/>
      <c r="Z49" s="187"/>
      <c r="AA49" s="187"/>
      <c r="AB49" s="187"/>
      <c r="AC49" s="187"/>
    </row>
    <row r="50" spans="1:29" ht="13.5" hidden="1" customHeight="1">
      <c r="A50" s="186"/>
      <c r="B50" s="187"/>
      <c r="C50" s="187"/>
      <c r="D50" s="187"/>
      <c r="E50" s="187"/>
      <c r="F50" s="187"/>
      <c r="G50" s="187"/>
      <c r="H50" s="187"/>
      <c r="I50" s="187"/>
      <c r="J50" s="187"/>
      <c r="K50" s="187"/>
      <c r="L50" s="188"/>
      <c r="M50" s="187"/>
      <c r="N50" s="187"/>
      <c r="O50" s="187"/>
      <c r="P50" s="186"/>
      <c r="R50" s="187"/>
      <c r="S50" s="187"/>
      <c r="T50" s="187"/>
      <c r="U50" s="187"/>
      <c r="V50" s="187"/>
      <c r="W50" s="187"/>
      <c r="X50" s="187"/>
      <c r="Y50" s="187"/>
      <c r="Z50" s="187"/>
      <c r="AA50" s="187"/>
      <c r="AB50" s="187"/>
      <c r="AC50" s="187"/>
    </row>
    <row r="51" spans="1:29" ht="13.5" hidden="1" customHeight="1">
      <c r="A51" s="186"/>
      <c r="B51" s="187"/>
      <c r="C51" s="187"/>
      <c r="D51" s="187"/>
      <c r="E51" s="187"/>
      <c r="F51" s="187"/>
      <c r="G51" s="187"/>
      <c r="H51" s="187"/>
      <c r="I51" s="187"/>
      <c r="J51" s="187"/>
      <c r="K51" s="187"/>
      <c r="L51" s="188"/>
      <c r="M51" s="187"/>
      <c r="N51" s="187"/>
      <c r="O51" s="187"/>
      <c r="P51" s="186"/>
      <c r="R51" s="187"/>
      <c r="S51" s="187"/>
      <c r="T51" s="187"/>
      <c r="U51" s="187"/>
      <c r="V51" s="187"/>
      <c r="W51" s="187"/>
      <c r="X51" s="187"/>
      <c r="Y51" s="187"/>
      <c r="Z51" s="187"/>
      <c r="AA51" s="187"/>
      <c r="AB51" s="187"/>
      <c r="AC51" s="187"/>
    </row>
    <row r="52" spans="1:29" ht="13.5" hidden="1" customHeight="1">
      <c r="A52" s="186"/>
      <c r="B52" s="187"/>
      <c r="C52" s="187"/>
      <c r="D52" s="187"/>
      <c r="E52" s="187"/>
      <c r="F52" s="187"/>
      <c r="G52" s="187"/>
      <c r="H52" s="187"/>
      <c r="I52" s="187"/>
      <c r="J52" s="187"/>
      <c r="K52" s="187"/>
      <c r="L52" s="188"/>
      <c r="M52" s="187"/>
      <c r="N52" s="187"/>
      <c r="O52" s="187"/>
      <c r="P52" s="186"/>
      <c r="R52" s="187"/>
      <c r="S52" s="187"/>
      <c r="T52" s="187"/>
      <c r="U52" s="187"/>
      <c r="V52" s="187"/>
      <c r="W52" s="187"/>
      <c r="X52" s="187"/>
      <c r="Y52" s="187"/>
      <c r="Z52" s="187"/>
      <c r="AA52" s="187"/>
      <c r="AB52" s="187"/>
      <c r="AC52" s="187"/>
    </row>
    <row r="53" spans="1:29" ht="13.5" hidden="1" customHeight="1">
      <c r="A53" s="186"/>
      <c r="B53" s="187"/>
      <c r="C53" s="187"/>
      <c r="D53" s="187"/>
      <c r="E53" s="187"/>
      <c r="F53" s="187"/>
      <c r="G53" s="187"/>
      <c r="H53" s="187"/>
      <c r="I53" s="187"/>
      <c r="J53" s="187"/>
      <c r="K53" s="187"/>
      <c r="L53" s="188"/>
      <c r="M53" s="187"/>
      <c r="N53" s="187"/>
      <c r="O53" s="187"/>
      <c r="P53" s="186"/>
      <c r="R53" s="187"/>
      <c r="S53" s="187"/>
      <c r="T53" s="187"/>
      <c r="U53" s="187"/>
      <c r="V53" s="187"/>
      <c r="W53" s="187"/>
      <c r="X53" s="187"/>
      <c r="Y53" s="187"/>
      <c r="Z53" s="187"/>
      <c r="AA53" s="187"/>
      <c r="AB53" s="187"/>
      <c r="AC53" s="187"/>
    </row>
    <row r="54" spans="1:29" ht="13.5" hidden="1" customHeight="1">
      <c r="A54" s="186"/>
      <c r="B54" s="187"/>
      <c r="C54" s="187"/>
      <c r="D54" s="187"/>
      <c r="E54" s="187"/>
      <c r="F54" s="187"/>
      <c r="G54" s="187"/>
      <c r="H54" s="187"/>
      <c r="I54" s="187"/>
      <c r="J54" s="187"/>
      <c r="K54" s="187"/>
      <c r="L54" s="188"/>
      <c r="M54" s="187"/>
      <c r="N54" s="187"/>
      <c r="O54" s="187"/>
      <c r="P54" s="186"/>
      <c r="R54" s="187"/>
      <c r="S54" s="187"/>
      <c r="T54" s="187"/>
      <c r="U54" s="187"/>
      <c r="V54" s="187"/>
      <c r="W54" s="187"/>
      <c r="X54" s="187"/>
      <c r="Y54" s="187"/>
      <c r="Z54" s="187"/>
      <c r="AA54" s="187"/>
      <c r="AB54" s="187"/>
      <c r="AC54" s="187"/>
    </row>
    <row r="55" spans="1:29" ht="13.5" hidden="1" customHeight="1">
      <c r="A55" s="186"/>
      <c r="B55" s="187"/>
      <c r="C55" s="187"/>
      <c r="D55" s="187"/>
      <c r="E55" s="187"/>
      <c r="F55" s="187"/>
      <c r="G55" s="187"/>
      <c r="H55" s="187"/>
      <c r="I55" s="187"/>
      <c r="J55" s="187"/>
      <c r="K55" s="187"/>
      <c r="L55" s="188"/>
      <c r="M55" s="187"/>
      <c r="N55" s="187"/>
      <c r="O55" s="187"/>
      <c r="P55" s="186"/>
      <c r="R55" s="187"/>
      <c r="S55" s="187"/>
      <c r="T55" s="187"/>
      <c r="U55" s="187"/>
      <c r="V55" s="187"/>
      <c r="W55" s="187"/>
      <c r="X55" s="187"/>
      <c r="Y55" s="187"/>
      <c r="Z55" s="187"/>
      <c r="AA55" s="187"/>
      <c r="AB55" s="187"/>
      <c r="AC55" s="187"/>
    </row>
    <row r="56" spans="1:29" ht="13.5" hidden="1" customHeight="1">
      <c r="A56" s="186"/>
      <c r="B56" s="187"/>
      <c r="C56" s="187"/>
      <c r="D56" s="187"/>
      <c r="E56" s="187"/>
      <c r="F56" s="187"/>
      <c r="G56" s="187"/>
      <c r="H56" s="187"/>
      <c r="I56" s="187"/>
      <c r="J56" s="187"/>
      <c r="K56" s="187"/>
      <c r="L56" s="188"/>
      <c r="M56" s="187"/>
      <c r="N56" s="187"/>
      <c r="O56" s="187"/>
      <c r="P56" s="186"/>
      <c r="R56" s="187"/>
      <c r="S56" s="187"/>
      <c r="T56" s="187"/>
      <c r="U56" s="187"/>
      <c r="V56" s="187"/>
      <c r="W56" s="187"/>
      <c r="X56" s="187"/>
      <c r="Y56" s="187"/>
      <c r="Z56" s="187"/>
      <c r="AA56" s="187"/>
      <c r="AB56" s="187"/>
      <c r="AC56" s="187"/>
    </row>
    <row r="57" spans="1:29" ht="13.5" hidden="1" customHeight="1">
      <c r="A57" s="186"/>
      <c r="B57" s="187"/>
      <c r="C57" s="187"/>
      <c r="D57" s="187"/>
      <c r="E57" s="187"/>
      <c r="F57" s="187"/>
      <c r="G57" s="187"/>
      <c r="H57" s="187"/>
      <c r="I57" s="187"/>
      <c r="J57" s="187"/>
      <c r="K57" s="187"/>
      <c r="L57" s="188"/>
      <c r="M57" s="187"/>
      <c r="N57" s="187"/>
      <c r="O57" s="187"/>
      <c r="P57" s="186"/>
      <c r="R57" s="187"/>
      <c r="S57" s="187"/>
      <c r="T57" s="187"/>
      <c r="U57" s="187"/>
      <c r="V57" s="187"/>
      <c r="W57" s="187"/>
      <c r="X57" s="187"/>
      <c r="Y57" s="187"/>
      <c r="Z57" s="187"/>
      <c r="AA57" s="187"/>
      <c r="AB57" s="187"/>
      <c r="AC57" s="187"/>
    </row>
    <row r="58" spans="1:29" ht="13.5" hidden="1" customHeight="1"/>
    <row r="59" spans="1:29" ht="13.5" hidden="1" customHeight="1"/>
    <row r="60" spans="1:29" ht="13.5" hidden="1" customHeight="1"/>
    <row r="61" spans="1:29" ht="13.5" hidden="1" customHeight="1"/>
    <row r="62" spans="1:29" ht="13.5" hidden="1" customHeight="1"/>
    <row r="63" spans="1:29" ht="13.5" hidden="1" customHeight="1"/>
    <row r="64" spans="1:29" ht="13.5" hidden="1" customHeight="1"/>
    <row r="65" ht="13.5" hidden="1" customHeight="1"/>
    <row r="66" ht="13.5" hidden="1" customHeight="1"/>
    <row r="67" ht="13.5" hidden="1" customHeight="1"/>
    <row r="68" ht="13.5" hidden="1" customHeight="1"/>
    <row r="69" ht="13.5" hidden="1" customHeight="1"/>
    <row r="70" ht="13.5" hidden="1" customHeight="1"/>
    <row r="71" ht="13.5" hidden="1" customHeight="1"/>
    <row r="72" ht="13.5" hidden="1" customHeight="1"/>
  </sheetData>
  <phoneticPr fontId="0" type="noConversion"/>
  <pageMargins left="0.75" right="0.75" top="1" bottom="1" header="0.4921259845" footer="0.4921259845"/>
  <pageSetup paperSize="0" scale="59" orientation="landscape" horizontalDpi="4294967292" verticalDpi="4294967292"/>
  <headerFooter alignWithMargins="0">
    <oddFooter>&amp;LLe &amp;D&amp;CProfilés &amp;A du &amp;F&amp;RPage &amp;P sur &amp;N</oddFooter>
  </headerFooter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AJ321"/>
  <sheetViews>
    <sheetView topLeftCell="A21" workbookViewId="0"/>
  </sheetViews>
  <sheetFormatPr defaultColWidth="0" defaultRowHeight="12" zeroHeight="1"/>
  <cols>
    <col min="1" max="1" width="16.42578125" style="223" customWidth="1"/>
    <col min="2" max="2" width="5.7109375" style="174" customWidth="1"/>
    <col min="3" max="4" width="6.140625" style="174" customWidth="1"/>
    <col min="5" max="7" width="5.140625" style="174" customWidth="1"/>
    <col min="8" max="8" width="5.7109375" style="174" customWidth="1"/>
    <col min="9" max="10" width="6.140625" style="174" customWidth="1"/>
    <col min="11" max="11" width="4.42578125" style="174" customWidth="1"/>
    <col min="12" max="12" width="5.7109375" style="174" customWidth="1"/>
    <col min="13" max="13" width="6" style="174" customWidth="1"/>
    <col min="14" max="15" width="5.7109375" style="174" customWidth="1"/>
    <col min="16" max="16" width="16.7109375" style="223" customWidth="1"/>
    <col min="17" max="17" width="5.7109375" style="174" customWidth="1"/>
    <col min="18" max="18" width="6.140625" style="174" customWidth="1"/>
    <col min="19" max="19" width="5.28515625" style="174" customWidth="1"/>
    <col min="20" max="20" width="5.7109375" style="174" customWidth="1"/>
    <col min="21" max="21" width="4.7109375" style="174" customWidth="1"/>
    <col min="22" max="22" width="6.140625" style="174" customWidth="1"/>
    <col min="23" max="23" width="5.42578125" style="174" customWidth="1"/>
    <col min="24" max="24" width="6.28515625" style="174" customWidth="1"/>
    <col min="25" max="25" width="5.140625" style="174" customWidth="1"/>
    <col min="26" max="27" width="4.42578125" style="174" customWidth="1"/>
    <col min="28" max="28" width="4.7109375" style="45" customWidth="1"/>
    <col min="29" max="29" width="6.42578125" style="45" customWidth="1"/>
    <col min="30" max="35" width="3.42578125" style="45" customWidth="1"/>
    <col min="36" max="36" width="2.7109375" style="174" customWidth="1"/>
    <col min="37" max="16384" width="10.85546875" style="174" hidden="1"/>
  </cols>
  <sheetData>
    <row r="1" spans="1:36" s="221" customFormat="1" ht="18.75" customHeight="1">
      <c r="A1" s="321"/>
      <c r="B1" s="323"/>
      <c r="C1" s="322"/>
      <c r="D1" s="322"/>
      <c r="E1" s="321"/>
      <c r="F1" s="324"/>
      <c r="G1" s="322"/>
      <c r="H1" s="324"/>
      <c r="I1" s="322"/>
      <c r="J1" s="322"/>
      <c r="K1" s="473"/>
      <c r="L1" s="475"/>
      <c r="M1" s="475"/>
      <c r="N1" s="475"/>
      <c r="O1" s="475"/>
      <c r="P1" s="475"/>
      <c r="Q1" s="475"/>
      <c r="R1" s="475"/>
      <c r="S1" s="475"/>
      <c r="T1" s="475"/>
      <c r="U1" s="475"/>
      <c r="V1" s="475"/>
      <c r="W1" s="475"/>
      <c r="X1" s="475"/>
      <c r="Y1" s="475"/>
      <c r="Z1" s="475"/>
      <c r="AA1" s="475"/>
      <c r="AB1" s="437"/>
      <c r="AC1" s="437"/>
      <c r="AD1" s="437"/>
      <c r="AE1" s="437"/>
      <c r="AF1" s="437"/>
      <c r="AG1" s="437"/>
      <c r="AH1" s="437"/>
      <c r="AI1" s="437"/>
      <c r="AJ1" s="475"/>
    </row>
    <row r="2" spans="1:36" s="221" customFormat="1" ht="18.75" customHeight="1">
      <c r="A2" s="423" t="s">
        <v>1825</v>
      </c>
      <c r="B2" s="323"/>
      <c r="C2" s="322"/>
      <c r="D2" s="322"/>
      <c r="E2" s="321"/>
      <c r="F2" s="324"/>
      <c r="G2" s="322"/>
      <c r="H2" s="324"/>
      <c r="I2" s="322"/>
      <c r="J2" s="322"/>
      <c r="K2" s="321"/>
      <c r="L2" s="475"/>
      <c r="M2" s="475"/>
      <c r="N2" s="475"/>
      <c r="O2" s="475"/>
      <c r="P2" s="475"/>
      <c r="Q2" s="475"/>
      <c r="R2" s="475"/>
      <c r="S2" s="475"/>
      <c r="T2" s="475"/>
      <c r="U2" s="475"/>
      <c r="V2" s="475"/>
      <c r="W2" s="475"/>
      <c r="X2" s="475"/>
      <c r="Y2" s="475"/>
      <c r="Z2" s="475"/>
      <c r="AA2" s="475"/>
      <c r="AB2" s="437"/>
      <c r="AC2" s="437"/>
      <c r="AD2" s="437"/>
      <c r="AE2" s="437"/>
      <c r="AF2" s="437"/>
      <c r="AG2" s="437"/>
      <c r="AH2" s="437"/>
      <c r="AI2" s="437"/>
      <c r="AJ2" s="475"/>
    </row>
    <row r="3" spans="1:36" s="221" customFormat="1" ht="20.25">
      <c r="A3" s="423" t="s">
        <v>1826</v>
      </c>
      <c r="B3" s="422"/>
      <c r="C3" s="417"/>
      <c r="D3" s="417"/>
      <c r="E3" s="475"/>
      <c r="F3" s="417"/>
      <c r="G3" s="417"/>
      <c r="H3" s="417"/>
      <c r="I3" s="417"/>
      <c r="J3" s="417"/>
      <c r="K3" s="417"/>
      <c r="L3" s="475"/>
      <c r="M3" s="475"/>
      <c r="N3" s="475"/>
      <c r="O3" s="475"/>
      <c r="P3" s="475"/>
      <c r="Q3" s="475"/>
      <c r="R3" s="475"/>
      <c r="S3" s="475"/>
      <c r="T3" s="475"/>
      <c r="U3" s="475"/>
      <c r="V3" s="475"/>
      <c r="W3" s="475"/>
      <c r="X3" s="475"/>
      <c r="Y3" s="475"/>
      <c r="Z3" s="475"/>
      <c r="AA3" s="475"/>
      <c r="AB3" s="437"/>
      <c r="AC3" s="437"/>
      <c r="AD3" s="437"/>
      <c r="AE3" s="437"/>
      <c r="AF3" s="437"/>
      <c r="AG3" s="437"/>
      <c r="AH3" s="437"/>
      <c r="AI3" s="437"/>
      <c r="AJ3" s="475"/>
    </row>
    <row r="4" spans="1:36" s="221" customFormat="1" ht="20.25">
      <c r="A4" s="423" t="s">
        <v>1814</v>
      </c>
      <c r="B4" s="475"/>
      <c r="C4" s="475"/>
      <c r="D4" s="475"/>
      <c r="E4" s="475"/>
      <c r="F4" s="475"/>
      <c r="G4" s="475"/>
      <c r="H4" s="475"/>
      <c r="I4" s="475"/>
      <c r="J4" s="475"/>
      <c r="K4" s="475"/>
      <c r="L4" s="475"/>
      <c r="M4" s="475"/>
      <c r="N4" s="475"/>
      <c r="O4" s="475"/>
      <c r="P4" s="475"/>
      <c r="Q4" s="475"/>
      <c r="R4" s="475"/>
      <c r="S4" s="475"/>
      <c r="T4" s="475"/>
      <c r="U4" s="475"/>
      <c r="V4" s="475"/>
      <c r="W4" s="475"/>
      <c r="X4" s="475"/>
      <c r="Y4" s="475"/>
      <c r="Z4" s="475"/>
      <c r="AA4" s="475"/>
      <c r="AB4" s="437"/>
      <c r="AC4" s="437"/>
      <c r="AD4" s="437"/>
      <c r="AE4" s="437"/>
      <c r="AF4" s="437"/>
      <c r="AG4" s="437"/>
      <c r="AH4" s="437"/>
      <c r="AI4" s="437"/>
      <c r="AJ4" s="475"/>
    </row>
    <row r="5" spans="1:36" s="221" customFormat="1">
      <c r="A5" s="417" t="s">
        <v>1827</v>
      </c>
      <c r="B5" s="477"/>
      <c r="C5" s="477"/>
      <c r="D5" s="477"/>
      <c r="E5" s="477"/>
      <c r="F5" s="477"/>
      <c r="G5" s="477"/>
      <c r="H5" s="477"/>
      <c r="I5" s="477"/>
      <c r="J5" s="477"/>
      <c r="K5" s="477"/>
      <c r="L5" s="475"/>
      <c r="M5" s="475"/>
      <c r="N5" s="475"/>
      <c r="O5" s="475"/>
      <c r="P5" s="475"/>
      <c r="Q5" s="475"/>
      <c r="R5" s="475"/>
      <c r="S5" s="475"/>
      <c r="T5" s="475"/>
      <c r="U5" s="475"/>
      <c r="V5" s="475"/>
      <c r="W5" s="475"/>
      <c r="X5" s="475"/>
      <c r="Y5" s="475"/>
      <c r="Z5" s="475"/>
      <c r="AA5" s="475"/>
      <c r="AB5" s="437"/>
      <c r="AC5" s="437"/>
      <c r="AD5" s="437"/>
      <c r="AE5" s="437"/>
      <c r="AF5" s="437"/>
      <c r="AG5" s="437"/>
      <c r="AH5" s="437"/>
      <c r="AI5" s="437"/>
      <c r="AJ5" s="475"/>
    </row>
    <row r="6" spans="1:36" s="221" customFormat="1">
      <c r="A6" s="477"/>
      <c r="B6" s="477"/>
      <c r="C6" s="477"/>
      <c r="D6" s="477"/>
      <c r="E6" s="477"/>
      <c r="F6" s="477"/>
      <c r="G6" s="477"/>
      <c r="H6" s="477"/>
      <c r="I6" s="477"/>
      <c r="J6" s="477"/>
      <c r="K6" s="477"/>
      <c r="L6" s="475"/>
      <c r="M6" s="475"/>
      <c r="N6" s="475"/>
      <c r="O6" s="475"/>
      <c r="P6" s="475"/>
      <c r="Q6" s="475"/>
      <c r="R6" s="475"/>
      <c r="S6" s="475"/>
      <c r="T6" s="475"/>
      <c r="U6" s="475"/>
      <c r="V6" s="475"/>
      <c r="W6" s="475"/>
      <c r="X6" s="475"/>
      <c r="Y6" s="475"/>
      <c r="Z6" s="475"/>
      <c r="AA6" s="475"/>
      <c r="AB6" s="437"/>
      <c r="AC6" s="437"/>
      <c r="AD6" s="437"/>
      <c r="AE6" s="437"/>
      <c r="AF6" s="437"/>
      <c r="AG6" s="437"/>
      <c r="AH6" s="437"/>
      <c r="AI6" s="437"/>
      <c r="AJ6" s="475"/>
    </row>
    <row r="7" spans="1:36" s="221" customFormat="1">
      <c r="A7" s="477"/>
      <c r="B7" s="477"/>
      <c r="C7" s="477"/>
      <c r="D7" s="477"/>
      <c r="E7" s="477"/>
      <c r="F7" s="477"/>
      <c r="G7" s="477"/>
      <c r="H7" s="477"/>
      <c r="I7" s="477"/>
      <c r="J7" s="477"/>
      <c r="K7" s="477"/>
      <c r="L7" s="475"/>
      <c r="M7" s="475"/>
      <c r="N7" s="475"/>
      <c r="O7" s="475"/>
      <c r="P7" s="475"/>
      <c r="Q7" s="475"/>
      <c r="R7" s="475"/>
      <c r="S7" s="475"/>
      <c r="T7" s="475"/>
      <c r="U7" s="475"/>
      <c r="V7" s="475"/>
      <c r="W7" s="475"/>
      <c r="X7" s="475"/>
      <c r="Y7" s="475"/>
      <c r="Z7" s="475"/>
      <c r="AA7" s="475"/>
      <c r="AB7" s="437"/>
      <c r="AC7" s="437"/>
      <c r="AD7" s="437"/>
      <c r="AE7" s="437"/>
      <c r="AF7" s="437"/>
      <c r="AG7" s="437"/>
      <c r="AH7" s="437"/>
      <c r="AI7" s="437"/>
      <c r="AJ7" s="475"/>
    </row>
    <row r="8" spans="1:36" s="221" customFormat="1" ht="12.75" thickBot="1">
      <c r="A8" s="475"/>
      <c r="B8" s="475"/>
      <c r="C8" s="475"/>
      <c r="D8" s="475"/>
      <c r="E8" s="475"/>
      <c r="F8" s="475"/>
      <c r="G8" s="475"/>
      <c r="H8" s="475"/>
      <c r="I8" s="475"/>
      <c r="J8" s="475"/>
      <c r="K8" s="475"/>
      <c r="L8" s="475"/>
      <c r="M8" s="475"/>
      <c r="N8" s="475"/>
      <c r="O8" s="475"/>
      <c r="P8" s="475"/>
      <c r="Q8" s="475"/>
      <c r="R8" s="475"/>
      <c r="S8" s="475"/>
      <c r="T8" s="475"/>
      <c r="U8" s="475"/>
      <c r="V8" s="475"/>
      <c r="W8" s="475"/>
      <c r="X8" s="475"/>
      <c r="Y8" s="475"/>
      <c r="Z8" s="475"/>
      <c r="AA8" s="475"/>
      <c r="AB8" s="437"/>
      <c r="AC8" s="437"/>
      <c r="AD8" s="437"/>
      <c r="AE8" s="437"/>
      <c r="AF8" s="437"/>
      <c r="AG8" s="437"/>
      <c r="AH8" s="437"/>
      <c r="AI8" s="437"/>
      <c r="AJ8" s="475"/>
    </row>
    <row r="9" spans="1:36" s="221" customFormat="1" ht="13.5" thickTop="1" thickBot="1">
      <c r="A9" s="327"/>
      <c r="B9" s="328"/>
      <c r="C9" s="327"/>
      <c r="D9" s="363"/>
      <c r="E9" s="363"/>
      <c r="F9" s="363"/>
      <c r="G9" s="364"/>
      <c r="H9" s="366" t="s">
        <v>1799</v>
      </c>
      <c r="I9" s="327"/>
      <c r="J9" s="363"/>
      <c r="K9" s="363"/>
      <c r="L9" s="368"/>
      <c r="M9" s="364"/>
      <c r="N9" s="327"/>
      <c r="O9" s="364"/>
      <c r="P9" s="327"/>
      <c r="Q9" s="364"/>
      <c r="R9" s="370"/>
      <c r="S9" s="362"/>
      <c r="T9" s="362"/>
      <c r="U9" s="362"/>
      <c r="V9" s="362"/>
      <c r="W9" s="362" t="s">
        <v>1804</v>
      </c>
      <c r="X9" s="362"/>
      <c r="Y9" s="362"/>
      <c r="Z9" s="362"/>
      <c r="AA9" s="362"/>
      <c r="AB9" s="371"/>
      <c r="AC9" s="372"/>
      <c r="AD9" s="374"/>
      <c r="AE9" s="375"/>
      <c r="AF9" s="375" t="s">
        <v>1806</v>
      </c>
      <c r="AG9" s="375"/>
      <c r="AH9" s="375"/>
      <c r="AI9" s="376"/>
      <c r="AJ9" s="66" t="s">
        <v>570</v>
      </c>
    </row>
    <row r="10" spans="1:36" s="221" customFormat="1" ht="13.5" thickTop="1" thickBot="1">
      <c r="A10" s="329" t="s">
        <v>1799</v>
      </c>
      <c r="B10" s="330"/>
      <c r="C10" s="329"/>
      <c r="D10" s="360"/>
      <c r="E10" s="360" t="s">
        <v>1800</v>
      </c>
      <c r="F10" s="360"/>
      <c r="G10" s="365"/>
      <c r="H10" s="367" t="s">
        <v>1801</v>
      </c>
      <c r="I10" s="329"/>
      <c r="J10" s="360" t="s">
        <v>1802</v>
      </c>
      <c r="K10" s="360"/>
      <c r="L10" s="369"/>
      <c r="M10" s="365"/>
      <c r="N10" s="329" t="s">
        <v>1803</v>
      </c>
      <c r="O10" s="365"/>
      <c r="P10" s="329" t="s">
        <v>1799</v>
      </c>
      <c r="Q10" s="365"/>
      <c r="R10" s="370"/>
      <c r="S10" s="362" t="s">
        <v>1859</v>
      </c>
      <c r="T10" s="362"/>
      <c r="U10" s="362"/>
      <c r="V10" s="373"/>
      <c r="W10" s="370"/>
      <c r="X10" s="362" t="s">
        <v>1860</v>
      </c>
      <c r="Y10" s="362"/>
      <c r="Z10" s="373"/>
      <c r="AA10" s="331"/>
      <c r="AB10" s="332"/>
      <c r="AC10" s="333"/>
      <c r="AD10" s="377"/>
      <c r="AE10" s="378"/>
      <c r="AF10" s="378" t="s">
        <v>1807</v>
      </c>
      <c r="AG10" s="378"/>
      <c r="AH10" s="378"/>
      <c r="AI10" s="379"/>
      <c r="AJ10" s="66" t="s">
        <v>571</v>
      </c>
    </row>
    <row r="11" spans="1:36" s="221" customFormat="1" ht="20.25" thickTop="1">
      <c r="A11" s="69"/>
      <c r="B11" s="67" t="s">
        <v>572</v>
      </c>
      <c r="C11" s="18" t="s">
        <v>573</v>
      </c>
      <c r="D11" s="18" t="s">
        <v>574</v>
      </c>
      <c r="E11" s="18" t="s">
        <v>575</v>
      </c>
      <c r="F11" s="18" t="s">
        <v>576</v>
      </c>
      <c r="G11" s="67" t="s">
        <v>577</v>
      </c>
      <c r="H11" s="67" t="s">
        <v>578</v>
      </c>
      <c r="I11" s="18" t="s">
        <v>579</v>
      </c>
      <c r="J11" s="18" t="s">
        <v>580</v>
      </c>
      <c r="K11" s="18" t="s">
        <v>581</v>
      </c>
      <c r="L11" s="130" t="s">
        <v>582</v>
      </c>
      <c r="M11" s="67" t="s">
        <v>583</v>
      </c>
      <c r="N11" s="18" t="s">
        <v>584</v>
      </c>
      <c r="O11" s="18" t="s">
        <v>585</v>
      </c>
      <c r="P11" s="69"/>
      <c r="Q11" s="67" t="s">
        <v>572</v>
      </c>
      <c r="R11" s="18" t="s">
        <v>586</v>
      </c>
      <c r="S11" s="18" t="s">
        <v>587</v>
      </c>
      <c r="T11" s="18" t="s">
        <v>588</v>
      </c>
      <c r="U11" s="18" t="s">
        <v>589</v>
      </c>
      <c r="V11" s="67" t="s">
        <v>590</v>
      </c>
      <c r="W11" s="18" t="s">
        <v>591</v>
      </c>
      <c r="X11" s="18" t="s">
        <v>592</v>
      </c>
      <c r="Y11" s="18" t="s">
        <v>593</v>
      </c>
      <c r="Z11" s="67" t="s">
        <v>594</v>
      </c>
      <c r="AA11" s="18" t="s">
        <v>595</v>
      </c>
      <c r="AB11" s="13" t="s">
        <v>596</v>
      </c>
      <c r="AC11" s="16" t="s">
        <v>1440</v>
      </c>
      <c r="AD11" s="374"/>
      <c r="AE11" s="375"/>
      <c r="AF11" s="376"/>
      <c r="AG11" s="374"/>
      <c r="AH11" s="375"/>
      <c r="AI11" s="376"/>
      <c r="AJ11" s="66" t="s">
        <v>598</v>
      </c>
    </row>
    <row r="12" spans="1:36" ht="13.5" customHeight="1" thickBot="1">
      <c r="A12" s="69"/>
      <c r="B12" s="67" t="s">
        <v>599</v>
      </c>
      <c r="C12" s="18" t="s">
        <v>600</v>
      </c>
      <c r="D12" s="18" t="s">
        <v>601</v>
      </c>
      <c r="E12" s="18" t="s">
        <v>601</v>
      </c>
      <c r="F12" s="18" t="s">
        <v>601</v>
      </c>
      <c r="G12" s="67" t="s">
        <v>601</v>
      </c>
      <c r="H12" s="67" t="s">
        <v>602</v>
      </c>
      <c r="I12" s="18" t="s">
        <v>601</v>
      </c>
      <c r="J12" s="18" t="s">
        <v>601</v>
      </c>
      <c r="K12" s="18"/>
      <c r="L12" s="129" t="s">
        <v>601</v>
      </c>
      <c r="M12" s="67" t="s">
        <v>601</v>
      </c>
      <c r="N12" s="18" t="s">
        <v>603</v>
      </c>
      <c r="O12" s="18" t="s">
        <v>604</v>
      </c>
      <c r="P12" s="69"/>
      <c r="Q12" s="67" t="s">
        <v>599</v>
      </c>
      <c r="R12" s="18" t="s">
        <v>605</v>
      </c>
      <c r="S12" s="18" t="s">
        <v>606</v>
      </c>
      <c r="T12" s="18" t="s">
        <v>606</v>
      </c>
      <c r="U12" s="18" t="s">
        <v>607</v>
      </c>
      <c r="V12" s="67" t="s">
        <v>608</v>
      </c>
      <c r="W12" s="18" t="s">
        <v>609</v>
      </c>
      <c r="X12" s="18" t="s">
        <v>610</v>
      </c>
      <c r="Y12" s="18" t="s">
        <v>610</v>
      </c>
      <c r="Z12" s="67" t="s">
        <v>607</v>
      </c>
      <c r="AA12" s="18" t="s">
        <v>601</v>
      </c>
      <c r="AB12" s="13" t="s">
        <v>611</v>
      </c>
      <c r="AC12" s="16" t="s">
        <v>612</v>
      </c>
      <c r="AD12" s="377"/>
      <c r="AE12" s="378" t="s">
        <v>1808</v>
      </c>
      <c r="AF12" s="379"/>
      <c r="AG12" s="377"/>
      <c r="AH12" s="378" t="s">
        <v>1809</v>
      </c>
      <c r="AI12" s="379"/>
      <c r="AJ12" s="66" t="s">
        <v>613</v>
      </c>
    </row>
    <row r="13" spans="1:36" ht="13.5" customHeight="1" thickTop="1" thickBot="1">
      <c r="A13" s="131"/>
      <c r="B13" s="132"/>
      <c r="C13" s="133"/>
      <c r="D13" s="133"/>
      <c r="E13" s="133"/>
      <c r="F13" s="133"/>
      <c r="G13" s="132"/>
      <c r="H13" s="132"/>
      <c r="I13" s="133"/>
      <c r="J13" s="133"/>
      <c r="K13" s="133"/>
      <c r="L13" s="134"/>
      <c r="M13" s="132"/>
      <c r="N13" s="133"/>
      <c r="O13" s="133"/>
      <c r="P13" s="131"/>
      <c r="Q13" s="132"/>
      <c r="R13" s="133"/>
      <c r="S13" s="133"/>
      <c r="T13" s="133"/>
      <c r="U13" s="133"/>
      <c r="V13" s="132"/>
      <c r="W13" s="133"/>
      <c r="X13" s="133"/>
      <c r="Y13" s="133"/>
      <c r="Z13" s="132"/>
      <c r="AA13" s="133"/>
      <c r="AB13" s="24"/>
      <c r="AC13" s="27"/>
      <c r="AD13" s="28">
        <v>235</v>
      </c>
      <c r="AE13" s="28">
        <v>355</v>
      </c>
      <c r="AF13" s="28">
        <v>460</v>
      </c>
      <c r="AG13" s="28">
        <v>235</v>
      </c>
      <c r="AH13" s="28">
        <v>355</v>
      </c>
      <c r="AI13" s="29">
        <v>460</v>
      </c>
      <c r="AJ13" s="66" t="s">
        <v>578</v>
      </c>
    </row>
    <row r="14" spans="1:36" ht="13.5" customHeight="1" thickTop="1">
      <c r="A14" s="195"/>
      <c r="B14" s="195"/>
      <c r="C14" s="195"/>
      <c r="D14" s="195"/>
      <c r="E14" s="195"/>
      <c r="F14" s="195"/>
      <c r="G14" s="195"/>
      <c r="H14" s="195"/>
      <c r="I14" s="195"/>
      <c r="J14" s="195"/>
      <c r="K14" s="195"/>
      <c r="L14" s="196"/>
      <c r="M14" s="195"/>
      <c r="N14" s="195"/>
      <c r="O14" s="195"/>
      <c r="P14" s="195"/>
      <c r="Q14" s="195"/>
      <c r="R14" s="195"/>
      <c r="S14" s="195"/>
      <c r="T14" s="195"/>
      <c r="U14" s="195"/>
      <c r="V14" s="195"/>
      <c r="W14" s="195"/>
      <c r="X14" s="195"/>
      <c r="Y14" s="195"/>
      <c r="Z14" s="195"/>
      <c r="AA14" s="195"/>
      <c r="AB14" s="30"/>
      <c r="AC14" s="30"/>
      <c r="AD14" s="30"/>
      <c r="AE14" s="30"/>
      <c r="AF14" s="30"/>
      <c r="AG14" s="30"/>
      <c r="AH14" s="30"/>
      <c r="AI14" s="30"/>
      <c r="AJ14" s="141" t="s">
        <v>614</v>
      </c>
    </row>
    <row r="15" spans="1:36" s="480" customFormat="1" ht="15.75" customHeight="1">
      <c r="A15" s="387" t="s">
        <v>1441</v>
      </c>
      <c r="B15" s="388">
        <v>23</v>
      </c>
      <c r="C15" s="390">
        <v>152.4</v>
      </c>
      <c r="D15" s="389">
        <v>152.19999999999999</v>
      </c>
      <c r="E15" s="389">
        <v>5.8</v>
      </c>
      <c r="F15" s="389">
        <v>6.8</v>
      </c>
      <c r="G15" s="388">
        <v>7.6</v>
      </c>
      <c r="H15" s="392">
        <v>29.25</v>
      </c>
      <c r="I15" s="389">
        <v>138.80000000000001</v>
      </c>
      <c r="J15" s="389">
        <v>123.6</v>
      </c>
      <c r="K15" s="389" t="s">
        <v>689</v>
      </c>
      <c r="L15" s="393">
        <v>72</v>
      </c>
      <c r="M15" s="394">
        <v>76</v>
      </c>
      <c r="N15" s="396">
        <v>0.89</v>
      </c>
      <c r="O15" s="396">
        <v>38.72</v>
      </c>
      <c r="P15" s="387" t="s">
        <v>1441</v>
      </c>
      <c r="Q15" s="388">
        <v>23</v>
      </c>
      <c r="R15" s="393">
        <v>1250</v>
      </c>
      <c r="S15" s="393">
        <v>164</v>
      </c>
      <c r="T15" s="393">
        <v>182</v>
      </c>
      <c r="U15" s="396">
        <v>6.54</v>
      </c>
      <c r="V15" s="392">
        <v>9.9700000000000006</v>
      </c>
      <c r="W15" s="390">
        <v>399.9</v>
      </c>
      <c r="X15" s="396">
        <v>52.55</v>
      </c>
      <c r="Y15" s="396">
        <v>80.16</v>
      </c>
      <c r="Z15" s="392">
        <v>3.7</v>
      </c>
      <c r="AA15" s="390">
        <v>28.3</v>
      </c>
      <c r="AB15" s="398">
        <v>4.8600000000000003</v>
      </c>
      <c r="AC15" s="398">
        <v>21.18</v>
      </c>
      <c r="AD15" s="453">
        <v>3</v>
      </c>
      <c r="AE15" s="398">
        <v>3</v>
      </c>
      <c r="AF15" s="399" t="s">
        <v>616</v>
      </c>
      <c r="AG15" s="454">
        <v>3</v>
      </c>
      <c r="AH15" s="398">
        <v>3</v>
      </c>
      <c r="AI15" s="400" t="s">
        <v>616</v>
      </c>
      <c r="AJ15" s="389"/>
    </row>
    <row r="16" spans="1:36" ht="13.5" customHeight="1">
      <c r="A16" s="197" t="s">
        <v>1442</v>
      </c>
      <c r="B16" s="139">
        <v>30</v>
      </c>
      <c r="C16" s="205">
        <v>157.6</v>
      </c>
      <c r="D16" s="198">
        <v>152.9</v>
      </c>
      <c r="E16" s="198">
        <v>6.5</v>
      </c>
      <c r="F16" s="198">
        <v>9.4</v>
      </c>
      <c r="G16" s="139">
        <v>7.6</v>
      </c>
      <c r="H16" s="91">
        <v>38.26</v>
      </c>
      <c r="I16" s="83">
        <v>138.80000000000001</v>
      </c>
      <c r="J16" s="83">
        <v>123.6</v>
      </c>
      <c r="K16" s="83" t="s">
        <v>689</v>
      </c>
      <c r="L16" s="86">
        <v>72</v>
      </c>
      <c r="M16" s="87">
        <v>76</v>
      </c>
      <c r="N16" s="89">
        <v>0.9</v>
      </c>
      <c r="O16" s="89">
        <v>29.99</v>
      </c>
      <c r="P16" s="197" t="s">
        <v>1442</v>
      </c>
      <c r="Q16" s="82">
        <v>30</v>
      </c>
      <c r="R16" s="86">
        <v>1748</v>
      </c>
      <c r="S16" s="204">
        <v>221.8</v>
      </c>
      <c r="T16" s="84">
        <v>247.7</v>
      </c>
      <c r="U16" s="89">
        <v>6.76</v>
      </c>
      <c r="V16" s="91">
        <v>11.56</v>
      </c>
      <c r="W16" s="84">
        <v>560.5</v>
      </c>
      <c r="X16" s="89">
        <v>73.31</v>
      </c>
      <c r="Y16" s="84">
        <v>111.6</v>
      </c>
      <c r="Z16" s="91">
        <v>3.83</v>
      </c>
      <c r="AA16" s="84">
        <v>34.200000000000003</v>
      </c>
      <c r="AB16" s="21">
        <v>10.67</v>
      </c>
      <c r="AC16" s="21">
        <v>30.75</v>
      </c>
      <c r="AD16" s="199">
        <v>1</v>
      </c>
      <c r="AE16" s="200">
        <v>1</v>
      </c>
      <c r="AF16" s="201" t="s">
        <v>616</v>
      </c>
      <c r="AG16" s="222">
        <v>1</v>
      </c>
      <c r="AH16" s="200">
        <v>1</v>
      </c>
      <c r="AI16" s="202" t="s">
        <v>616</v>
      </c>
      <c r="AJ16" s="198"/>
    </row>
    <row r="17" spans="1:36" s="482" customFormat="1" ht="13.5" customHeight="1">
      <c r="A17" s="387" t="s">
        <v>1443</v>
      </c>
      <c r="B17" s="388">
        <v>37</v>
      </c>
      <c r="C17" s="390">
        <v>161.80000000000001</v>
      </c>
      <c r="D17" s="389">
        <v>154.4</v>
      </c>
      <c r="E17" s="389">
        <v>8</v>
      </c>
      <c r="F17" s="389">
        <v>11.5</v>
      </c>
      <c r="G17" s="388">
        <v>7.6</v>
      </c>
      <c r="H17" s="392">
        <v>47.11</v>
      </c>
      <c r="I17" s="389">
        <v>138.80000000000001</v>
      </c>
      <c r="J17" s="389">
        <v>123.6</v>
      </c>
      <c r="K17" s="389" t="s">
        <v>689</v>
      </c>
      <c r="L17" s="393">
        <v>74</v>
      </c>
      <c r="M17" s="394">
        <v>78</v>
      </c>
      <c r="N17" s="396">
        <v>0.91</v>
      </c>
      <c r="O17" s="396">
        <v>24.66</v>
      </c>
      <c r="P17" s="387" t="s">
        <v>1443</v>
      </c>
      <c r="Q17" s="388">
        <v>37</v>
      </c>
      <c r="R17" s="393">
        <v>2210</v>
      </c>
      <c r="S17" s="492">
        <v>273.2</v>
      </c>
      <c r="T17" s="390">
        <v>308.8</v>
      </c>
      <c r="U17" s="396">
        <v>6.85</v>
      </c>
      <c r="V17" s="392">
        <v>14.27</v>
      </c>
      <c r="W17" s="390">
        <v>706.2</v>
      </c>
      <c r="X17" s="396">
        <v>91.48</v>
      </c>
      <c r="Y17" s="390">
        <v>139.6</v>
      </c>
      <c r="Z17" s="392">
        <v>3.87</v>
      </c>
      <c r="AA17" s="390">
        <v>39.9</v>
      </c>
      <c r="AB17" s="398">
        <v>19.489999999999998</v>
      </c>
      <c r="AC17" s="398">
        <v>39.840000000000003</v>
      </c>
      <c r="AD17" s="453">
        <v>1</v>
      </c>
      <c r="AE17" s="398">
        <v>1</v>
      </c>
      <c r="AF17" s="399" t="s">
        <v>616</v>
      </c>
      <c r="AG17" s="454">
        <v>1</v>
      </c>
      <c r="AH17" s="398">
        <v>1</v>
      </c>
      <c r="AI17" s="400" t="s">
        <v>616</v>
      </c>
      <c r="AJ17" s="389"/>
    </row>
    <row r="18" spans="1:36" s="203" customFormat="1" ht="13.5" customHeight="1">
      <c r="A18" s="197"/>
      <c r="B18" s="139"/>
      <c r="C18" s="205"/>
      <c r="D18" s="198"/>
      <c r="E18" s="198"/>
      <c r="F18" s="198"/>
      <c r="G18" s="139"/>
      <c r="H18" s="91"/>
      <c r="I18" s="83"/>
      <c r="J18" s="83"/>
      <c r="K18" s="83"/>
      <c r="L18" s="86"/>
      <c r="M18" s="87"/>
      <c r="N18" s="89"/>
      <c r="O18" s="89"/>
      <c r="P18" s="197"/>
      <c r="Q18" s="82"/>
      <c r="R18" s="86"/>
      <c r="S18" s="204"/>
      <c r="T18" s="84"/>
      <c r="U18" s="89"/>
      <c r="V18" s="91"/>
      <c r="W18" s="86"/>
      <c r="X18" s="84"/>
      <c r="Y18" s="84"/>
      <c r="Z18" s="91"/>
      <c r="AA18" s="84"/>
      <c r="AB18" s="21"/>
      <c r="AC18" s="21"/>
      <c r="AD18" s="199"/>
      <c r="AE18" s="200"/>
      <c r="AF18" s="201"/>
      <c r="AG18" s="222"/>
      <c r="AH18" s="200"/>
      <c r="AI18" s="202"/>
      <c r="AJ18" s="198"/>
    </row>
    <row r="19" spans="1:36" s="434" customFormat="1" ht="13.5" customHeight="1">
      <c r="A19" s="387" t="s">
        <v>1444</v>
      </c>
      <c r="B19" s="388">
        <v>46.1</v>
      </c>
      <c r="C19" s="390">
        <v>203.2</v>
      </c>
      <c r="D19" s="389">
        <v>203.6</v>
      </c>
      <c r="E19" s="389">
        <v>7.2</v>
      </c>
      <c r="F19" s="389">
        <v>11</v>
      </c>
      <c r="G19" s="388">
        <v>10.199999999999999</v>
      </c>
      <c r="H19" s="392">
        <v>58.73</v>
      </c>
      <c r="I19" s="389">
        <v>181.2</v>
      </c>
      <c r="J19" s="389">
        <v>160.80000000000001</v>
      </c>
      <c r="K19" s="389" t="s">
        <v>667</v>
      </c>
      <c r="L19" s="393">
        <v>90</v>
      </c>
      <c r="M19" s="394">
        <v>104</v>
      </c>
      <c r="N19" s="396">
        <v>1.19</v>
      </c>
      <c r="O19" s="396">
        <v>25.79</v>
      </c>
      <c r="P19" s="387" t="s">
        <v>1444</v>
      </c>
      <c r="Q19" s="388">
        <v>46.1</v>
      </c>
      <c r="R19" s="393">
        <v>4568</v>
      </c>
      <c r="S19" s="492">
        <v>449.6</v>
      </c>
      <c r="T19" s="390">
        <v>497.4</v>
      </c>
      <c r="U19" s="396">
        <v>8.82</v>
      </c>
      <c r="V19" s="392">
        <v>16.98</v>
      </c>
      <c r="W19" s="393">
        <v>1548</v>
      </c>
      <c r="X19" s="390">
        <v>152.1</v>
      </c>
      <c r="Y19" s="390">
        <v>230.9</v>
      </c>
      <c r="Z19" s="392">
        <v>5.13</v>
      </c>
      <c r="AA19" s="390">
        <v>41.2</v>
      </c>
      <c r="AB19" s="398">
        <v>22.34</v>
      </c>
      <c r="AC19" s="398">
        <v>142.9</v>
      </c>
      <c r="AD19" s="453">
        <v>1</v>
      </c>
      <c r="AE19" s="398">
        <v>3</v>
      </c>
      <c r="AF19" s="399" t="s">
        <v>616</v>
      </c>
      <c r="AG19" s="454">
        <v>1</v>
      </c>
      <c r="AH19" s="398">
        <v>3</v>
      </c>
      <c r="AI19" s="400" t="s">
        <v>616</v>
      </c>
      <c r="AJ19" s="389"/>
    </row>
    <row r="20" spans="1:36" s="203" customFormat="1" ht="13.5" customHeight="1">
      <c r="A20" s="197" t="s">
        <v>1445</v>
      </c>
      <c r="B20" s="139">
        <v>52</v>
      </c>
      <c r="C20" s="205">
        <v>206.2</v>
      </c>
      <c r="D20" s="198">
        <v>204.3</v>
      </c>
      <c r="E20" s="198">
        <v>7.9</v>
      </c>
      <c r="F20" s="198">
        <v>12.5</v>
      </c>
      <c r="G20" s="139">
        <v>10.199999999999999</v>
      </c>
      <c r="H20" s="91">
        <v>66.28</v>
      </c>
      <c r="I20" s="83">
        <v>181.2</v>
      </c>
      <c r="J20" s="83">
        <v>160.80000000000001</v>
      </c>
      <c r="K20" s="83" t="s">
        <v>667</v>
      </c>
      <c r="L20" s="86">
        <v>90</v>
      </c>
      <c r="M20" s="87">
        <v>104</v>
      </c>
      <c r="N20" s="89">
        <v>1.2</v>
      </c>
      <c r="O20" s="89">
        <v>22.99</v>
      </c>
      <c r="P20" s="197" t="s">
        <v>1445</v>
      </c>
      <c r="Q20" s="82">
        <v>52</v>
      </c>
      <c r="R20" s="86">
        <v>5259</v>
      </c>
      <c r="S20" s="204">
        <v>510.1</v>
      </c>
      <c r="T20" s="84">
        <v>567.4</v>
      </c>
      <c r="U20" s="89">
        <v>8.91</v>
      </c>
      <c r="V20" s="91">
        <v>18.75</v>
      </c>
      <c r="W20" s="86">
        <v>1778</v>
      </c>
      <c r="X20" s="86">
        <v>174</v>
      </c>
      <c r="Y20" s="84">
        <v>264.2</v>
      </c>
      <c r="Z20" s="91">
        <v>5.18</v>
      </c>
      <c r="AA20" s="84">
        <v>44.9</v>
      </c>
      <c r="AB20" s="21">
        <v>31.97</v>
      </c>
      <c r="AC20" s="21">
        <v>166.6</v>
      </c>
      <c r="AD20" s="199">
        <v>1</v>
      </c>
      <c r="AE20" s="200">
        <v>2</v>
      </c>
      <c r="AF20" s="201" t="s">
        <v>616</v>
      </c>
      <c r="AG20" s="222">
        <v>1</v>
      </c>
      <c r="AH20" s="200">
        <v>2</v>
      </c>
      <c r="AI20" s="202" t="s">
        <v>616</v>
      </c>
      <c r="AJ20" s="198"/>
    </row>
    <row r="21" spans="1:36" s="434" customFormat="1" ht="13.5" customHeight="1">
      <c r="A21" s="387" t="s">
        <v>1446</v>
      </c>
      <c r="B21" s="388">
        <v>60</v>
      </c>
      <c r="C21" s="390">
        <v>209.6</v>
      </c>
      <c r="D21" s="389">
        <v>205.8</v>
      </c>
      <c r="E21" s="389">
        <v>9.4</v>
      </c>
      <c r="F21" s="389">
        <v>14.2</v>
      </c>
      <c r="G21" s="388">
        <v>10.199999999999999</v>
      </c>
      <c r="H21" s="392">
        <v>76.37</v>
      </c>
      <c r="I21" s="389">
        <v>181.2</v>
      </c>
      <c r="J21" s="389">
        <v>160.80000000000001</v>
      </c>
      <c r="K21" s="389" t="s">
        <v>667</v>
      </c>
      <c r="L21" s="393">
        <v>90</v>
      </c>
      <c r="M21" s="394">
        <v>106</v>
      </c>
      <c r="N21" s="396">
        <v>1.21</v>
      </c>
      <c r="O21" s="396">
        <v>20.12</v>
      </c>
      <c r="P21" s="387" t="s">
        <v>1446</v>
      </c>
      <c r="Q21" s="388">
        <v>60</v>
      </c>
      <c r="R21" s="393">
        <v>6125</v>
      </c>
      <c r="S21" s="390">
        <v>584.4</v>
      </c>
      <c r="T21" s="390">
        <v>656.1</v>
      </c>
      <c r="U21" s="396">
        <v>8.9600000000000009</v>
      </c>
      <c r="V21" s="392">
        <v>22.16</v>
      </c>
      <c r="W21" s="393">
        <v>2065</v>
      </c>
      <c r="X21" s="390">
        <v>200.6</v>
      </c>
      <c r="Y21" s="390">
        <v>305.3</v>
      </c>
      <c r="Z21" s="392">
        <v>5.2</v>
      </c>
      <c r="AA21" s="390">
        <v>49.8</v>
      </c>
      <c r="AB21" s="398">
        <v>47.78</v>
      </c>
      <c r="AC21" s="398">
        <v>196.9</v>
      </c>
      <c r="AD21" s="453">
        <v>1</v>
      </c>
      <c r="AE21" s="398">
        <v>1</v>
      </c>
      <c r="AF21" s="399" t="s">
        <v>616</v>
      </c>
      <c r="AG21" s="454">
        <v>1</v>
      </c>
      <c r="AH21" s="398">
        <v>1</v>
      </c>
      <c r="AI21" s="400" t="s">
        <v>616</v>
      </c>
      <c r="AJ21" s="389"/>
    </row>
    <row r="22" spans="1:36" s="203" customFormat="1" ht="13.5" customHeight="1">
      <c r="A22" s="197" t="s">
        <v>1447</v>
      </c>
      <c r="B22" s="139">
        <v>71</v>
      </c>
      <c r="C22" s="205">
        <v>215.8</v>
      </c>
      <c r="D22" s="198">
        <v>206.4</v>
      </c>
      <c r="E22" s="198">
        <v>10</v>
      </c>
      <c r="F22" s="198">
        <v>17.3</v>
      </c>
      <c r="G22" s="139">
        <v>10.199999999999999</v>
      </c>
      <c r="H22" s="91">
        <v>90.43</v>
      </c>
      <c r="I22" s="83">
        <v>181.2</v>
      </c>
      <c r="J22" s="83">
        <v>160.80000000000001</v>
      </c>
      <c r="K22" s="83" t="s">
        <v>667</v>
      </c>
      <c r="L22" s="86">
        <v>92</v>
      </c>
      <c r="M22" s="87">
        <v>106</v>
      </c>
      <c r="N22" s="89">
        <v>1.22</v>
      </c>
      <c r="O22" s="89">
        <v>17.18</v>
      </c>
      <c r="P22" s="197" t="s">
        <v>1447</v>
      </c>
      <c r="Q22" s="82">
        <v>71</v>
      </c>
      <c r="R22" s="86">
        <v>7618</v>
      </c>
      <c r="S22" s="86">
        <v>706</v>
      </c>
      <c r="T22" s="84">
        <v>798.8</v>
      </c>
      <c r="U22" s="89">
        <v>9.18</v>
      </c>
      <c r="V22" s="91">
        <v>24.27</v>
      </c>
      <c r="W22" s="86">
        <v>2537</v>
      </c>
      <c r="X22" s="84">
        <v>245.9</v>
      </c>
      <c r="Y22" s="84">
        <v>373.7</v>
      </c>
      <c r="Z22" s="91">
        <v>5.3</v>
      </c>
      <c r="AA22" s="84">
        <v>56.6</v>
      </c>
      <c r="AB22" s="21">
        <v>80.63</v>
      </c>
      <c r="AC22" s="21">
        <v>249.7</v>
      </c>
      <c r="AD22" s="199">
        <v>1</v>
      </c>
      <c r="AE22" s="200">
        <v>1</v>
      </c>
      <c r="AF22" s="201" t="s">
        <v>616</v>
      </c>
      <c r="AG22" s="222">
        <v>1</v>
      </c>
      <c r="AH22" s="200">
        <v>1</v>
      </c>
      <c r="AI22" s="202" t="s">
        <v>616</v>
      </c>
      <c r="AJ22" s="198"/>
    </row>
    <row r="23" spans="1:36" s="434" customFormat="1" ht="13.5" customHeight="1">
      <c r="A23" s="387" t="s">
        <v>1448</v>
      </c>
      <c r="B23" s="388">
        <v>86.1</v>
      </c>
      <c r="C23" s="390">
        <v>222.2</v>
      </c>
      <c r="D23" s="389">
        <v>209.1</v>
      </c>
      <c r="E23" s="389">
        <v>12.7</v>
      </c>
      <c r="F23" s="389">
        <v>20.5</v>
      </c>
      <c r="G23" s="388">
        <v>10.199999999999999</v>
      </c>
      <c r="H23" s="388">
        <v>109.6</v>
      </c>
      <c r="I23" s="389">
        <v>181.2</v>
      </c>
      <c r="J23" s="389">
        <v>160.80000000000001</v>
      </c>
      <c r="K23" s="389" t="s">
        <v>667</v>
      </c>
      <c r="L23" s="393">
        <v>94</v>
      </c>
      <c r="M23" s="394">
        <v>110</v>
      </c>
      <c r="N23" s="396">
        <v>1.24</v>
      </c>
      <c r="O23" s="396">
        <v>14.38</v>
      </c>
      <c r="P23" s="387" t="s">
        <v>1448</v>
      </c>
      <c r="Q23" s="388">
        <v>86.1</v>
      </c>
      <c r="R23" s="393">
        <v>9449</v>
      </c>
      <c r="S23" s="492">
        <v>850.5</v>
      </c>
      <c r="T23" s="390">
        <v>976.7</v>
      </c>
      <c r="U23" s="396">
        <v>9.2799999999999994</v>
      </c>
      <c r="V23" s="392">
        <v>30.69</v>
      </c>
      <c r="W23" s="393">
        <v>3127</v>
      </c>
      <c r="X23" s="390">
        <v>299.10000000000002</v>
      </c>
      <c r="Y23" s="390">
        <v>456.2</v>
      </c>
      <c r="Z23" s="392">
        <v>5.34</v>
      </c>
      <c r="AA23" s="390">
        <v>65.7</v>
      </c>
      <c r="AB23" s="398">
        <v>138.30000000000001</v>
      </c>
      <c r="AC23" s="398">
        <v>317.7</v>
      </c>
      <c r="AD23" s="453">
        <v>1</v>
      </c>
      <c r="AE23" s="398">
        <v>1</v>
      </c>
      <c r="AF23" s="399" t="s">
        <v>616</v>
      </c>
      <c r="AG23" s="454">
        <v>1</v>
      </c>
      <c r="AH23" s="398">
        <v>1</v>
      </c>
      <c r="AI23" s="400" t="s">
        <v>616</v>
      </c>
      <c r="AJ23" s="389"/>
    </row>
    <row r="24" spans="1:36" s="203" customFormat="1" ht="13.5" customHeight="1">
      <c r="A24" s="197"/>
      <c r="B24" s="139"/>
      <c r="C24" s="205"/>
      <c r="D24" s="198"/>
      <c r="E24" s="198"/>
      <c r="F24" s="198"/>
      <c r="G24" s="139"/>
      <c r="H24" s="82"/>
      <c r="I24" s="83"/>
      <c r="J24" s="83"/>
      <c r="K24" s="83"/>
      <c r="L24" s="86"/>
      <c r="M24" s="87"/>
      <c r="N24" s="89"/>
      <c r="O24" s="89"/>
      <c r="P24" s="197"/>
      <c r="Q24" s="82"/>
      <c r="R24" s="86"/>
      <c r="S24" s="86"/>
      <c r="T24" s="84"/>
      <c r="U24" s="89"/>
      <c r="V24" s="91"/>
      <c r="W24" s="86"/>
      <c r="X24" s="86"/>
      <c r="Y24" s="84"/>
      <c r="Z24" s="91"/>
      <c r="AA24" s="84"/>
      <c r="AB24" s="21"/>
      <c r="AC24" s="21"/>
      <c r="AD24" s="199"/>
      <c r="AE24" s="200"/>
      <c r="AF24" s="201"/>
      <c r="AG24" s="222"/>
      <c r="AH24" s="200"/>
      <c r="AI24" s="202"/>
      <c r="AJ24" s="198"/>
    </row>
    <row r="25" spans="1:36" s="434" customFormat="1" ht="13.5" customHeight="1">
      <c r="A25" s="387" t="s">
        <v>1449</v>
      </c>
      <c r="B25" s="388">
        <v>73.099999999999994</v>
      </c>
      <c r="C25" s="390">
        <v>254.1</v>
      </c>
      <c r="D25" s="389">
        <v>254.6</v>
      </c>
      <c r="E25" s="389">
        <v>8.6</v>
      </c>
      <c r="F25" s="389">
        <v>14.2</v>
      </c>
      <c r="G25" s="388">
        <v>12.7</v>
      </c>
      <c r="H25" s="388">
        <v>93.1</v>
      </c>
      <c r="I25" s="389">
        <v>225.7</v>
      </c>
      <c r="J25" s="389">
        <v>200.3</v>
      </c>
      <c r="K25" s="389" t="s">
        <v>667</v>
      </c>
      <c r="L25" s="393">
        <v>100</v>
      </c>
      <c r="M25" s="394">
        <v>152</v>
      </c>
      <c r="N25" s="396">
        <v>1.49</v>
      </c>
      <c r="O25" s="396">
        <v>20.350000000000001</v>
      </c>
      <c r="P25" s="387" t="s">
        <v>1449</v>
      </c>
      <c r="Q25" s="388">
        <v>73.099999999999994</v>
      </c>
      <c r="R25" s="393">
        <v>11410</v>
      </c>
      <c r="S25" s="390">
        <v>897.9</v>
      </c>
      <c r="T25" s="390">
        <v>992.1</v>
      </c>
      <c r="U25" s="396">
        <v>11.07</v>
      </c>
      <c r="V25" s="392">
        <v>25.62</v>
      </c>
      <c r="W25" s="393">
        <v>3908</v>
      </c>
      <c r="X25" s="393">
        <v>307</v>
      </c>
      <c r="Y25" s="390">
        <v>465.4</v>
      </c>
      <c r="Z25" s="392">
        <v>6.48</v>
      </c>
      <c r="AA25" s="390">
        <v>51.9</v>
      </c>
      <c r="AB25" s="398">
        <v>57.74</v>
      </c>
      <c r="AC25" s="398">
        <v>562</v>
      </c>
      <c r="AD25" s="453">
        <v>1</v>
      </c>
      <c r="AE25" s="398">
        <v>3</v>
      </c>
      <c r="AF25" s="399">
        <v>3</v>
      </c>
      <c r="AG25" s="454">
        <v>1</v>
      </c>
      <c r="AH25" s="398">
        <v>3</v>
      </c>
      <c r="AI25" s="400">
        <v>3</v>
      </c>
      <c r="AJ25" s="389" t="s">
        <v>661</v>
      </c>
    </row>
    <row r="26" spans="1:36" s="203" customFormat="1" ht="13.5" customHeight="1">
      <c r="A26" s="197" t="s">
        <v>1450</v>
      </c>
      <c r="B26" s="139">
        <v>88.9</v>
      </c>
      <c r="C26" s="205">
        <v>260.3</v>
      </c>
      <c r="D26" s="198">
        <v>256.3</v>
      </c>
      <c r="E26" s="198">
        <v>10.3</v>
      </c>
      <c r="F26" s="198">
        <v>17.3</v>
      </c>
      <c r="G26" s="139">
        <v>12.7</v>
      </c>
      <c r="H26" s="82">
        <v>113.3</v>
      </c>
      <c r="I26" s="83">
        <v>225.7</v>
      </c>
      <c r="J26" s="83">
        <v>200.3</v>
      </c>
      <c r="K26" s="83" t="s">
        <v>667</v>
      </c>
      <c r="L26" s="86">
        <v>102</v>
      </c>
      <c r="M26" s="87">
        <v>154</v>
      </c>
      <c r="N26" s="89">
        <v>1.5</v>
      </c>
      <c r="O26" s="89">
        <v>16.899999999999999</v>
      </c>
      <c r="P26" s="197" t="s">
        <v>1450</v>
      </c>
      <c r="Q26" s="82">
        <v>88.9</v>
      </c>
      <c r="R26" s="86">
        <v>14270</v>
      </c>
      <c r="S26" s="86">
        <v>1096</v>
      </c>
      <c r="T26" s="86">
        <v>1224</v>
      </c>
      <c r="U26" s="89">
        <v>11.22</v>
      </c>
      <c r="V26" s="91">
        <v>30.81</v>
      </c>
      <c r="W26" s="86">
        <v>4857</v>
      </c>
      <c r="X26" s="86">
        <v>379</v>
      </c>
      <c r="Y26" s="84">
        <v>575.29999999999995</v>
      </c>
      <c r="Z26" s="91">
        <v>6.55</v>
      </c>
      <c r="AA26" s="84">
        <v>59.8</v>
      </c>
      <c r="AB26" s="36">
        <v>102.7</v>
      </c>
      <c r="AC26" s="21">
        <v>716.6</v>
      </c>
      <c r="AD26" s="199">
        <v>1</v>
      </c>
      <c r="AE26" s="200">
        <v>1</v>
      </c>
      <c r="AF26" s="201">
        <v>2</v>
      </c>
      <c r="AG26" s="222">
        <v>1</v>
      </c>
      <c r="AH26" s="200">
        <v>1</v>
      </c>
      <c r="AI26" s="202">
        <v>2</v>
      </c>
      <c r="AJ26" s="198" t="s">
        <v>661</v>
      </c>
    </row>
    <row r="27" spans="1:36" s="434" customFormat="1" ht="13.5" customHeight="1">
      <c r="A27" s="387" t="s">
        <v>1451</v>
      </c>
      <c r="B27" s="394">
        <v>107</v>
      </c>
      <c r="C27" s="390">
        <v>266.7</v>
      </c>
      <c r="D27" s="389">
        <v>258.8</v>
      </c>
      <c r="E27" s="389">
        <v>12.8</v>
      </c>
      <c r="F27" s="389">
        <v>20.5</v>
      </c>
      <c r="G27" s="388">
        <v>12.7</v>
      </c>
      <c r="H27" s="388">
        <v>136.4</v>
      </c>
      <c r="I27" s="389">
        <v>225.7</v>
      </c>
      <c r="J27" s="389">
        <v>200.3</v>
      </c>
      <c r="K27" s="389" t="s">
        <v>667</v>
      </c>
      <c r="L27" s="393">
        <v>104</v>
      </c>
      <c r="M27" s="394">
        <v>156</v>
      </c>
      <c r="N27" s="396">
        <v>1.52</v>
      </c>
      <c r="O27" s="396">
        <v>14.21</v>
      </c>
      <c r="P27" s="387" t="s">
        <v>1451</v>
      </c>
      <c r="Q27" s="394">
        <v>107</v>
      </c>
      <c r="R27" s="393">
        <v>17510</v>
      </c>
      <c r="S27" s="393">
        <v>1313</v>
      </c>
      <c r="T27" s="393">
        <v>1484</v>
      </c>
      <c r="U27" s="396">
        <v>11.33</v>
      </c>
      <c r="V27" s="392">
        <v>38.11</v>
      </c>
      <c r="W27" s="393">
        <v>5928</v>
      </c>
      <c r="X27" s="390">
        <v>458.1</v>
      </c>
      <c r="Y27" s="393">
        <v>697</v>
      </c>
      <c r="Z27" s="392">
        <v>6.59</v>
      </c>
      <c r="AA27" s="390">
        <v>68.7</v>
      </c>
      <c r="AB27" s="406">
        <v>173.9</v>
      </c>
      <c r="AC27" s="398">
        <v>897.5</v>
      </c>
      <c r="AD27" s="453">
        <v>1</v>
      </c>
      <c r="AE27" s="398">
        <v>1</v>
      </c>
      <c r="AF27" s="399">
        <v>1</v>
      </c>
      <c r="AG27" s="454">
        <v>1</v>
      </c>
      <c r="AH27" s="398">
        <v>1</v>
      </c>
      <c r="AI27" s="400">
        <v>1</v>
      </c>
      <c r="AJ27" s="389" t="s">
        <v>661</v>
      </c>
    </row>
    <row r="28" spans="1:36" s="203" customFormat="1" ht="13.5" customHeight="1">
      <c r="A28" s="197" t="s">
        <v>1452</v>
      </c>
      <c r="B28" s="140">
        <v>132</v>
      </c>
      <c r="C28" s="205">
        <v>276.3</v>
      </c>
      <c r="D28" s="198">
        <v>261.3</v>
      </c>
      <c r="E28" s="198">
        <v>15.3</v>
      </c>
      <c r="F28" s="198">
        <v>25.3</v>
      </c>
      <c r="G28" s="139">
        <v>12.7</v>
      </c>
      <c r="H28" s="82">
        <v>168.1</v>
      </c>
      <c r="I28" s="83">
        <v>225.7</v>
      </c>
      <c r="J28" s="83">
        <v>200.3</v>
      </c>
      <c r="K28" s="83" t="s">
        <v>667</v>
      </c>
      <c r="L28" s="86">
        <v>108</v>
      </c>
      <c r="M28" s="87">
        <v>160</v>
      </c>
      <c r="N28" s="89">
        <v>1.55</v>
      </c>
      <c r="O28" s="89">
        <v>11.71</v>
      </c>
      <c r="P28" s="197" t="s">
        <v>1452</v>
      </c>
      <c r="Q28" s="87">
        <v>132</v>
      </c>
      <c r="R28" s="86">
        <v>22530</v>
      </c>
      <c r="S28" s="86">
        <v>1631</v>
      </c>
      <c r="T28" s="86">
        <v>1869</v>
      </c>
      <c r="U28" s="89">
        <v>11.58</v>
      </c>
      <c r="V28" s="91">
        <v>46.21</v>
      </c>
      <c r="W28" s="86">
        <v>7531</v>
      </c>
      <c r="X28" s="84">
        <v>576.4</v>
      </c>
      <c r="Y28" s="84">
        <v>878.4</v>
      </c>
      <c r="Z28" s="91">
        <v>6.69</v>
      </c>
      <c r="AA28" s="84">
        <v>80.8</v>
      </c>
      <c r="AB28" s="36">
        <v>321.5</v>
      </c>
      <c r="AC28" s="21">
        <v>1185</v>
      </c>
      <c r="AD28" s="199">
        <v>1</v>
      </c>
      <c r="AE28" s="200">
        <v>1</v>
      </c>
      <c r="AF28" s="201">
        <v>1</v>
      </c>
      <c r="AG28" s="222">
        <v>1</v>
      </c>
      <c r="AH28" s="200">
        <v>1</v>
      </c>
      <c r="AI28" s="202">
        <v>1</v>
      </c>
      <c r="AJ28" s="198" t="s">
        <v>661</v>
      </c>
    </row>
    <row r="29" spans="1:36" s="434" customFormat="1" ht="13.5" customHeight="1">
      <c r="A29" s="387" t="s">
        <v>1453</v>
      </c>
      <c r="B29" s="394">
        <v>167</v>
      </c>
      <c r="C29" s="390">
        <v>289.10000000000002</v>
      </c>
      <c r="D29" s="389">
        <v>265.2</v>
      </c>
      <c r="E29" s="389">
        <v>19.2</v>
      </c>
      <c r="F29" s="389">
        <v>31.7</v>
      </c>
      <c r="G29" s="388">
        <v>12.7</v>
      </c>
      <c r="H29" s="388">
        <v>212.9</v>
      </c>
      <c r="I29" s="389">
        <v>225.7</v>
      </c>
      <c r="J29" s="389">
        <v>200.3</v>
      </c>
      <c r="K29" s="389" t="s">
        <v>667</v>
      </c>
      <c r="L29" s="393">
        <v>112</v>
      </c>
      <c r="M29" s="394">
        <v>164</v>
      </c>
      <c r="N29" s="396">
        <v>1.58</v>
      </c>
      <c r="O29" s="396">
        <v>9.4499999999999993</v>
      </c>
      <c r="P29" s="387" t="s">
        <v>1453</v>
      </c>
      <c r="Q29" s="394">
        <v>167</v>
      </c>
      <c r="R29" s="393">
        <v>30000</v>
      </c>
      <c r="S29" s="393">
        <v>2075</v>
      </c>
      <c r="T29" s="393">
        <v>2424</v>
      </c>
      <c r="U29" s="396">
        <v>11.87</v>
      </c>
      <c r="V29" s="392">
        <v>58.86</v>
      </c>
      <c r="W29" s="393">
        <v>9870</v>
      </c>
      <c r="X29" s="390">
        <v>744.3</v>
      </c>
      <c r="Y29" s="393">
        <v>1137</v>
      </c>
      <c r="Z29" s="392">
        <v>6.81</v>
      </c>
      <c r="AA29" s="390">
        <v>97.5</v>
      </c>
      <c r="AB29" s="406">
        <v>633.79999999999995</v>
      </c>
      <c r="AC29" s="398">
        <v>1632</v>
      </c>
      <c r="AD29" s="453">
        <v>1</v>
      </c>
      <c r="AE29" s="398">
        <v>1</v>
      </c>
      <c r="AF29" s="399">
        <v>1</v>
      </c>
      <c r="AG29" s="454">
        <v>1</v>
      </c>
      <c r="AH29" s="398">
        <v>1</v>
      </c>
      <c r="AI29" s="400">
        <v>1</v>
      </c>
      <c r="AJ29" s="389" t="s">
        <v>661</v>
      </c>
    </row>
    <row r="30" spans="1:36" s="203" customFormat="1" ht="13.5" customHeight="1">
      <c r="A30" s="197"/>
      <c r="B30" s="139"/>
      <c r="C30" s="205"/>
      <c r="D30" s="198"/>
      <c r="E30" s="198"/>
      <c r="F30" s="198"/>
      <c r="G30" s="139"/>
      <c r="H30" s="82"/>
      <c r="I30" s="83"/>
      <c r="J30" s="83"/>
      <c r="K30" s="83"/>
      <c r="L30" s="86"/>
      <c r="M30" s="87"/>
      <c r="N30" s="89"/>
      <c r="O30" s="89"/>
      <c r="P30" s="197"/>
      <c r="Q30" s="82"/>
      <c r="R30" s="86"/>
      <c r="S30" s="86"/>
      <c r="T30" s="86"/>
      <c r="U30" s="89"/>
      <c r="V30" s="91"/>
      <c r="W30" s="86"/>
      <c r="X30" s="84"/>
      <c r="Y30" s="84"/>
      <c r="Z30" s="91"/>
      <c r="AA30" s="84"/>
      <c r="AB30" s="36"/>
      <c r="AC30" s="21"/>
      <c r="AD30" s="199"/>
      <c r="AE30" s="200"/>
      <c r="AF30" s="201"/>
      <c r="AG30" s="222"/>
      <c r="AH30" s="200"/>
      <c r="AI30" s="202"/>
      <c r="AJ30" s="198"/>
    </row>
    <row r="31" spans="1:36" s="434" customFormat="1" ht="13.5" customHeight="1">
      <c r="A31" s="387" t="s">
        <v>1454</v>
      </c>
      <c r="B31" s="388">
        <v>96.9</v>
      </c>
      <c r="C31" s="390">
        <v>307.89999999999998</v>
      </c>
      <c r="D31" s="389">
        <v>305.3</v>
      </c>
      <c r="E31" s="389">
        <v>9.9</v>
      </c>
      <c r="F31" s="389">
        <v>15.4</v>
      </c>
      <c r="G31" s="388">
        <v>15.2</v>
      </c>
      <c r="H31" s="388">
        <v>123.4</v>
      </c>
      <c r="I31" s="389">
        <v>277.10000000000002</v>
      </c>
      <c r="J31" s="389">
        <v>246.7</v>
      </c>
      <c r="K31" s="389" t="s">
        <v>667</v>
      </c>
      <c r="L31" s="393">
        <v>102</v>
      </c>
      <c r="M31" s="394">
        <v>204</v>
      </c>
      <c r="N31" s="396">
        <v>1.79</v>
      </c>
      <c r="O31" s="396">
        <v>18.48</v>
      </c>
      <c r="P31" s="387" t="s">
        <v>1454</v>
      </c>
      <c r="Q31" s="388">
        <v>96.9</v>
      </c>
      <c r="R31" s="393">
        <v>22250</v>
      </c>
      <c r="S31" s="393">
        <v>1445</v>
      </c>
      <c r="T31" s="393">
        <v>1592</v>
      </c>
      <c r="U31" s="396">
        <v>13.42</v>
      </c>
      <c r="V31" s="392">
        <v>35.619999999999997</v>
      </c>
      <c r="W31" s="393">
        <v>7308</v>
      </c>
      <c r="X31" s="390">
        <v>478.7</v>
      </c>
      <c r="Y31" s="390">
        <v>726.1</v>
      </c>
      <c r="Z31" s="392">
        <v>7.69</v>
      </c>
      <c r="AA31" s="390">
        <v>58.5</v>
      </c>
      <c r="AB31" s="406">
        <v>91.8</v>
      </c>
      <c r="AC31" s="398">
        <v>1562</v>
      </c>
      <c r="AD31" s="453">
        <v>1</v>
      </c>
      <c r="AE31" s="398">
        <v>3</v>
      </c>
      <c r="AF31" s="399">
        <v>3</v>
      </c>
      <c r="AG31" s="454">
        <v>1</v>
      </c>
      <c r="AH31" s="398">
        <v>3</v>
      </c>
      <c r="AI31" s="400">
        <v>3</v>
      </c>
      <c r="AJ31" s="389" t="s">
        <v>661</v>
      </c>
    </row>
    <row r="32" spans="1:36" s="203" customFormat="1" ht="13.5" customHeight="1">
      <c r="A32" s="197" t="s">
        <v>1455</v>
      </c>
      <c r="B32" s="140">
        <v>118</v>
      </c>
      <c r="C32" s="205">
        <v>314.5</v>
      </c>
      <c r="D32" s="198">
        <v>307.39999999999998</v>
      </c>
      <c r="E32" s="198">
        <v>12</v>
      </c>
      <c r="F32" s="198">
        <v>18.7</v>
      </c>
      <c r="G32" s="139">
        <v>15.2</v>
      </c>
      <c r="H32" s="82">
        <v>150.19999999999999</v>
      </c>
      <c r="I32" s="83">
        <v>277.10000000000002</v>
      </c>
      <c r="J32" s="83">
        <v>246.7</v>
      </c>
      <c r="K32" s="83" t="s">
        <v>667</v>
      </c>
      <c r="L32" s="86">
        <v>104</v>
      </c>
      <c r="M32" s="87">
        <v>206</v>
      </c>
      <c r="N32" s="89">
        <v>1.81</v>
      </c>
      <c r="O32" s="89">
        <v>15.34</v>
      </c>
      <c r="P32" s="197" t="s">
        <v>1455</v>
      </c>
      <c r="Q32" s="87">
        <v>118</v>
      </c>
      <c r="R32" s="86">
        <v>27670</v>
      </c>
      <c r="S32" s="86">
        <v>1760</v>
      </c>
      <c r="T32" s="86">
        <v>1958</v>
      </c>
      <c r="U32" s="89">
        <v>13.57</v>
      </c>
      <c r="V32" s="91">
        <v>43.16</v>
      </c>
      <c r="W32" s="86">
        <v>9059</v>
      </c>
      <c r="X32" s="84">
        <v>589.4</v>
      </c>
      <c r="Y32" s="84">
        <v>895.4</v>
      </c>
      <c r="Z32" s="91">
        <v>7.77</v>
      </c>
      <c r="AA32" s="84">
        <v>67.2</v>
      </c>
      <c r="AB32" s="36">
        <v>162.30000000000001</v>
      </c>
      <c r="AC32" s="21">
        <v>1980</v>
      </c>
      <c r="AD32" s="199">
        <v>1</v>
      </c>
      <c r="AE32" s="200">
        <v>2</v>
      </c>
      <c r="AF32" s="201">
        <v>3</v>
      </c>
      <c r="AG32" s="222">
        <v>1</v>
      </c>
      <c r="AH32" s="200">
        <v>2</v>
      </c>
      <c r="AI32" s="202">
        <v>3</v>
      </c>
      <c r="AJ32" s="198" t="s">
        <v>661</v>
      </c>
    </row>
    <row r="33" spans="1:36" s="434" customFormat="1" ht="13.5" customHeight="1">
      <c r="A33" s="387" t="s">
        <v>1456</v>
      </c>
      <c r="B33" s="394">
        <v>137</v>
      </c>
      <c r="C33" s="390">
        <v>320.5</v>
      </c>
      <c r="D33" s="389">
        <v>309.2</v>
      </c>
      <c r="E33" s="389">
        <v>13.8</v>
      </c>
      <c r="F33" s="389">
        <v>21.7</v>
      </c>
      <c r="G33" s="388">
        <v>15.2</v>
      </c>
      <c r="H33" s="388">
        <v>174.4</v>
      </c>
      <c r="I33" s="389">
        <v>277.10000000000002</v>
      </c>
      <c r="J33" s="389">
        <v>246.7</v>
      </c>
      <c r="K33" s="389" t="s">
        <v>667</v>
      </c>
      <c r="L33" s="393">
        <v>106</v>
      </c>
      <c r="M33" s="394">
        <v>208</v>
      </c>
      <c r="N33" s="396">
        <v>1.82</v>
      </c>
      <c r="O33" s="396">
        <v>13.32</v>
      </c>
      <c r="P33" s="387" t="s">
        <v>1456</v>
      </c>
      <c r="Q33" s="394">
        <v>137</v>
      </c>
      <c r="R33" s="393">
        <v>32810</v>
      </c>
      <c r="S33" s="393">
        <v>2048</v>
      </c>
      <c r="T33" s="393">
        <v>2297</v>
      </c>
      <c r="U33" s="396">
        <v>13.72</v>
      </c>
      <c r="V33" s="392">
        <v>49.81</v>
      </c>
      <c r="W33" s="393">
        <v>10700</v>
      </c>
      <c r="X33" s="390">
        <v>692.1</v>
      </c>
      <c r="Y33" s="393">
        <v>1053</v>
      </c>
      <c r="Z33" s="392">
        <v>7.83</v>
      </c>
      <c r="AA33" s="390">
        <v>75</v>
      </c>
      <c r="AB33" s="406">
        <v>251.1</v>
      </c>
      <c r="AC33" s="398">
        <v>2386</v>
      </c>
      <c r="AD33" s="453">
        <v>1</v>
      </c>
      <c r="AE33" s="398">
        <v>1</v>
      </c>
      <c r="AF33" s="399">
        <v>1</v>
      </c>
      <c r="AG33" s="454">
        <v>1</v>
      </c>
      <c r="AH33" s="398">
        <v>1</v>
      </c>
      <c r="AI33" s="400">
        <v>1</v>
      </c>
      <c r="AJ33" s="389" t="s">
        <v>661</v>
      </c>
    </row>
    <row r="34" spans="1:36" s="203" customFormat="1" ht="13.5" customHeight="1">
      <c r="A34" s="197" t="s">
        <v>1457</v>
      </c>
      <c r="B34" s="140">
        <v>158</v>
      </c>
      <c r="C34" s="205">
        <v>327.10000000000002</v>
      </c>
      <c r="D34" s="198">
        <v>311.2</v>
      </c>
      <c r="E34" s="198">
        <v>15.8</v>
      </c>
      <c r="F34" s="198">
        <v>25</v>
      </c>
      <c r="G34" s="139">
        <v>15.2</v>
      </c>
      <c r="H34" s="82">
        <v>201.4</v>
      </c>
      <c r="I34" s="83">
        <v>277.10000000000002</v>
      </c>
      <c r="J34" s="83">
        <v>246.7</v>
      </c>
      <c r="K34" s="83" t="s">
        <v>667</v>
      </c>
      <c r="L34" s="86">
        <v>108</v>
      </c>
      <c r="M34" s="87">
        <v>210</v>
      </c>
      <c r="N34" s="89">
        <v>1.84</v>
      </c>
      <c r="O34" s="89">
        <v>11.65</v>
      </c>
      <c r="P34" s="197" t="s">
        <v>1457</v>
      </c>
      <c r="Q34" s="87">
        <v>158</v>
      </c>
      <c r="R34" s="86">
        <v>38750</v>
      </c>
      <c r="S34" s="86">
        <v>2369</v>
      </c>
      <c r="T34" s="86">
        <v>2680</v>
      </c>
      <c r="U34" s="89">
        <v>13.87</v>
      </c>
      <c r="V34" s="91">
        <v>57.32</v>
      </c>
      <c r="W34" s="86">
        <v>12570</v>
      </c>
      <c r="X34" s="84">
        <v>807.8</v>
      </c>
      <c r="Y34" s="86">
        <v>1230</v>
      </c>
      <c r="Z34" s="91">
        <v>7.9</v>
      </c>
      <c r="AA34" s="84">
        <v>83.6</v>
      </c>
      <c r="AB34" s="36">
        <v>381.6</v>
      </c>
      <c r="AC34" s="21">
        <v>2865</v>
      </c>
      <c r="AD34" s="199">
        <v>1</v>
      </c>
      <c r="AE34" s="200">
        <v>1</v>
      </c>
      <c r="AF34" s="201">
        <v>1</v>
      </c>
      <c r="AG34" s="222">
        <v>1</v>
      </c>
      <c r="AH34" s="200">
        <v>1</v>
      </c>
      <c r="AI34" s="202">
        <v>1</v>
      </c>
      <c r="AJ34" s="198" t="s">
        <v>661</v>
      </c>
    </row>
    <row r="35" spans="1:36" s="434" customFormat="1" ht="13.5" customHeight="1">
      <c r="A35" s="387" t="s">
        <v>1458</v>
      </c>
      <c r="B35" s="394">
        <v>198</v>
      </c>
      <c r="C35" s="390">
        <v>339.9</v>
      </c>
      <c r="D35" s="389">
        <v>314.5</v>
      </c>
      <c r="E35" s="389">
        <v>19.100000000000001</v>
      </c>
      <c r="F35" s="389">
        <v>31.4</v>
      </c>
      <c r="G35" s="388">
        <v>15.2</v>
      </c>
      <c r="H35" s="388">
        <v>252.4</v>
      </c>
      <c r="I35" s="389">
        <v>277.10000000000002</v>
      </c>
      <c r="J35" s="389">
        <v>246.7</v>
      </c>
      <c r="K35" s="389" t="s">
        <v>667</v>
      </c>
      <c r="L35" s="393">
        <v>112</v>
      </c>
      <c r="M35" s="394">
        <v>212</v>
      </c>
      <c r="N35" s="396">
        <v>1.87</v>
      </c>
      <c r="O35" s="396">
        <v>9.4600000000000009</v>
      </c>
      <c r="P35" s="387" t="s">
        <v>1458</v>
      </c>
      <c r="Q35" s="394">
        <v>198</v>
      </c>
      <c r="R35" s="393">
        <v>50900</v>
      </c>
      <c r="S35" s="393">
        <v>2995</v>
      </c>
      <c r="T35" s="393">
        <v>3440</v>
      </c>
      <c r="U35" s="396">
        <v>14.2</v>
      </c>
      <c r="V35" s="392">
        <v>70.45</v>
      </c>
      <c r="W35" s="393">
        <v>16300</v>
      </c>
      <c r="X35" s="393">
        <v>1037</v>
      </c>
      <c r="Y35" s="393">
        <v>1581</v>
      </c>
      <c r="Z35" s="392">
        <v>8.0399999999999991</v>
      </c>
      <c r="AA35" s="390">
        <v>99.7</v>
      </c>
      <c r="AB35" s="406">
        <v>741.2</v>
      </c>
      <c r="AC35" s="398">
        <v>3873</v>
      </c>
      <c r="AD35" s="453">
        <v>1</v>
      </c>
      <c r="AE35" s="398">
        <v>1</v>
      </c>
      <c r="AF35" s="399">
        <v>1</v>
      </c>
      <c r="AG35" s="454">
        <v>1</v>
      </c>
      <c r="AH35" s="398">
        <v>1</v>
      </c>
      <c r="AI35" s="400">
        <v>1</v>
      </c>
      <c r="AJ35" s="389" t="s">
        <v>661</v>
      </c>
    </row>
    <row r="36" spans="1:36" s="203" customFormat="1" ht="13.5" customHeight="1">
      <c r="A36" s="197" t="s">
        <v>1459</v>
      </c>
      <c r="B36" s="140">
        <v>240</v>
      </c>
      <c r="C36" s="205">
        <v>352.5</v>
      </c>
      <c r="D36" s="198">
        <v>318.39999999999998</v>
      </c>
      <c r="E36" s="198">
        <v>23</v>
      </c>
      <c r="F36" s="198">
        <v>37.700000000000003</v>
      </c>
      <c r="G36" s="139">
        <v>15.2</v>
      </c>
      <c r="H36" s="82">
        <v>305.8</v>
      </c>
      <c r="I36" s="83">
        <v>277.10000000000002</v>
      </c>
      <c r="J36" s="83">
        <v>246.7</v>
      </c>
      <c r="K36" s="83" t="s">
        <v>667</v>
      </c>
      <c r="L36" s="86">
        <v>116</v>
      </c>
      <c r="M36" s="87">
        <v>216</v>
      </c>
      <c r="N36" s="89">
        <v>1.91</v>
      </c>
      <c r="O36" s="89">
        <v>7.94</v>
      </c>
      <c r="P36" s="197" t="s">
        <v>1459</v>
      </c>
      <c r="Q36" s="87">
        <v>240</v>
      </c>
      <c r="R36" s="86">
        <v>64200</v>
      </c>
      <c r="S36" s="86">
        <v>3643</v>
      </c>
      <c r="T36" s="86">
        <v>4247</v>
      </c>
      <c r="U36" s="89">
        <v>14.49</v>
      </c>
      <c r="V36" s="91">
        <v>85.85</v>
      </c>
      <c r="W36" s="86">
        <v>20310</v>
      </c>
      <c r="X36" s="86">
        <v>1276</v>
      </c>
      <c r="Y36" s="86">
        <v>1951</v>
      </c>
      <c r="Z36" s="91">
        <v>8.15</v>
      </c>
      <c r="AA36" s="84">
        <v>116.2</v>
      </c>
      <c r="AB36" s="21">
        <v>1287</v>
      </c>
      <c r="AC36" s="21">
        <v>5025</v>
      </c>
      <c r="AD36" s="199">
        <v>1</v>
      </c>
      <c r="AE36" s="200">
        <v>1</v>
      </c>
      <c r="AF36" s="201">
        <v>1</v>
      </c>
      <c r="AG36" s="222">
        <v>1</v>
      </c>
      <c r="AH36" s="200">
        <v>1</v>
      </c>
      <c r="AI36" s="202">
        <v>1</v>
      </c>
      <c r="AJ36" s="198" t="s">
        <v>661</v>
      </c>
    </row>
    <row r="37" spans="1:36" s="434" customFormat="1" ht="13.5" customHeight="1">
      <c r="A37" s="387" t="s">
        <v>1460</v>
      </c>
      <c r="B37" s="394">
        <v>283</v>
      </c>
      <c r="C37" s="390">
        <v>365.3</v>
      </c>
      <c r="D37" s="389">
        <v>322.2</v>
      </c>
      <c r="E37" s="389">
        <v>26.8</v>
      </c>
      <c r="F37" s="389">
        <v>44.1</v>
      </c>
      <c r="G37" s="388">
        <v>15.2</v>
      </c>
      <c r="H37" s="388">
        <v>360.4</v>
      </c>
      <c r="I37" s="389">
        <v>277.10000000000002</v>
      </c>
      <c r="J37" s="389">
        <v>246.7</v>
      </c>
      <c r="K37" s="389" t="s">
        <v>667</v>
      </c>
      <c r="L37" s="393">
        <v>120</v>
      </c>
      <c r="M37" s="394">
        <v>218</v>
      </c>
      <c r="N37" s="396">
        <v>1.94</v>
      </c>
      <c r="O37" s="396">
        <v>6.86</v>
      </c>
      <c r="P37" s="387" t="s">
        <v>1460</v>
      </c>
      <c r="Q37" s="394">
        <v>283</v>
      </c>
      <c r="R37" s="393">
        <v>78870</v>
      </c>
      <c r="S37" s="393">
        <v>4318</v>
      </c>
      <c r="T37" s="393">
        <v>5105</v>
      </c>
      <c r="U37" s="396">
        <v>14.79</v>
      </c>
      <c r="V37" s="392">
        <v>101.5</v>
      </c>
      <c r="W37" s="393">
        <v>24630</v>
      </c>
      <c r="X37" s="393">
        <v>1529</v>
      </c>
      <c r="Y37" s="393">
        <v>2342</v>
      </c>
      <c r="Z37" s="392">
        <v>8.27</v>
      </c>
      <c r="AA37" s="390">
        <v>132.80000000000001</v>
      </c>
      <c r="AB37" s="398">
        <v>2062</v>
      </c>
      <c r="AC37" s="398">
        <v>6341</v>
      </c>
      <c r="AD37" s="453">
        <v>1</v>
      </c>
      <c r="AE37" s="398">
        <v>1</v>
      </c>
      <c r="AF37" s="399">
        <v>1</v>
      </c>
      <c r="AG37" s="454">
        <v>1</v>
      </c>
      <c r="AH37" s="398">
        <v>1</v>
      </c>
      <c r="AI37" s="400">
        <v>1</v>
      </c>
      <c r="AJ37" s="389" t="s">
        <v>661</v>
      </c>
    </row>
    <row r="38" spans="1:36" s="203" customFormat="1" ht="13.5" customHeight="1">
      <c r="A38" s="197"/>
      <c r="B38" s="139"/>
      <c r="C38" s="205"/>
      <c r="D38" s="198"/>
      <c r="E38" s="198"/>
      <c r="F38" s="198"/>
      <c r="G38" s="139"/>
      <c r="H38" s="82"/>
      <c r="I38" s="83"/>
      <c r="J38" s="83"/>
      <c r="K38" s="83"/>
      <c r="L38" s="86"/>
      <c r="M38" s="87"/>
      <c r="N38" s="89"/>
      <c r="O38" s="89"/>
      <c r="P38" s="197"/>
      <c r="Q38" s="87"/>
      <c r="R38" s="86"/>
      <c r="S38" s="86"/>
      <c r="T38" s="86"/>
      <c r="U38" s="89"/>
      <c r="V38" s="91"/>
      <c r="W38" s="86"/>
      <c r="X38" s="84"/>
      <c r="Y38" s="86"/>
      <c r="Z38" s="91"/>
      <c r="AA38" s="84"/>
      <c r="AB38" s="21"/>
      <c r="AC38" s="21"/>
      <c r="AD38" s="199"/>
      <c r="AE38" s="200"/>
      <c r="AF38" s="201"/>
      <c r="AG38" s="222"/>
      <c r="AH38" s="200"/>
      <c r="AI38" s="202"/>
      <c r="AJ38" s="198"/>
    </row>
    <row r="39" spans="1:36" s="434" customFormat="1" ht="13.5" customHeight="1">
      <c r="A39" s="387" t="s">
        <v>1461</v>
      </c>
      <c r="B39" s="394">
        <v>129</v>
      </c>
      <c r="C39" s="390">
        <v>355.6</v>
      </c>
      <c r="D39" s="389">
        <v>368.6</v>
      </c>
      <c r="E39" s="389">
        <v>10.4</v>
      </c>
      <c r="F39" s="389">
        <v>17.5</v>
      </c>
      <c r="G39" s="388">
        <v>15.2</v>
      </c>
      <c r="H39" s="388">
        <v>164.3</v>
      </c>
      <c r="I39" s="389">
        <v>320.60000000000002</v>
      </c>
      <c r="J39" s="389">
        <v>290.2</v>
      </c>
      <c r="K39" s="389" t="s">
        <v>667</v>
      </c>
      <c r="L39" s="393">
        <v>98</v>
      </c>
      <c r="M39" s="394">
        <v>262</v>
      </c>
      <c r="N39" s="396">
        <v>2.14</v>
      </c>
      <c r="O39" s="396">
        <v>16.579999999999998</v>
      </c>
      <c r="P39" s="387" t="s">
        <v>1461</v>
      </c>
      <c r="Q39" s="394">
        <v>129</v>
      </c>
      <c r="R39" s="393">
        <v>40250</v>
      </c>
      <c r="S39" s="393">
        <v>2264</v>
      </c>
      <c r="T39" s="393">
        <v>2479</v>
      </c>
      <c r="U39" s="396">
        <v>15.65</v>
      </c>
      <c r="V39" s="392">
        <v>42.47</v>
      </c>
      <c r="W39" s="393">
        <v>14610</v>
      </c>
      <c r="X39" s="390">
        <v>792.8</v>
      </c>
      <c r="Y39" s="393">
        <v>1199</v>
      </c>
      <c r="Z39" s="392">
        <v>9.43</v>
      </c>
      <c r="AA39" s="390">
        <v>63.2</v>
      </c>
      <c r="AB39" s="398">
        <v>152.69999999999999</v>
      </c>
      <c r="AC39" s="398">
        <v>4174</v>
      </c>
      <c r="AD39" s="453">
        <v>2</v>
      </c>
      <c r="AE39" s="398">
        <v>3</v>
      </c>
      <c r="AF39" s="399">
        <v>3</v>
      </c>
      <c r="AG39" s="454">
        <v>2</v>
      </c>
      <c r="AH39" s="398">
        <v>3</v>
      </c>
      <c r="AI39" s="400">
        <v>3</v>
      </c>
      <c r="AJ39" s="389" t="s">
        <v>661</v>
      </c>
    </row>
    <row r="40" spans="1:36" s="203" customFormat="1" ht="13.5" customHeight="1">
      <c r="A40" s="197" t="s">
        <v>1462</v>
      </c>
      <c r="B40" s="140">
        <v>153</v>
      </c>
      <c r="C40" s="198">
        <v>362</v>
      </c>
      <c r="D40" s="198">
        <v>370.5</v>
      </c>
      <c r="E40" s="198">
        <v>12.3</v>
      </c>
      <c r="F40" s="198">
        <v>20.7</v>
      </c>
      <c r="G40" s="139">
        <v>15.2</v>
      </c>
      <c r="H40" s="82">
        <v>194.8</v>
      </c>
      <c r="I40" s="83">
        <v>320.60000000000002</v>
      </c>
      <c r="J40" s="83">
        <v>290.2</v>
      </c>
      <c r="K40" s="83" t="s">
        <v>667</v>
      </c>
      <c r="L40" s="86">
        <v>100</v>
      </c>
      <c r="M40" s="87">
        <v>264</v>
      </c>
      <c r="N40" s="89">
        <v>2.16</v>
      </c>
      <c r="O40" s="89">
        <v>14.09</v>
      </c>
      <c r="P40" s="197" t="s">
        <v>1462</v>
      </c>
      <c r="Q40" s="87">
        <v>153</v>
      </c>
      <c r="R40" s="86">
        <v>48590</v>
      </c>
      <c r="S40" s="86">
        <v>2684</v>
      </c>
      <c r="T40" s="86">
        <v>2965</v>
      </c>
      <c r="U40" s="89">
        <v>15.79</v>
      </c>
      <c r="V40" s="91">
        <v>50.26</v>
      </c>
      <c r="W40" s="83">
        <v>17550</v>
      </c>
      <c r="X40" s="84">
        <v>947.5</v>
      </c>
      <c r="Y40" s="86">
        <v>1435</v>
      </c>
      <c r="Z40" s="91">
        <v>9.49</v>
      </c>
      <c r="AA40" s="84">
        <v>71.5</v>
      </c>
      <c r="AB40" s="21">
        <v>251.2</v>
      </c>
      <c r="AC40" s="21">
        <v>5110</v>
      </c>
      <c r="AD40" s="199">
        <v>1</v>
      </c>
      <c r="AE40" s="200">
        <v>2</v>
      </c>
      <c r="AF40" s="201">
        <v>3</v>
      </c>
      <c r="AG40" s="222">
        <v>1</v>
      </c>
      <c r="AH40" s="200">
        <v>2</v>
      </c>
      <c r="AI40" s="202">
        <v>3</v>
      </c>
      <c r="AJ40" s="198" t="s">
        <v>661</v>
      </c>
    </row>
    <row r="41" spans="1:36" s="434" customFormat="1" ht="13.5" customHeight="1">
      <c r="A41" s="387" t="s">
        <v>1463</v>
      </c>
      <c r="B41" s="394">
        <v>177</v>
      </c>
      <c r="C41" s="389">
        <v>368.2</v>
      </c>
      <c r="D41" s="389">
        <v>372.6</v>
      </c>
      <c r="E41" s="389">
        <v>14.4</v>
      </c>
      <c r="F41" s="389">
        <v>23.8</v>
      </c>
      <c r="G41" s="388">
        <v>15.2</v>
      </c>
      <c r="H41" s="388">
        <v>225.5</v>
      </c>
      <c r="I41" s="389">
        <v>320.60000000000002</v>
      </c>
      <c r="J41" s="389">
        <v>290.2</v>
      </c>
      <c r="K41" s="389" t="s">
        <v>667</v>
      </c>
      <c r="L41" s="393">
        <v>102</v>
      </c>
      <c r="M41" s="394">
        <v>266</v>
      </c>
      <c r="N41" s="396">
        <v>2.17</v>
      </c>
      <c r="O41" s="396">
        <v>12.27</v>
      </c>
      <c r="P41" s="387" t="s">
        <v>1463</v>
      </c>
      <c r="Q41" s="394">
        <v>177</v>
      </c>
      <c r="R41" s="393">
        <v>57120</v>
      </c>
      <c r="S41" s="393">
        <v>3103</v>
      </c>
      <c r="T41" s="393">
        <v>3455</v>
      </c>
      <c r="U41" s="396">
        <v>15.91</v>
      </c>
      <c r="V41" s="392">
        <v>58.81</v>
      </c>
      <c r="W41" s="389">
        <v>20530</v>
      </c>
      <c r="X41" s="393">
        <v>1102</v>
      </c>
      <c r="Y41" s="393">
        <v>1671</v>
      </c>
      <c r="Z41" s="392">
        <v>9.5399999999999991</v>
      </c>
      <c r="AA41" s="390">
        <v>79.8</v>
      </c>
      <c r="AB41" s="398">
        <v>383.5</v>
      </c>
      <c r="AC41" s="398">
        <v>6084</v>
      </c>
      <c r="AD41" s="453">
        <v>1</v>
      </c>
      <c r="AE41" s="398">
        <v>1</v>
      </c>
      <c r="AF41" s="399">
        <v>2</v>
      </c>
      <c r="AG41" s="454">
        <v>1</v>
      </c>
      <c r="AH41" s="398">
        <v>1</v>
      </c>
      <c r="AI41" s="400">
        <v>2</v>
      </c>
      <c r="AJ41" s="389" t="s">
        <v>661</v>
      </c>
    </row>
    <row r="42" spans="1:36" s="203" customFormat="1" ht="13.5" customHeight="1">
      <c r="A42" s="197" t="s">
        <v>1464</v>
      </c>
      <c r="B42" s="140">
        <v>202</v>
      </c>
      <c r="C42" s="198">
        <v>374.6</v>
      </c>
      <c r="D42" s="198">
        <v>374.7</v>
      </c>
      <c r="E42" s="198">
        <v>16.5</v>
      </c>
      <c r="F42" s="198">
        <v>27</v>
      </c>
      <c r="G42" s="139">
        <v>15.2</v>
      </c>
      <c r="H42" s="82">
        <v>257.2</v>
      </c>
      <c r="I42" s="83">
        <v>320.60000000000002</v>
      </c>
      <c r="J42" s="83">
        <v>290.2</v>
      </c>
      <c r="K42" s="83" t="s">
        <v>667</v>
      </c>
      <c r="L42" s="86">
        <v>104</v>
      </c>
      <c r="M42" s="87">
        <v>268</v>
      </c>
      <c r="N42" s="89">
        <v>2.19</v>
      </c>
      <c r="O42" s="89">
        <v>10.84</v>
      </c>
      <c r="P42" s="197" t="s">
        <v>1464</v>
      </c>
      <c r="Q42" s="87">
        <v>202</v>
      </c>
      <c r="R42" s="86">
        <v>66260</v>
      </c>
      <c r="S42" s="86">
        <v>3538</v>
      </c>
      <c r="T42" s="86">
        <v>3972</v>
      </c>
      <c r="U42" s="89">
        <v>16.05</v>
      </c>
      <c r="V42" s="91">
        <v>67.55</v>
      </c>
      <c r="W42" s="83">
        <v>23690</v>
      </c>
      <c r="X42" s="86">
        <v>1264</v>
      </c>
      <c r="Y42" s="86">
        <v>1920</v>
      </c>
      <c r="Z42" s="91">
        <v>9.6</v>
      </c>
      <c r="AA42" s="84">
        <v>88.3</v>
      </c>
      <c r="AB42" s="21">
        <v>561.4</v>
      </c>
      <c r="AC42" s="21">
        <v>7151</v>
      </c>
      <c r="AD42" s="199">
        <v>1</v>
      </c>
      <c r="AE42" s="200">
        <v>1</v>
      </c>
      <c r="AF42" s="201">
        <v>1</v>
      </c>
      <c r="AG42" s="222">
        <v>1</v>
      </c>
      <c r="AH42" s="200">
        <v>1</v>
      </c>
      <c r="AI42" s="202">
        <v>1</v>
      </c>
      <c r="AJ42" s="198" t="s">
        <v>661</v>
      </c>
    </row>
    <row r="43" spans="1:36" s="434" customFormat="1" ht="13.5" customHeight="1">
      <c r="A43" s="387" t="s">
        <v>1465</v>
      </c>
      <c r="B43" s="394">
        <v>235</v>
      </c>
      <c r="C43" s="389">
        <v>381</v>
      </c>
      <c r="D43" s="389">
        <v>394.8</v>
      </c>
      <c r="E43" s="389">
        <v>18.399999999999999</v>
      </c>
      <c r="F43" s="389">
        <v>30.2</v>
      </c>
      <c r="G43" s="388">
        <v>15.2</v>
      </c>
      <c r="H43" s="388">
        <v>299</v>
      </c>
      <c r="I43" s="389">
        <v>320.60000000000002</v>
      </c>
      <c r="J43" s="389">
        <v>290.2</v>
      </c>
      <c r="K43" s="389" t="s">
        <v>667</v>
      </c>
      <c r="L43" s="393">
        <v>106</v>
      </c>
      <c r="M43" s="394">
        <v>288</v>
      </c>
      <c r="N43" s="396">
        <v>2.2799999999999998</v>
      </c>
      <c r="O43" s="396">
        <v>9.69</v>
      </c>
      <c r="P43" s="387" t="s">
        <v>1465</v>
      </c>
      <c r="Q43" s="394">
        <v>235</v>
      </c>
      <c r="R43" s="393">
        <v>79080</v>
      </c>
      <c r="S43" s="393">
        <v>4151</v>
      </c>
      <c r="T43" s="393">
        <v>4687</v>
      </c>
      <c r="U43" s="396">
        <v>16.25</v>
      </c>
      <c r="V43" s="392">
        <v>75.709999999999994</v>
      </c>
      <c r="W43" s="389">
        <v>30990</v>
      </c>
      <c r="X43" s="393">
        <v>1570</v>
      </c>
      <c r="Y43" s="393">
        <v>2383</v>
      </c>
      <c r="Z43" s="392">
        <v>10.199999999999999</v>
      </c>
      <c r="AA43" s="390">
        <v>96.6</v>
      </c>
      <c r="AB43" s="398">
        <v>817.7</v>
      </c>
      <c r="AC43" s="398">
        <v>9529</v>
      </c>
      <c r="AD43" s="453">
        <v>1</v>
      </c>
      <c r="AE43" s="398">
        <v>1</v>
      </c>
      <c r="AF43" s="399">
        <v>1</v>
      </c>
      <c r="AG43" s="454">
        <v>1</v>
      </c>
      <c r="AH43" s="398">
        <v>1</v>
      </c>
      <c r="AI43" s="400">
        <v>1</v>
      </c>
      <c r="AJ43" s="389" t="s">
        <v>661</v>
      </c>
    </row>
    <row r="44" spans="1:36" s="203" customFormat="1" ht="13.5" customHeight="1">
      <c r="A44" s="197" t="s">
        <v>1466</v>
      </c>
      <c r="B44" s="140">
        <v>287</v>
      </c>
      <c r="C44" s="198">
        <v>393.6</v>
      </c>
      <c r="D44" s="198">
        <v>399</v>
      </c>
      <c r="E44" s="198">
        <v>22.6</v>
      </c>
      <c r="F44" s="198">
        <v>36.5</v>
      </c>
      <c r="G44" s="139">
        <v>15.2</v>
      </c>
      <c r="H44" s="82">
        <v>365.7</v>
      </c>
      <c r="I44" s="83">
        <v>320.60000000000002</v>
      </c>
      <c r="J44" s="83">
        <v>290.2</v>
      </c>
      <c r="K44" s="83" t="s">
        <v>667</v>
      </c>
      <c r="L44" s="86">
        <v>112</v>
      </c>
      <c r="M44" s="87">
        <v>294</v>
      </c>
      <c r="N44" s="89">
        <v>2.31</v>
      </c>
      <c r="O44" s="89">
        <v>8.0500000000000007</v>
      </c>
      <c r="P44" s="197" t="s">
        <v>1466</v>
      </c>
      <c r="Q44" s="87">
        <v>287</v>
      </c>
      <c r="R44" s="86">
        <v>99880</v>
      </c>
      <c r="S44" s="86">
        <v>5075</v>
      </c>
      <c r="T44" s="86">
        <v>5812</v>
      </c>
      <c r="U44" s="89">
        <v>16.53</v>
      </c>
      <c r="V44" s="91">
        <v>93.78</v>
      </c>
      <c r="W44" s="83">
        <v>38680</v>
      </c>
      <c r="X44" s="86">
        <v>1939</v>
      </c>
      <c r="Y44" s="86">
        <v>2949</v>
      </c>
      <c r="Z44" s="91">
        <v>10.28</v>
      </c>
      <c r="AA44" s="84">
        <v>113.4</v>
      </c>
      <c r="AB44" s="21">
        <v>1455</v>
      </c>
      <c r="AC44" s="21">
        <v>12320</v>
      </c>
      <c r="AD44" s="199">
        <v>1</v>
      </c>
      <c r="AE44" s="200">
        <v>1</v>
      </c>
      <c r="AF44" s="201">
        <v>1</v>
      </c>
      <c r="AG44" s="222">
        <v>1</v>
      </c>
      <c r="AH44" s="200">
        <v>1</v>
      </c>
      <c r="AI44" s="202">
        <v>1</v>
      </c>
      <c r="AJ44" s="198" t="s">
        <v>661</v>
      </c>
    </row>
    <row r="45" spans="1:36" s="434" customFormat="1" ht="13.5" customHeight="1">
      <c r="A45" s="387" t="s">
        <v>1467</v>
      </c>
      <c r="B45" s="394">
        <v>340</v>
      </c>
      <c r="C45" s="389">
        <v>406.4</v>
      </c>
      <c r="D45" s="389">
        <v>403</v>
      </c>
      <c r="E45" s="389">
        <v>26.6</v>
      </c>
      <c r="F45" s="389">
        <v>42.9</v>
      </c>
      <c r="G45" s="388">
        <v>15.2</v>
      </c>
      <c r="H45" s="388">
        <v>433</v>
      </c>
      <c r="I45" s="389">
        <v>320.60000000000002</v>
      </c>
      <c r="J45" s="389">
        <v>290.2</v>
      </c>
      <c r="K45" s="389" t="s">
        <v>667</v>
      </c>
      <c r="L45" s="393">
        <v>118</v>
      </c>
      <c r="M45" s="394">
        <v>292</v>
      </c>
      <c r="N45" s="396">
        <v>2.35</v>
      </c>
      <c r="O45" s="396">
        <v>6.9</v>
      </c>
      <c r="P45" s="387" t="s">
        <v>1467</v>
      </c>
      <c r="Q45" s="394">
        <v>340</v>
      </c>
      <c r="R45" s="393">
        <v>122500</v>
      </c>
      <c r="S45" s="393">
        <v>6031</v>
      </c>
      <c r="T45" s="393">
        <v>6999</v>
      </c>
      <c r="U45" s="396">
        <v>16.82</v>
      </c>
      <c r="V45" s="388">
        <v>111.7</v>
      </c>
      <c r="W45" s="389">
        <v>46850</v>
      </c>
      <c r="X45" s="390">
        <v>2325</v>
      </c>
      <c r="Y45" s="393">
        <v>3544</v>
      </c>
      <c r="Z45" s="392">
        <v>10.4</v>
      </c>
      <c r="AA45" s="390">
        <v>130.19999999999999</v>
      </c>
      <c r="AB45" s="398">
        <v>2370</v>
      </c>
      <c r="AC45" s="398">
        <v>15460</v>
      </c>
      <c r="AD45" s="453">
        <v>1</v>
      </c>
      <c r="AE45" s="398">
        <v>1</v>
      </c>
      <c r="AF45" s="399">
        <v>1</v>
      </c>
      <c r="AG45" s="454">
        <v>1</v>
      </c>
      <c r="AH45" s="398">
        <v>1</v>
      </c>
      <c r="AI45" s="400">
        <v>1</v>
      </c>
      <c r="AJ45" s="389" t="s">
        <v>661</v>
      </c>
    </row>
    <row r="46" spans="1:36" s="203" customFormat="1" ht="13.5" customHeight="1">
      <c r="A46" s="197" t="s">
        <v>1468</v>
      </c>
      <c r="B46" s="140">
        <v>393</v>
      </c>
      <c r="C46" s="198">
        <v>419</v>
      </c>
      <c r="D46" s="198">
        <v>407</v>
      </c>
      <c r="E46" s="198">
        <v>30.6</v>
      </c>
      <c r="F46" s="198">
        <v>49.2</v>
      </c>
      <c r="G46" s="139">
        <v>15.2</v>
      </c>
      <c r="H46" s="82">
        <v>500.6</v>
      </c>
      <c r="I46" s="83">
        <v>320.60000000000002</v>
      </c>
      <c r="J46" s="83">
        <v>290.2</v>
      </c>
      <c r="K46" s="83" t="s">
        <v>667</v>
      </c>
      <c r="L46" s="86">
        <v>122</v>
      </c>
      <c r="M46" s="87">
        <v>296</v>
      </c>
      <c r="N46" s="89">
        <v>2.38</v>
      </c>
      <c r="O46" s="89">
        <v>6.05</v>
      </c>
      <c r="P46" s="197" t="s">
        <v>1468</v>
      </c>
      <c r="Q46" s="87">
        <v>393</v>
      </c>
      <c r="R46" s="86">
        <v>146600</v>
      </c>
      <c r="S46" s="86">
        <v>6998</v>
      </c>
      <c r="T46" s="86">
        <v>8222</v>
      </c>
      <c r="U46" s="89">
        <v>17.11</v>
      </c>
      <c r="V46" s="82">
        <v>130.1</v>
      </c>
      <c r="W46" s="83">
        <v>55370</v>
      </c>
      <c r="X46" s="84">
        <v>2721</v>
      </c>
      <c r="Y46" s="86">
        <v>4154</v>
      </c>
      <c r="Z46" s="91">
        <v>10.52</v>
      </c>
      <c r="AA46" s="84">
        <v>146.80000000000001</v>
      </c>
      <c r="AB46" s="21">
        <v>3592</v>
      </c>
      <c r="AC46" s="21">
        <v>18900</v>
      </c>
      <c r="AD46" s="199">
        <v>1</v>
      </c>
      <c r="AE46" s="200">
        <v>1</v>
      </c>
      <c r="AF46" s="201">
        <v>1</v>
      </c>
      <c r="AG46" s="222">
        <v>1</v>
      </c>
      <c r="AH46" s="200">
        <v>1</v>
      </c>
      <c r="AI46" s="202">
        <v>1</v>
      </c>
      <c r="AJ46" s="198" t="s">
        <v>661</v>
      </c>
    </row>
    <row r="47" spans="1:36" s="434" customFormat="1" ht="13.5" customHeight="1">
      <c r="A47" s="387" t="s">
        <v>1469</v>
      </c>
      <c r="B47" s="394">
        <v>467</v>
      </c>
      <c r="C47" s="389">
        <v>436.6</v>
      </c>
      <c r="D47" s="389">
        <v>412.2</v>
      </c>
      <c r="E47" s="389">
        <v>35.799999999999997</v>
      </c>
      <c r="F47" s="389">
        <v>58</v>
      </c>
      <c r="G47" s="388">
        <v>15.2</v>
      </c>
      <c r="H47" s="388">
        <v>594.9</v>
      </c>
      <c r="I47" s="389">
        <v>320.60000000000002</v>
      </c>
      <c r="J47" s="389">
        <v>290.2</v>
      </c>
      <c r="K47" s="389" t="s">
        <v>667</v>
      </c>
      <c r="L47" s="393">
        <v>128</v>
      </c>
      <c r="M47" s="394">
        <v>300</v>
      </c>
      <c r="N47" s="395">
        <v>2.4239999999999999</v>
      </c>
      <c r="O47" s="395">
        <v>5.1909999999999998</v>
      </c>
      <c r="P47" s="387" t="s">
        <v>1469</v>
      </c>
      <c r="Q47" s="394">
        <v>467</v>
      </c>
      <c r="R47" s="393">
        <v>183000</v>
      </c>
      <c r="S47" s="393">
        <v>8383</v>
      </c>
      <c r="T47" s="393">
        <v>10000</v>
      </c>
      <c r="U47" s="396">
        <v>17.54</v>
      </c>
      <c r="V47" s="388">
        <v>155.19999999999999</v>
      </c>
      <c r="W47" s="389">
        <v>67830</v>
      </c>
      <c r="X47" s="393">
        <v>3291</v>
      </c>
      <c r="Y47" s="393">
        <v>5034</v>
      </c>
      <c r="Z47" s="392">
        <v>10.68</v>
      </c>
      <c r="AA47" s="390">
        <v>169.6</v>
      </c>
      <c r="AB47" s="398">
        <v>5896</v>
      </c>
      <c r="AC47" s="398">
        <v>24260</v>
      </c>
      <c r="AD47" s="453">
        <v>1</v>
      </c>
      <c r="AE47" s="398">
        <v>1</v>
      </c>
      <c r="AF47" s="399">
        <v>1</v>
      </c>
      <c r="AG47" s="454">
        <v>1</v>
      </c>
      <c r="AH47" s="398">
        <v>1</v>
      </c>
      <c r="AI47" s="400">
        <v>1</v>
      </c>
      <c r="AJ47" s="389" t="s">
        <v>661</v>
      </c>
    </row>
    <row r="48" spans="1:36" s="203" customFormat="1" ht="13.5" customHeight="1">
      <c r="A48" s="197" t="s">
        <v>1470</v>
      </c>
      <c r="B48" s="140">
        <v>551</v>
      </c>
      <c r="C48" s="198">
        <v>455.6</v>
      </c>
      <c r="D48" s="198">
        <v>418.5</v>
      </c>
      <c r="E48" s="198">
        <v>42.1</v>
      </c>
      <c r="F48" s="198">
        <v>67.5</v>
      </c>
      <c r="G48" s="139">
        <v>15.2</v>
      </c>
      <c r="H48" s="82">
        <v>701.9</v>
      </c>
      <c r="I48" s="83">
        <v>320.60000000000002</v>
      </c>
      <c r="J48" s="83">
        <v>290.2</v>
      </c>
      <c r="K48" s="83" t="s">
        <v>667</v>
      </c>
      <c r="L48" s="86">
        <v>134</v>
      </c>
      <c r="M48" s="87">
        <v>306</v>
      </c>
      <c r="N48" s="88">
        <v>2.4750000000000001</v>
      </c>
      <c r="O48" s="88">
        <v>4.492</v>
      </c>
      <c r="P48" s="197" t="s">
        <v>1470</v>
      </c>
      <c r="Q48" s="87">
        <v>551</v>
      </c>
      <c r="R48" s="86">
        <v>226900</v>
      </c>
      <c r="S48" s="86">
        <v>9962</v>
      </c>
      <c r="T48" s="86">
        <v>12080</v>
      </c>
      <c r="U48" s="89">
        <v>17.98</v>
      </c>
      <c r="V48" s="82">
        <v>185.9</v>
      </c>
      <c r="W48" s="83">
        <v>82670</v>
      </c>
      <c r="X48" s="86">
        <v>3951</v>
      </c>
      <c r="Y48" s="86">
        <v>6058</v>
      </c>
      <c r="Z48" s="91">
        <v>10.85</v>
      </c>
      <c r="AA48" s="84">
        <v>194.9</v>
      </c>
      <c r="AB48" s="21">
        <v>9402</v>
      </c>
      <c r="AC48" s="21">
        <v>31050</v>
      </c>
      <c r="AD48" s="199">
        <v>1</v>
      </c>
      <c r="AE48" s="200">
        <v>1</v>
      </c>
      <c r="AF48" s="201">
        <v>1</v>
      </c>
      <c r="AG48" s="222">
        <v>1</v>
      </c>
      <c r="AH48" s="200">
        <v>1</v>
      </c>
      <c r="AI48" s="202">
        <v>1</v>
      </c>
      <c r="AJ48" s="198" t="s">
        <v>661</v>
      </c>
    </row>
    <row r="49" spans="1:36" s="434" customFormat="1" ht="13.5" customHeight="1">
      <c r="A49" s="387" t="s">
        <v>1471</v>
      </c>
      <c r="B49" s="394">
        <v>634</v>
      </c>
      <c r="C49" s="389">
        <v>474.6</v>
      </c>
      <c r="D49" s="389">
        <v>424</v>
      </c>
      <c r="E49" s="389">
        <v>47.6</v>
      </c>
      <c r="F49" s="389">
        <v>77</v>
      </c>
      <c r="G49" s="388">
        <v>15.2</v>
      </c>
      <c r="H49" s="388">
        <v>807.5</v>
      </c>
      <c r="I49" s="389">
        <v>320.60000000000002</v>
      </c>
      <c r="J49" s="389">
        <v>290.2</v>
      </c>
      <c r="K49" s="389" t="s">
        <v>667</v>
      </c>
      <c r="L49" s="393">
        <v>140</v>
      </c>
      <c r="M49" s="394">
        <v>312</v>
      </c>
      <c r="N49" s="395">
        <v>2.524</v>
      </c>
      <c r="O49" s="395">
        <v>3.9809999999999999</v>
      </c>
      <c r="P49" s="387" t="s">
        <v>1471</v>
      </c>
      <c r="Q49" s="394">
        <v>634</v>
      </c>
      <c r="R49" s="393">
        <v>274800</v>
      </c>
      <c r="S49" s="393">
        <v>11580</v>
      </c>
      <c r="T49" s="393">
        <v>14240</v>
      </c>
      <c r="U49" s="396">
        <v>18.45</v>
      </c>
      <c r="V49" s="388">
        <v>214.6</v>
      </c>
      <c r="W49" s="389">
        <v>98130</v>
      </c>
      <c r="X49" s="393">
        <v>4629</v>
      </c>
      <c r="Y49" s="393">
        <v>7108</v>
      </c>
      <c r="Z49" s="392">
        <v>11.02</v>
      </c>
      <c r="AA49" s="390">
        <v>219.4</v>
      </c>
      <c r="AB49" s="398">
        <v>13990</v>
      </c>
      <c r="AC49" s="398">
        <v>38660</v>
      </c>
      <c r="AD49" s="453">
        <v>1</v>
      </c>
      <c r="AE49" s="398">
        <v>1</v>
      </c>
      <c r="AF49" s="399">
        <v>1</v>
      </c>
      <c r="AG49" s="454">
        <v>1</v>
      </c>
      <c r="AH49" s="398">
        <v>1</v>
      </c>
      <c r="AI49" s="400">
        <v>1</v>
      </c>
      <c r="AJ49" s="389" t="s">
        <v>661</v>
      </c>
    </row>
    <row r="50" spans="1:36" s="203" customFormat="1" ht="13.5" customHeight="1">
      <c r="A50" s="197"/>
      <c r="B50" s="140"/>
      <c r="C50" s="198"/>
      <c r="D50" s="198"/>
      <c r="E50" s="198"/>
      <c r="F50" s="198"/>
      <c r="G50" s="206"/>
      <c r="H50" s="82"/>
      <c r="I50" s="83"/>
      <c r="J50" s="83"/>
      <c r="K50" s="83"/>
      <c r="L50" s="86"/>
      <c r="M50" s="87"/>
      <c r="N50" s="89"/>
      <c r="O50" s="89"/>
      <c r="P50" s="197"/>
      <c r="Q50" s="87"/>
      <c r="R50" s="86"/>
      <c r="S50" s="86"/>
      <c r="T50" s="86"/>
      <c r="U50" s="89"/>
      <c r="V50" s="91"/>
      <c r="W50" s="83"/>
      <c r="X50" s="86"/>
      <c r="Y50" s="86"/>
      <c r="Z50" s="91"/>
      <c r="AA50" s="84"/>
      <c r="AB50" s="21"/>
      <c r="AC50" s="21"/>
      <c r="AD50" s="199"/>
      <c r="AE50" s="200"/>
      <c r="AF50" s="201"/>
      <c r="AG50" s="222"/>
      <c r="AH50" s="200"/>
      <c r="AI50" s="202"/>
      <c r="AJ50" s="198"/>
    </row>
    <row r="51" spans="1:36" s="203" customFormat="1" ht="13.5" hidden="1" customHeight="1">
      <c r="A51" s="213"/>
      <c r="P51" s="213"/>
      <c r="AB51" s="215"/>
      <c r="AC51" s="215"/>
      <c r="AD51" s="215"/>
      <c r="AE51" s="215"/>
      <c r="AF51" s="215"/>
      <c r="AG51" s="215"/>
      <c r="AH51" s="215"/>
      <c r="AI51" s="215"/>
    </row>
    <row r="52" spans="1:36" s="203" customFormat="1" ht="13.5" hidden="1" customHeight="1">
      <c r="A52" s="213"/>
      <c r="P52" s="213"/>
      <c r="AB52" s="215"/>
      <c r="AC52" s="215"/>
      <c r="AD52" s="215"/>
      <c r="AE52" s="215"/>
      <c r="AF52" s="215"/>
      <c r="AG52" s="215"/>
      <c r="AH52" s="215"/>
      <c r="AI52" s="215"/>
    </row>
    <row r="53" spans="1:36" s="203" customFormat="1" ht="13.5" hidden="1" customHeight="1">
      <c r="A53" s="213"/>
      <c r="P53" s="213"/>
      <c r="AB53" s="215"/>
      <c r="AC53" s="215"/>
      <c r="AD53" s="215"/>
      <c r="AE53" s="215"/>
      <c r="AF53" s="215"/>
      <c r="AG53" s="215"/>
      <c r="AH53" s="215"/>
      <c r="AI53" s="215"/>
    </row>
    <row r="54" spans="1:36" s="203" customFormat="1" ht="13.5" hidden="1" customHeight="1">
      <c r="A54" s="213"/>
      <c r="P54" s="213"/>
      <c r="AB54" s="215"/>
      <c r="AC54" s="215"/>
      <c r="AD54" s="215"/>
      <c r="AE54" s="215"/>
      <c r="AF54" s="215"/>
      <c r="AG54" s="215"/>
      <c r="AH54" s="215"/>
      <c r="AI54" s="215"/>
    </row>
    <row r="55" spans="1:36" s="203" customFormat="1" ht="13.5" hidden="1" customHeight="1">
      <c r="A55" s="213"/>
      <c r="P55" s="213"/>
      <c r="AB55" s="215"/>
      <c r="AC55" s="215"/>
      <c r="AD55" s="215"/>
      <c r="AE55" s="215"/>
      <c r="AF55" s="215"/>
      <c r="AG55" s="215"/>
      <c r="AH55" s="215"/>
      <c r="AI55" s="215"/>
    </row>
    <row r="56" spans="1:36" s="203" customFormat="1" ht="13.5" hidden="1" customHeight="1">
      <c r="A56" s="213"/>
      <c r="P56" s="213"/>
      <c r="Q56" s="101"/>
      <c r="R56" s="102"/>
      <c r="S56" s="102"/>
      <c r="T56" s="102"/>
      <c r="U56" s="102"/>
      <c r="V56" s="102"/>
      <c r="W56" s="101"/>
      <c r="X56" s="102"/>
      <c r="Y56" s="102"/>
      <c r="Z56" s="102"/>
      <c r="AA56" s="102"/>
      <c r="AB56" s="59"/>
      <c r="AC56" s="59"/>
      <c r="AD56" s="101"/>
      <c r="AE56" s="215"/>
      <c r="AF56" s="215"/>
      <c r="AG56" s="215"/>
      <c r="AH56" s="215"/>
      <c r="AI56" s="215"/>
    </row>
    <row r="57" spans="1:36" s="203" customFormat="1" ht="13.5" hidden="1" customHeight="1">
      <c r="A57" s="213"/>
      <c r="P57" s="213"/>
      <c r="Q57" s="101"/>
      <c r="R57" s="102"/>
      <c r="S57" s="102"/>
      <c r="T57" s="102"/>
      <c r="U57" s="102"/>
      <c r="V57" s="102"/>
      <c r="W57" s="101"/>
      <c r="X57" s="102"/>
      <c r="Y57" s="102"/>
      <c r="Z57" s="102"/>
      <c r="AA57" s="102"/>
      <c r="AB57" s="59"/>
      <c r="AC57" s="59"/>
      <c r="AD57" s="101"/>
      <c r="AE57" s="215"/>
      <c r="AF57" s="215"/>
      <c r="AG57" s="215"/>
      <c r="AH57" s="215"/>
      <c r="AI57" s="215"/>
    </row>
    <row r="58" spans="1:36" s="203" customFormat="1" ht="13.5" hidden="1" customHeight="1">
      <c r="A58" s="101"/>
      <c r="B58" s="194"/>
      <c r="C58" s="193"/>
      <c r="D58" s="193"/>
      <c r="E58" s="101"/>
      <c r="F58" s="193"/>
      <c r="G58" s="193"/>
      <c r="H58" s="193"/>
      <c r="I58" s="193"/>
      <c r="J58" s="193"/>
      <c r="K58" s="101"/>
      <c r="P58" s="213"/>
      <c r="Q58" s="101"/>
      <c r="R58" s="102"/>
      <c r="S58" s="102"/>
      <c r="T58" s="102"/>
      <c r="U58" s="102"/>
      <c r="V58" s="102"/>
      <c r="W58" s="101"/>
      <c r="X58" s="102"/>
      <c r="Y58" s="102"/>
      <c r="Z58" s="102"/>
      <c r="AA58" s="102"/>
      <c r="AB58" s="59"/>
      <c r="AC58" s="59"/>
      <c r="AD58" s="101"/>
      <c r="AE58" s="215"/>
      <c r="AF58" s="215"/>
      <c r="AG58" s="215"/>
      <c r="AH58" s="215"/>
      <c r="AI58" s="215"/>
    </row>
    <row r="59" spans="1:36" s="203" customFormat="1" ht="13.5" hidden="1" customHeight="1">
      <c r="A59" s="101"/>
      <c r="E59" s="101"/>
      <c r="K59" s="101"/>
      <c r="P59" s="213"/>
      <c r="Q59" s="101"/>
      <c r="R59" s="102"/>
      <c r="S59" s="102"/>
      <c r="T59" s="102"/>
      <c r="U59" s="102"/>
      <c r="V59" s="102"/>
      <c r="W59" s="101"/>
      <c r="X59" s="102"/>
      <c r="Y59" s="102"/>
      <c r="Z59" s="102"/>
      <c r="AA59" s="102"/>
      <c r="AB59" s="59"/>
      <c r="AC59" s="59"/>
      <c r="AD59" s="101"/>
      <c r="AE59" s="215"/>
      <c r="AF59" s="215"/>
      <c r="AG59" s="215"/>
      <c r="AH59" s="215"/>
      <c r="AI59" s="215"/>
    </row>
    <row r="60" spans="1:36" s="203" customFormat="1" ht="13.5" hidden="1" customHeight="1">
      <c r="A60" s="223"/>
      <c r="B60" s="174"/>
      <c r="C60" s="174"/>
      <c r="D60" s="174"/>
      <c r="E60" s="174"/>
      <c r="F60" s="174"/>
      <c r="G60" s="174"/>
      <c r="H60" s="174"/>
      <c r="I60" s="174"/>
      <c r="J60" s="174"/>
      <c r="K60" s="174"/>
      <c r="L60" s="174"/>
      <c r="M60" s="174"/>
      <c r="N60" s="174"/>
      <c r="O60" s="174"/>
      <c r="P60" s="223"/>
      <c r="Q60" s="174"/>
      <c r="R60" s="174"/>
      <c r="S60" s="174"/>
      <c r="T60" s="174"/>
      <c r="U60" s="174"/>
      <c r="V60" s="174"/>
      <c r="W60" s="174"/>
      <c r="X60" s="174"/>
      <c r="Y60" s="174"/>
      <c r="Z60" s="174"/>
      <c r="AA60" s="174"/>
      <c r="AB60" s="45"/>
      <c r="AC60" s="45"/>
      <c r="AD60" s="45"/>
      <c r="AE60" s="45"/>
      <c r="AF60" s="45"/>
      <c r="AG60" s="45"/>
      <c r="AH60" s="45"/>
      <c r="AI60" s="45"/>
      <c r="AJ60" s="174"/>
    </row>
    <row r="61" spans="1:36" s="203" customFormat="1" ht="13.5" hidden="1" customHeight="1">
      <c r="A61" s="223"/>
      <c r="B61" s="174"/>
      <c r="C61" s="174"/>
      <c r="D61" s="174"/>
      <c r="E61" s="174"/>
      <c r="F61" s="174"/>
      <c r="G61" s="174"/>
      <c r="H61" s="174"/>
      <c r="I61" s="174"/>
      <c r="J61" s="174"/>
      <c r="K61" s="174"/>
      <c r="L61" s="174"/>
      <c r="M61" s="174"/>
      <c r="N61" s="174"/>
      <c r="O61" s="174"/>
      <c r="P61" s="223"/>
      <c r="Q61" s="174"/>
      <c r="R61" s="174"/>
      <c r="S61" s="174"/>
      <c r="T61" s="174"/>
      <c r="U61" s="174"/>
      <c r="V61" s="174"/>
      <c r="W61" s="174"/>
      <c r="X61" s="174"/>
      <c r="Y61" s="174"/>
      <c r="Z61" s="174"/>
      <c r="AA61" s="174"/>
      <c r="AB61" s="45"/>
      <c r="AC61" s="45"/>
      <c r="AD61" s="45"/>
      <c r="AE61" s="45"/>
      <c r="AF61" s="45"/>
      <c r="AG61" s="45"/>
      <c r="AH61" s="45"/>
      <c r="AI61" s="45"/>
      <c r="AJ61" s="174"/>
    </row>
    <row r="62" spans="1:36" s="203" customFormat="1" ht="13.5" hidden="1" customHeight="1">
      <c r="A62" s="223"/>
      <c r="B62" s="174"/>
      <c r="C62" s="174"/>
      <c r="D62" s="174"/>
      <c r="E62" s="174"/>
      <c r="F62" s="174"/>
      <c r="G62" s="174"/>
      <c r="H62" s="174"/>
      <c r="I62" s="174"/>
      <c r="J62" s="174"/>
      <c r="K62" s="174"/>
      <c r="L62" s="174"/>
      <c r="M62" s="174"/>
      <c r="N62" s="174"/>
      <c r="O62" s="174"/>
      <c r="P62" s="223"/>
      <c r="Q62" s="174"/>
      <c r="R62" s="174"/>
      <c r="S62" s="174"/>
      <c r="T62" s="174"/>
      <c r="U62" s="174"/>
      <c r="V62" s="174"/>
      <c r="W62" s="174"/>
      <c r="X62" s="174"/>
      <c r="Y62" s="174"/>
      <c r="Z62" s="174"/>
      <c r="AA62" s="174"/>
      <c r="AB62" s="45"/>
      <c r="AC62" s="45"/>
      <c r="AD62" s="45"/>
      <c r="AE62" s="45"/>
      <c r="AF62" s="45"/>
      <c r="AG62" s="45"/>
      <c r="AH62" s="45"/>
      <c r="AI62" s="45"/>
      <c r="AJ62" s="174"/>
    </row>
    <row r="63" spans="1:36" ht="13.5" hidden="1" customHeight="1"/>
    <row r="64" spans="1:36" ht="13.5" hidden="1" customHeight="1"/>
    <row r="65" ht="13.5" hidden="1" customHeight="1"/>
    <row r="66" ht="13.5" hidden="1" customHeight="1"/>
    <row r="67" ht="13.5" hidden="1" customHeight="1"/>
    <row r="68" ht="13.5" hidden="1" customHeight="1"/>
    <row r="69" ht="13.5" hidden="1" customHeight="1"/>
    <row r="70" ht="13.5" hidden="1" customHeight="1"/>
    <row r="71" ht="13.5" hidden="1" customHeight="1"/>
    <row r="72" ht="13.5" hidden="1" customHeight="1"/>
    <row r="73" ht="13.5" hidden="1" customHeight="1"/>
    <row r="74" ht="13.5" hidden="1" customHeight="1"/>
    <row r="75" ht="13.5" hidden="1" customHeight="1"/>
    <row r="76" ht="13.5" hidden="1" customHeight="1"/>
    <row r="77" ht="13.5" hidden="1" customHeight="1"/>
    <row r="78" ht="13.5" hidden="1" customHeight="1"/>
    <row r="79" ht="13.5" hidden="1" customHeight="1"/>
    <row r="80" ht="13.5" hidden="1" customHeight="1"/>
    <row r="81" ht="13.5" hidden="1" customHeight="1"/>
    <row r="82" ht="13.5" hidden="1" customHeight="1"/>
    <row r="83" ht="13.5" hidden="1" customHeight="1"/>
    <row r="84" ht="13.5" hidden="1" customHeight="1"/>
    <row r="85" ht="13.5" hidden="1" customHeight="1"/>
    <row r="86" ht="13.5" hidden="1" customHeight="1"/>
    <row r="87" ht="13.5" hidden="1" customHeight="1"/>
    <row r="88" ht="13.5" hidden="1" customHeight="1"/>
    <row r="89" ht="13.5" hidden="1" customHeight="1"/>
    <row r="90" ht="13.5" hidden="1" customHeight="1"/>
    <row r="91" ht="13.5" hidden="1" customHeight="1"/>
    <row r="92" ht="13.5" hidden="1" customHeight="1"/>
    <row r="93" ht="13.5" hidden="1" customHeight="1"/>
    <row r="94" ht="13.5" hidden="1" customHeight="1"/>
    <row r="95" ht="13.5" hidden="1" customHeight="1"/>
    <row r="96" ht="13.5" hidden="1" customHeight="1"/>
    <row r="97" ht="13.5" hidden="1" customHeight="1"/>
    <row r="98" ht="13.5" hidden="1" customHeight="1"/>
    <row r="99" ht="13.5" hidden="1" customHeight="1"/>
    <row r="100" ht="13.5" hidden="1" customHeight="1"/>
    <row r="101" ht="13.5" hidden="1" customHeight="1"/>
    <row r="102" ht="13.5" hidden="1" customHeight="1"/>
    <row r="103" ht="13.5" hidden="1" customHeight="1"/>
    <row r="104" ht="13.5" hidden="1" customHeight="1"/>
    <row r="105" ht="13.5" hidden="1" customHeight="1"/>
    <row r="106" ht="13.5" hidden="1" customHeight="1"/>
    <row r="107" ht="13.5" hidden="1" customHeight="1"/>
    <row r="108" ht="13.5" hidden="1" customHeight="1"/>
    <row r="109" ht="13.5" hidden="1" customHeight="1"/>
    <row r="110" ht="13.5" hidden="1" customHeight="1"/>
    <row r="111" ht="13.5" hidden="1" customHeight="1"/>
    <row r="112" ht="13.5" hidden="1" customHeight="1"/>
    <row r="113" ht="13.5" hidden="1" customHeight="1"/>
    <row r="114" ht="13.5" hidden="1" customHeight="1"/>
    <row r="115" ht="13.5" hidden="1" customHeight="1"/>
    <row r="116" ht="13.5" hidden="1" customHeight="1"/>
    <row r="117" ht="13.5" hidden="1" customHeight="1"/>
    <row r="118" ht="13.5" hidden="1" customHeight="1"/>
    <row r="119" ht="13.5" hidden="1" customHeight="1"/>
    <row r="120" ht="13.5" hidden="1" customHeight="1"/>
    <row r="121" ht="13.5" hidden="1" customHeight="1"/>
    <row r="122" ht="13.5" hidden="1" customHeight="1"/>
    <row r="123" ht="13.5" hidden="1" customHeight="1"/>
    <row r="124" ht="13.5" hidden="1" customHeight="1"/>
    <row r="125" ht="13.5" hidden="1" customHeight="1"/>
    <row r="126" ht="13.5" hidden="1" customHeight="1"/>
    <row r="127" ht="13.5" hidden="1" customHeight="1"/>
    <row r="128" ht="13.5" hidden="1" customHeight="1"/>
    <row r="129" ht="13.5" hidden="1" customHeight="1"/>
    <row r="130" ht="13.5" hidden="1" customHeight="1"/>
    <row r="131" ht="13.5" hidden="1" customHeight="1"/>
    <row r="132" ht="13.5" hidden="1" customHeight="1"/>
    <row r="133" ht="13.5" hidden="1" customHeight="1"/>
    <row r="134" ht="13.5" hidden="1" customHeight="1"/>
    <row r="135" ht="13.5" hidden="1" customHeight="1"/>
    <row r="136" ht="13.5" hidden="1" customHeight="1"/>
    <row r="137" ht="13.5" hidden="1" customHeight="1"/>
    <row r="138" ht="13.5" hidden="1" customHeight="1"/>
    <row r="139" ht="13.5" hidden="1" customHeight="1"/>
    <row r="140" ht="13.5" hidden="1" customHeight="1"/>
    <row r="141" ht="13.5" hidden="1" customHeight="1"/>
    <row r="142" ht="13.5" hidden="1" customHeight="1"/>
    <row r="143" ht="13.5" hidden="1" customHeight="1"/>
    <row r="144" ht="13.5" hidden="1" customHeight="1"/>
    <row r="145" ht="13.5" hidden="1" customHeight="1"/>
    <row r="146" ht="13.5" hidden="1" customHeight="1"/>
    <row r="147" ht="13.5" hidden="1" customHeight="1"/>
    <row r="148" ht="13.5" hidden="1" customHeight="1"/>
    <row r="149" ht="13.5" hidden="1" customHeight="1"/>
    <row r="150" ht="13.5" hidden="1" customHeight="1"/>
    <row r="151" ht="13.5" hidden="1" customHeight="1"/>
    <row r="152" ht="13.5" hidden="1" customHeight="1"/>
    <row r="153" ht="13.5" hidden="1" customHeight="1"/>
    <row r="154" ht="13.5" hidden="1" customHeight="1"/>
    <row r="155" ht="13.5" hidden="1" customHeight="1"/>
    <row r="156" ht="13.5" hidden="1" customHeight="1"/>
    <row r="157" ht="13.5" hidden="1" customHeight="1"/>
    <row r="158" ht="13.5" hidden="1" customHeight="1"/>
    <row r="159" ht="13.5" hidden="1" customHeight="1"/>
    <row r="160" ht="13.5" hidden="1" customHeight="1"/>
    <row r="161" ht="13.5" hidden="1" customHeight="1"/>
    <row r="162" ht="13.5" hidden="1" customHeight="1"/>
    <row r="163" ht="13.5" hidden="1" customHeight="1"/>
    <row r="164" ht="13.5" hidden="1" customHeight="1"/>
    <row r="165" ht="13.5" hidden="1" customHeight="1"/>
    <row r="166" ht="13.5" hidden="1" customHeight="1"/>
    <row r="167" ht="13.5" hidden="1" customHeight="1"/>
    <row r="168" ht="13.5" hidden="1" customHeight="1"/>
    <row r="169" ht="13.5" hidden="1" customHeight="1"/>
    <row r="170" ht="13.5" hidden="1" customHeight="1"/>
    <row r="171" ht="13.5" hidden="1" customHeight="1"/>
    <row r="172" ht="13.5" hidden="1" customHeight="1"/>
    <row r="173" ht="13.5" hidden="1" customHeight="1"/>
    <row r="174" ht="13.5" hidden="1" customHeight="1"/>
    <row r="175" ht="13.5" hidden="1" customHeight="1"/>
    <row r="176" ht="13.5" hidden="1" customHeight="1"/>
    <row r="177" ht="13.5" hidden="1" customHeight="1"/>
    <row r="178" ht="13.5" hidden="1" customHeight="1"/>
    <row r="179" ht="13.5" hidden="1" customHeight="1"/>
    <row r="180" ht="13.5" hidden="1" customHeight="1"/>
    <row r="181" ht="13.5" hidden="1" customHeight="1"/>
    <row r="182" ht="13.5" hidden="1" customHeight="1"/>
    <row r="183" ht="13.5" hidden="1" customHeight="1"/>
    <row r="184" ht="13.5" hidden="1" customHeight="1"/>
    <row r="185" ht="13.5" hidden="1" customHeight="1"/>
    <row r="186" ht="13.5" hidden="1" customHeight="1"/>
    <row r="187" ht="13.5" hidden="1" customHeight="1"/>
    <row r="188" ht="13.5" hidden="1" customHeight="1"/>
    <row r="189" ht="13.5" hidden="1" customHeight="1"/>
    <row r="190" ht="13.5" hidden="1" customHeight="1"/>
    <row r="191" ht="13.5" hidden="1" customHeight="1"/>
    <row r="192" ht="13.5" hidden="1" customHeight="1"/>
    <row r="193" ht="13.5" hidden="1" customHeight="1"/>
    <row r="194" ht="13.5" hidden="1" customHeight="1"/>
    <row r="195" ht="13.5" hidden="1" customHeight="1"/>
    <row r="196" ht="13.5" hidden="1" customHeight="1"/>
    <row r="197" ht="13.5" hidden="1" customHeight="1"/>
    <row r="198" ht="13.5" hidden="1" customHeight="1"/>
    <row r="199" ht="13.5" hidden="1" customHeight="1"/>
    <row r="200" ht="13.5" hidden="1" customHeight="1"/>
    <row r="201" ht="13.5" hidden="1" customHeight="1"/>
    <row r="202" ht="13.5" hidden="1" customHeight="1"/>
    <row r="203" ht="13.5" hidden="1" customHeight="1"/>
    <row r="204" ht="13.5" hidden="1" customHeight="1"/>
    <row r="205" ht="13.5" hidden="1" customHeight="1"/>
    <row r="206" ht="13.5" hidden="1" customHeight="1"/>
    <row r="207" ht="13.5" hidden="1" customHeight="1"/>
    <row r="208" ht="13.5" hidden="1" customHeight="1"/>
    <row r="209" ht="13.5" hidden="1" customHeight="1"/>
    <row r="210" ht="13.5" hidden="1" customHeight="1"/>
    <row r="211" ht="13.5" hidden="1" customHeight="1"/>
    <row r="212" ht="13.5" hidden="1" customHeight="1"/>
    <row r="213" ht="13.5" hidden="1" customHeight="1"/>
    <row r="214" ht="13.5" hidden="1" customHeight="1"/>
    <row r="215" ht="13.5" hidden="1" customHeight="1"/>
    <row r="216" ht="13.5" hidden="1" customHeight="1"/>
    <row r="217" ht="13.5" hidden="1" customHeight="1"/>
    <row r="218" ht="13.5" hidden="1" customHeight="1"/>
    <row r="219" ht="13.5" hidden="1" customHeight="1"/>
    <row r="220" ht="13.5" hidden="1" customHeight="1"/>
    <row r="221" ht="13.5" hidden="1" customHeight="1"/>
    <row r="222" ht="13.5" hidden="1" customHeight="1"/>
    <row r="223" ht="13.5" hidden="1" customHeight="1"/>
    <row r="224" ht="13.5" hidden="1" customHeight="1"/>
    <row r="225" ht="13.5" hidden="1" customHeight="1"/>
    <row r="226" ht="13.5" hidden="1" customHeight="1"/>
    <row r="227" ht="13.5" hidden="1" customHeight="1"/>
    <row r="228" ht="13.5" hidden="1" customHeight="1"/>
    <row r="229" ht="13.5" hidden="1" customHeight="1"/>
    <row r="230" ht="13.5" hidden="1" customHeight="1"/>
    <row r="231" ht="13.5" hidden="1" customHeight="1"/>
    <row r="232" ht="13.5" hidden="1" customHeight="1"/>
    <row r="233" ht="13.5" hidden="1" customHeight="1"/>
    <row r="234" ht="13.5" hidden="1" customHeight="1"/>
    <row r="235" ht="13.5" hidden="1" customHeight="1"/>
    <row r="236" ht="13.5" hidden="1" customHeight="1"/>
    <row r="237" ht="13.5" hidden="1" customHeight="1"/>
    <row r="238" ht="13.5" hidden="1" customHeight="1"/>
    <row r="239" ht="13.5" hidden="1" customHeight="1"/>
    <row r="240" ht="13.5" hidden="1" customHeight="1"/>
    <row r="241" ht="13.5" hidden="1" customHeight="1"/>
    <row r="242" ht="13.5" hidden="1" customHeight="1"/>
    <row r="243" ht="13.5" hidden="1" customHeight="1"/>
    <row r="244" ht="13.5" hidden="1" customHeight="1"/>
    <row r="245" ht="13.5" hidden="1" customHeight="1"/>
    <row r="246" ht="13.5" hidden="1" customHeight="1"/>
    <row r="247" ht="13.5" hidden="1" customHeight="1"/>
    <row r="248" ht="13.5" hidden="1" customHeight="1"/>
    <row r="249" ht="13.5" hidden="1" customHeight="1"/>
    <row r="250" ht="13.5" hidden="1" customHeight="1"/>
    <row r="251" ht="13.5" hidden="1" customHeight="1"/>
    <row r="252" ht="13.5" hidden="1" customHeight="1"/>
    <row r="253" ht="13.5" hidden="1" customHeight="1"/>
    <row r="254" ht="13.5" hidden="1" customHeight="1"/>
    <row r="255" ht="13.5" hidden="1" customHeight="1"/>
    <row r="256" ht="13.5" hidden="1" customHeight="1"/>
    <row r="257" ht="13.5" hidden="1" customHeight="1"/>
    <row r="258" ht="13.5" hidden="1" customHeight="1"/>
    <row r="259" ht="13.5" hidden="1" customHeight="1"/>
    <row r="260" ht="13.5" hidden="1" customHeight="1"/>
    <row r="261" ht="13.5" hidden="1" customHeight="1"/>
    <row r="262" ht="13.5" hidden="1" customHeight="1"/>
    <row r="263" ht="13.5" hidden="1" customHeight="1"/>
    <row r="264" ht="13.5" hidden="1" customHeight="1"/>
    <row r="265" ht="13.5" hidden="1" customHeight="1"/>
    <row r="266" ht="13.5" hidden="1" customHeight="1"/>
    <row r="267" ht="13.5" hidden="1" customHeight="1"/>
    <row r="268" ht="13.5" hidden="1" customHeight="1"/>
    <row r="269" ht="13.5" hidden="1" customHeight="1"/>
    <row r="270" ht="13.5" hidden="1" customHeight="1"/>
    <row r="271" ht="13.5" hidden="1" customHeight="1"/>
    <row r="272" ht="13.5" hidden="1" customHeight="1"/>
    <row r="273" ht="13.5" hidden="1" customHeight="1"/>
    <row r="274" ht="13.5" hidden="1" customHeight="1"/>
    <row r="275" ht="13.5" hidden="1" customHeight="1"/>
    <row r="276" ht="13.5" hidden="1" customHeight="1"/>
    <row r="277" ht="13.5" hidden="1" customHeight="1"/>
    <row r="278" ht="13.5" hidden="1" customHeight="1"/>
    <row r="279" ht="13.5" hidden="1" customHeight="1"/>
    <row r="280" ht="13.5" hidden="1" customHeight="1"/>
    <row r="281" ht="13.5" hidden="1" customHeight="1"/>
    <row r="282" ht="13.5" hidden="1" customHeight="1"/>
    <row r="283" ht="13.5" hidden="1" customHeight="1"/>
    <row r="284" ht="13.5" hidden="1" customHeight="1"/>
    <row r="285" ht="13.5" hidden="1" customHeight="1"/>
    <row r="286" ht="13.5" hidden="1" customHeight="1"/>
    <row r="287" ht="13.5" hidden="1" customHeight="1"/>
    <row r="288" ht="13.5" hidden="1" customHeight="1"/>
    <row r="289" ht="13.5" hidden="1" customHeight="1"/>
    <row r="290" ht="13.5" hidden="1" customHeight="1"/>
    <row r="291" ht="13.5" hidden="1" customHeight="1"/>
    <row r="292" ht="13.5" hidden="1" customHeight="1"/>
    <row r="293" ht="13.5" hidden="1" customHeight="1"/>
    <row r="294" ht="13.5" hidden="1" customHeight="1"/>
    <row r="295" ht="13.5" hidden="1" customHeight="1"/>
    <row r="296" ht="13.5" hidden="1" customHeight="1"/>
    <row r="297" ht="13.5" hidden="1" customHeight="1"/>
    <row r="298" ht="13.5" hidden="1" customHeight="1"/>
    <row r="299" ht="13.5" hidden="1" customHeight="1"/>
    <row r="300" ht="13.5" hidden="1" customHeight="1"/>
    <row r="301" ht="13.5" hidden="1" customHeight="1"/>
    <row r="302" ht="13.5" hidden="1" customHeight="1"/>
    <row r="303" ht="13.5" hidden="1" customHeight="1"/>
    <row r="304" ht="13.5" hidden="1" customHeight="1"/>
    <row r="305" ht="13.5" hidden="1" customHeight="1"/>
    <row r="306" ht="13.5" hidden="1" customHeight="1"/>
    <row r="307" ht="13.5" hidden="1" customHeight="1"/>
    <row r="308" ht="13.5" hidden="1" customHeight="1"/>
    <row r="309" ht="13.5" hidden="1" customHeight="1"/>
    <row r="310" ht="13.5" hidden="1" customHeight="1"/>
    <row r="311" ht="13.5" hidden="1" customHeight="1"/>
    <row r="312" ht="13.5" hidden="1" customHeight="1"/>
    <row r="313" ht="13.5" hidden="1" customHeight="1"/>
    <row r="314" ht="13.5" hidden="1" customHeight="1"/>
    <row r="315" ht="13.5" hidden="1" customHeight="1"/>
    <row r="316" ht="13.5" hidden="1" customHeight="1"/>
    <row r="317" ht="13.5" hidden="1" customHeight="1"/>
    <row r="318" ht="13.5" hidden="1" customHeight="1"/>
    <row r="319" ht="13.5" hidden="1" customHeight="1"/>
    <row r="320" ht="13.5" hidden="1" customHeight="1"/>
    <row r="321" ht="13.5" hidden="1" customHeight="1"/>
  </sheetData>
  <phoneticPr fontId="0" type="noConversion"/>
  <pageMargins left="0.75" right="0.75" top="1" bottom="1" header="0.4921259845" footer="0.4921259845"/>
  <pageSetup paperSize="0" scale="58" orientation="landscape" horizontalDpi="4294967292" verticalDpi="4294967292"/>
  <headerFooter alignWithMargins="0">
    <oddFooter>&amp;LLe &amp;D&amp;CProfilés &amp;A du &amp;F&amp;RPage &amp;P sur &amp;N</oddFooter>
  </headerFooter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AJ324"/>
  <sheetViews>
    <sheetView workbookViewId="0">
      <selection activeCell="B23" sqref="B23"/>
    </sheetView>
  </sheetViews>
  <sheetFormatPr defaultColWidth="0" defaultRowHeight="11.25" zeroHeight="1"/>
  <cols>
    <col min="1" max="1" width="14.85546875" style="103" customWidth="1"/>
    <col min="2" max="2" width="4.85546875" style="94" customWidth="1"/>
    <col min="3" max="3" width="4.28515625" style="94" customWidth="1"/>
    <col min="4" max="5" width="4.140625" style="94" customWidth="1"/>
    <col min="6" max="7" width="6.140625" style="94" customWidth="1"/>
    <col min="8" max="8" width="5.7109375" style="94" customWidth="1"/>
    <col min="9" max="9" width="6.140625" style="94" customWidth="1"/>
    <col min="10" max="10" width="4.140625" style="94" customWidth="1"/>
    <col min="11" max="11" width="4.42578125" style="94" customWidth="1"/>
    <col min="12" max="12" width="5.7109375" style="94" customWidth="1"/>
    <col min="13" max="13" width="6" style="94" customWidth="1"/>
    <col min="14" max="14" width="5.28515625" style="94" customWidth="1"/>
    <col min="15" max="15" width="5.7109375" style="94" customWidth="1"/>
    <col min="16" max="16" width="14.85546875" style="103" customWidth="1"/>
    <col min="17" max="17" width="4.85546875" style="104" customWidth="1"/>
    <col min="18" max="18" width="5.85546875" style="94" customWidth="1"/>
    <col min="19" max="19" width="5.7109375" style="94" customWidth="1"/>
    <col min="20" max="20" width="5.85546875" style="94" customWidth="1"/>
    <col min="21" max="21" width="4.85546875" style="94" customWidth="1"/>
    <col min="22" max="22" width="5.7109375" style="94" customWidth="1"/>
    <col min="23" max="23" width="4.7109375" style="94" customWidth="1"/>
    <col min="24" max="24" width="5.28515625" style="94" customWidth="1"/>
    <col min="25" max="25" width="5.7109375" style="94" customWidth="1"/>
    <col min="26" max="26" width="4.7109375" style="94" customWidth="1"/>
    <col min="27" max="27" width="4.140625" style="94" customWidth="1"/>
    <col min="28" max="28" width="5" style="7" customWidth="1"/>
    <col min="29" max="29" width="6.7109375" style="7" customWidth="1"/>
    <col min="30" max="30" width="4.7109375" style="7" customWidth="1"/>
    <col min="31" max="31" width="4.28515625" style="7" customWidth="1"/>
    <col min="32" max="35" width="4" style="7" customWidth="1"/>
    <col min="36" max="36" width="3" style="94" customWidth="1"/>
    <col min="37" max="16384" width="10.85546875" style="94" hidden="1"/>
  </cols>
  <sheetData>
    <row r="1" spans="1:36" s="62" customFormat="1" ht="18.75" customHeight="1">
      <c r="A1" s="321"/>
      <c r="B1" s="323"/>
      <c r="C1" s="322"/>
      <c r="D1" s="322"/>
      <c r="E1" s="321"/>
      <c r="F1" s="324"/>
      <c r="G1" s="322"/>
      <c r="H1" s="324"/>
      <c r="I1" s="322"/>
      <c r="J1" s="322"/>
      <c r="K1" s="473"/>
      <c r="L1" s="417"/>
      <c r="M1" s="417"/>
      <c r="N1" s="417"/>
      <c r="O1" s="417"/>
      <c r="P1" s="417"/>
      <c r="Q1" s="422"/>
      <c r="R1" s="417"/>
      <c r="S1" s="417"/>
      <c r="T1" s="417"/>
      <c r="U1" s="417"/>
      <c r="V1" s="417"/>
      <c r="W1" s="417"/>
      <c r="X1" s="417"/>
      <c r="Y1" s="417"/>
      <c r="Z1" s="417"/>
      <c r="AA1" s="417"/>
      <c r="AB1" s="419"/>
      <c r="AC1" s="419"/>
      <c r="AD1" s="419"/>
      <c r="AE1" s="419"/>
      <c r="AF1" s="419"/>
      <c r="AG1" s="419"/>
      <c r="AH1" s="419"/>
      <c r="AI1" s="419"/>
      <c r="AJ1" s="417"/>
    </row>
    <row r="2" spans="1:36" s="62" customFormat="1" ht="18.75" customHeight="1">
      <c r="A2" s="423" t="s">
        <v>1830</v>
      </c>
      <c r="B2" s="323"/>
      <c r="C2" s="322"/>
      <c r="D2" s="322"/>
      <c r="E2" s="321"/>
      <c r="F2" s="324"/>
      <c r="G2" s="322"/>
      <c r="H2" s="324"/>
      <c r="I2" s="322"/>
      <c r="J2" s="322"/>
      <c r="K2" s="321"/>
      <c r="L2" s="417"/>
      <c r="M2" s="417"/>
      <c r="N2" s="417"/>
      <c r="O2" s="417"/>
      <c r="P2" s="417"/>
      <c r="Q2" s="422"/>
      <c r="R2" s="417"/>
      <c r="S2" s="417"/>
      <c r="T2" s="417"/>
      <c r="U2" s="417"/>
      <c r="V2" s="417"/>
      <c r="W2" s="417"/>
      <c r="X2" s="417"/>
      <c r="Y2" s="417"/>
      <c r="Z2" s="417"/>
      <c r="AA2" s="417"/>
      <c r="AB2" s="419"/>
      <c r="AC2" s="419"/>
      <c r="AD2" s="419"/>
      <c r="AE2" s="419"/>
      <c r="AF2" s="419"/>
      <c r="AG2" s="419"/>
      <c r="AH2" s="419"/>
      <c r="AI2" s="419"/>
      <c r="AJ2" s="417"/>
    </row>
    <row r="3" spans="1:36" s="62" customFormat="1" ht="18.75" customHeight="1">
      <c r="A3" s="423" t="s">
        <v>1831</v>
      </c>
      <c r="B3" s="323"/>
      <c r="C3" s="322"/>
      <c r="D3" s="322"/>
      <c r="E3" s="321"/>
      <c r="F3" s="324"/>
      <c r="G3" s="322"/>
      <c r="H3" s="324"/>
      <c r="I3" s="322"/>
      <c r="J3" s="322"/>
      <c r="K3" s="321"/>
      <c r="L3" s="417"/>
      <c r="M3" s="417"/>
      <c r="N3" s="417"/>
      <c r="O3" s="417"/>
      <c r="P3" s="417"/>
      <c r="Q3" s="422"/>
      <c r="R3" s="417"/>
      <c r="S3" s="417"/>
      <c r="T3" s="417"/>
      <c r="U3" s="417"/>
      <c r="V3" s="417"/>
      <c r="W3" s="417"/>
      <c r="X3" s="417"/>
      <c r="Y3" s="417"/>
      <c r="Z3" s="417"/>
      <c r="AA3" s="417"/>
      <c r="AB3" s="419"/>
      <c r="AC3" s="419"/>
      <c r="AD3" s="419"/>
      <c r="AE3" s="419"/>
      <c r="AF3" s="419"/>
      <c r="AG3" s="419"/>
      <c r="AH3" s="419"/>
      <c r="AI3" s="419"/>
      <c r="AJ3" s="417"/>
    </row>
    <row r="4" spans="1:36" s="62" customFormat="1" ht="18.75" customHeight="1">
      <c r="A4" s="423" t="s">
        <v>1832</v>
      </c>
      <c r="B4" s="323"/>
      <c r="C4" s="322"/>
      <c r="D4" s="322"/>
      <c r="E4" s="321"/>
      <c r="F4" s="324"/>
      <c r="G4" s="322"/>
      <c r="H4" s="324"/>
      <c r="I4" s="322"/>
      <c r="J4" s="322"/>
      <c r="K4" s="321"/>
      <c r="L4" s="417"/>
      <c r="M4" s="417"/>
      <c r="N4" s="417"/>
      <c r="O4" s="417"/>
      <c r="P4" s="417"/>
      <c r="Q4" s="422"/>
      <c r="R4" s="417"/>
      <c r="S4" s="417"/>
      <c r="T4" s="417"/>
      <c r="U4" s="417"/>
      <c r="V4" s="417"/>
      <c r="W4" s="417"/>
      <c r="X4" s="417"/>
      <c r="Y4" s="417"/>
      <c r="Z4" s="417"/>
      <c r="AA4" s="417"/>
      <c r="AB4" s="419"/>
      <c r="AC4" s="419"/>
      <c r="AD4" s="419"/>
      <c r="AE4" s="419"/>
      <c r="AF4" s="419"/>
      <c r="AG4" s="419"/>
      <c r="AH4" s="419"/>
      <c r="AI4" s="419"/>
      <c r="AJ4" s="417"/>
    </row>
    <row r="5" spans="1:36" s="62" customFormat="1" ht="18.75" customHeight="1">
      <c r="A5" s="417" t="s">
        <v>1833</v>
      </c>
      <c r="B5" s="323"/>
      <c r="C5" s="322"/>
      <c r="D5" s="322"/>
      <c r="E5" s="321"/>
      <c r="F5" s="324"/>
      <c r="G5" s="322"/>
      <c r="H5" s="324"/>
      <c r="I5" s="322"/>
      <c r="J5" s="322"/>
      <c r="K5" s="321"/>
      <c r="L5" s="417"/>
      <c r="M5" s="417"/>
      <c r="N5" s="417"/>
      <c r="O5" s="417"/>
      <c r="P5" s="417"/>
      <c r="Q5" s="422"/>
      <c r="R5" s="417"/>
      <c r="S5" s="417"/>
      <c r="T5" s="417"/>
      <c r="U5" s="417"/>
      <c r="V5" s="417"/>
      <c r="W5" s="417"/>
      <c r="X5" s="417"/>
      <c r="Y5" s="417"/>
      <c r="Z5" s="417"/>
      <c r="AA5" s="417"/>
      <c r="AB5" s="419"/>
      <c r="AC5" s="419"/>
      <c r="AD5" s="419"/>
      <c r="AE5" s="419"/>
      <c r="AF5" s="419"/>
      <c r="AG5" s="419"/>
      <c r="AH5" s="419"/>
      <c r="AI5" s="419"/>
      <c r="AJ5" s="417"/>
    </row>
    <row r="6" spans="1:36" s="62" customFormat="1" ht="18.75" customHeight="1">
      <c r="A6" s="417"/>
      <c r="B6" s="323"/>
      <c r="C6" s="322"/>
      <c r="D6" s="322"/>
      <c r="E6" s="321"/>
      <c r="F6" s="324"/>
      <c r="G6" s="322"/>
      <c r="H6" s="324"/>
      <c r="I6" s="322"/>
      <c r="J6" s="322"/>
      <c r="K6" s="321"/>
      <c r="L6" s="417"/>
      <c r="M6" s="417"/>
      <c r="N6" s="417"/>
      <c r="O6" s="417"/>
      <c r="P6" s="417"/>
      <c r="Q6" s="422"/>
      <c r="R6" s="417"/>
      <c r="S6" s="417"/>
      <c r="T6" s="417"/>
      <c r="U6" s="417"/>
      <c r="V6" s="417"/>
      <c r="W6" s="417"/>
      <c r="X6" s="417"/>
      <c r="Y6" s="417"/>
      <c r="Z6" s="417"/>
      <c r="AA6" s="417"/>
      <c r="AB6" s="419"/>
      <c r="AC6" s="419"/>
      <c r="AD6" s="419"/>
      <c r="AE6" s="419"/>
      <c r="AF6" s="419"/>
      <c r="AG6" s="419"/>
      <c r="AH6" s="419"/>
      <c r="AI6" s="419"/>
      <c r="AJ6" s="417"/>
    </row>
    <row r="7" spans="1:36" s="62" customFormat="1">
      <c r="A7" s="417"/>
      <c r="B7" s="422"/>
      <c r="C7" s="417"/>
      <c r="D7" s="417"/>
      <c r="E7" s="417"/>
      <c r="F7" s="417"/>
      <c r="G7" s="417"/>
      <c r="H7" s="417"/>
      <c r="I7" s="417"/>
      <c r="J7" s="417"/>
      <c r="K7" s="417"/>
      <c r="L7" s="417"/>
      <c r="M7" s="417"/>
      <c r="N7" s="417"/>
      <c r="O7" s="417"/>
      <c r="P7" s="417"/>
      <c r="Q7" s="422"/>
      <c r="R7" s="417"/>
      <c r="S7" s="417"/>
      <c r="T7" s="417"/>
      <c r="U7" s="417"/>
      <c r="V7" s="417"/>
      <c r="W7" s="417"/>
      <c r="X7" s="417"/>
      <c r="Y7" s="417"/>
      <c r="Z7" s="417"/>
      <c r="AA7" s="417"/>
      <c r="AB7" s="419"/>
      <c r="AC7" s="419"/>
      <c r="AD7" s="419"/>
      <c r="AE7" s="419"/>
      <c r="AF7" s="419"/>
      <c r="AG7" s="419"/>
      <c r="AH7" s="419"/>
      <c r="AI7" s="419"/>
      <c r="AJ7" s="417"/>
    </row>
    <row r="8" spans="1:36" s="62" customFormat="1">
      <c r="A8" s="417"/>
      <c r="B8" s="417"/>
      <c r="C8" s="417"/>
      <c r="D8" s="417"/>
      <c r="E8" s="417"/>
      <c r="F8" s="417"/>
      <c r="G8" s="417"/>
      <c r="H8" s="417"/>
      <c r="I8" s="417"/>
      <c r="J8" s="417"/>
      <c r="K8" s="417"/>
      <c r="L8" s="417"/>
      <c r="M8" s="417"/>
      <c r="N8" s="417"/>
      <c r="O8" s="417"/>
      <c r="P8" s="417"/>
      <c r="Q8" s="422"/>
      <c r="R8" s="417"/>
      <c r="S8" s="417"/>
      <c r="T8" s="417"/>
      <c r="U8" s="417"/>
      <c r="V8" s="417"/>
      <c r="W8" s="417"/>
      <c r="X8" s="417"/>
      <c r="Y8" s="417"/>
      <c r="Z8" s="417"/>
      <c r="AA8" s="417"/>
      <c r="AB8" s="419"/>
      <c r="AC8" s="419"/>
      <c r="AD8" s="419"/>
      <c r="AE8" s="419"/>
      <c r="AF8" s="419"/>
      <c r="AG8" s="419"/>
      <c r="AH8" s="419"/>
      <c r="AI8" s="419"/>
      <c r="AJ8" s="417"/>
    </row>
    <row r="9" spans="1:36" s="62" customFormat="1" ht="12" thickBot="1">
      <c r="A9" s="417"/>
      <c r="B9" s="417"/>
      <c r="C9" s="417"/>
      <c r="D9" s="417"/>
      <c r="E9" s="417"/>
      <c r="F9" s="417"/>
      <c r="G9" s="417"/>
      <c r="H9" s="417"/>
      <c r="I9" s="417"/>
      <c r="J9" s="417"/>
      <c r="K9" s="417"/>
      <c r="L9" s="417"/>
      <c r="M9" s="417"/>
      <c r="N9" s="417"/>
      <c r="O9" s="417"/>
      <c r="P9" s="417"/>
      <c r="Q9" s="422"/>
      <c r="R9" s="417"/>
      <c r="S9" s="417"/>
      <c r="T9" s="417"/>
      <c r="U9" s="417"/>
      <c r="V9" s="417"/>
      <c r="W9" s="417"/>
      <c r="X9" s="417"/>
      <c r="Y9" s="417"/>
      <c r="Z9" s="417"/>
      <c r="AA9" s="417"/>
      <c r="AB9" s="419"/>
      <c r="AC9" s="419"/>
      <c r="AD9" s="419"/>
      <c r="AE9" s="419"/>
      <c r="AF9" s="419"/>
      <c r="AG9" s="419"/>
      <c r="AH9" s="419"/>
      <c r="AI9" s="419"/>
      <c r="AJ9" s="417"/>
    </row>
    <row r="10" spans="1:36" s="62" customFormat="1" ht="12.75" thickTop="1" thickBot="1">
      <c r="A10" s="327"/>
      <c r="B10" s="328"/>
      <c r="C10" s="327"/>
      <c r="D10" s="363"/>
      <c r="E10" s="363"/>
      <c r="F10" s="363"/>
      <c r="G10" s="364"/>
      <c r="H10" s="366" t="s">
        <v>1799</v>
      </c>
      <c r="I10" s="327"/>
      <c r="J10" s="363"/>
      <c r="K10" s="363"/>
      <c r="L10" s="368"/>
      <c r="M10" s="364"/>
      <c r="N10" s="327"/>
      <c r="O10" s="364"/>
      <c r="P10" s="327"/>
      <c r="Q10" s="364"/>
      <c r="R10" s="370"/>
      <c r="S10" s="362"/>
      <c r="T10" s="362"/>
      <c r="U10" s="362"/>
      <c r="V10" s="362"/>
      <c r="W10" s="362" t="s">
        <v>1804</v>
      </c>
      <c r="X10" s="362"/>
      <c r="Y10" s="362"/>
      <c r="Z10" s="362"/>
      <c r="AA10" s="362"/>
      <c r="AB10" s="371"/>
      <c r="AC10" s="371"/>
      <c r="AD10" s="371"/>
      <c r="AE10" s="372"/>
      <c r="AF10" s="374"/>
      <c r="AG10" s="375" t="s">
        <v>1806</v>
      </c>
      <c r="AH10" s="375"/>
      <c r="AI10" s="376"/>
    </row>
    <row r="11" spans="1:36" s="62" customFormat="1" ht="12.75" thickTop="1" thickBot="1">
      <c r="A11" s="329" t="s">
        <v>1799</v>
      </c>
      <c r="B11" s="330"/>
      <c r="C11" s="329"/>
      <c r="D11" s="360"/>
      <c r="E11" s="360" t="s">
        <v>1800</v>
      </c>
      <c r="F11" s="360"/>
      <c r="G11" s="365"/>
      <c r="H11" s="367" t="s">
        <v>1801</v>
      </c>
      <c r="I11" s="329"/>
      <c r="J11" s="360" t="s">
        <v>1802</v>
      </c>
      <c r="K11" s="360"/>
      <c r="L11" s="369"/>
      <c r="M11" s="365"/>
      <c r="N11" s="329" t="s">
        <v>1803</v>
      </c>
      <c r="O11" s="365"/>
      <c r="P11" s="329" t="s">
        <v>1799</v>
      </c>
      <c r="Q11" s="365"/>
      <c r="R11" s="370"/>
      <c r="S11" s="362" t="s">
        <v>1859</v>
      </c>
      <c r="T11" s="362"/>
      <c r="U11" s="362"/>
      <c r="V11" s="373"/>
      <c r="W11" s="370"/>
      <c r="X11" s="362" t="s">
        <v>1860</v>
      </c>
      <c r="Y11" s="362"/>
      <c r="Z11" s="373"/>
      <c r="AA11" s="370"/>
      <c r="AB11" s="362"/>
      <c r="AC11" s="362"/>
      <c r="AD11" s="362"/>
      <c r="AE11" s="373"/>
      <c r="AF11" s="377"/>
      <c r="AG11" s="378" t="s">
        <v>1807</v>
      </c>
      <c r="AH11" s="378"/>
      <c r="AI11" s="379"/>
    </row>
    <row r="12" spans="1:36" s="62" customFormat="1" ht="20.25" thickTop="1">
      <c r="A12" s="153"/>
      <c r="B12" s="171" t="s">
        <v>572</v>
      </c>
      <c r="C12" s="18" t="s">
        <v>573</v>
      </c>
      <c r="D12" s="18" t="s">
        <v>574</v>
      </c>
      <c r="E12" s="18" t="s">
        <v>575</v>
      </c>
      <c r="F12" s="18" t="s">
        <v>576</v>
      </c>
      <c r="G12" s="67" t="s">
        <v>577</v>
      </c>
      <c r="H12" s="67" t="s">
        <v>578</v>
      </c>
      <c r="I12" s="18" t="s">
        <v>579</v>
      </c>
      <c r="J12" s="18" t="s">
        <v>580</v>
      </c>
      <c r="K12" s="18" t="s">
        <v>581</v>
      </c>
      <c r="L12" s="18" t="s">
        <v>1472</v>
      </c>
      <c r="M12" s="67" t="s">
        <v>1473</v>
      </c>
      <c r="N12" s="68" t="s">
        <v>584</v>
      </c>
      <c r="O12" s="18" t="s">
        <v>585</v>
      </c>
      <c r="P12" s="69"/>
      <c r="Q12" s="171" t="s">
        <v>572</v>
      </c>
      <c r="R12" s="18" t="s">
        <v>586</v>
      </c>
      <c r="S12" s="18" t="s">
        <v>587</v>
      </c>
      <c r="T12" s="18" t="s">
        <v>588</v>
      </c>
      <c r="U12" s="18" t="s">
        <v>589</v>
      </c>
      <c r="V12" s="67" t="s">
        <v>590</v>
      </c>
      <c r="W12" s="18" t="s">
        <v>591</v>
      </c>
      <c r="X12" s="18" t="s">
        <v>592</v>
      </c>
      <c r="Y12" s="18" t="s">
        <v>593</v>
      </c>
      <c r="Z12" s="70" t="s">
        <v>594</v>
      </c>
      <c r="AA12" s="18" t="s">
        <v>595</v>
      </c>
      <c r="AB12" s="13" t="s">
        <v>596</v>
      </c>
      <c r="AC12" s="13" t="s">
        <v>1474</v>
      </c>
      <c r="AD12" s="13" t="s">
        <v>1475</v>
      </c>
      <c r="AE12" s="16" t="s">
        <v>1476</v>
      </c>
      <c r="AF12" s="375"/>
      <c r="AG12" s="376"/>
      <c r="AH12" s="374"/>
      <c r="AI12" s="376"/>
    </row>
    <row r="13" spans="1:36" s="62" customFormat="1" ht="15" thickBot="1">
      <c r="A13" s="153"/>
      <c r="B13" s="171" t="s">
        <v>599</v>
      </c>
      <c r="C13" s="18" t="s">
        <v>600</v>
      </c>
      <c r="D13" s="18" t="s">
        <v>601</v>
      </c>
      <c r="E13" s="18" t="s">
        <v>601</v>
      </c>
      <c r="F13" s="18" t="s">
        <v>601</v>
      </c>
      <c r="G13" s="67" t="s">
        <v>601</v>
      </c>
      <c r="H13" s="67" t="s">
        <v>602</v>
      </c>
      <c r="I13" s="18" t="s">
        <v>601</v>
      </c>
      <c r="J13" s="18" t="s">
        <v>601</v>
      </c>
      <c r="K13" s="18"/>
      <c r="L13" s="18" t="s">
        <v>601</v>
      </c>
      <c r="M13" s="67" t="s">
        <v>601</v>
      </c>
      <c r="N13" s="68" t="s">
        <v>1477</v>
      </c>
      <c r="O13" s="18" t="s">
        <v>1478</v>
      </c>
      <c r="P13" s="69"/>
      <c r="Q13" s="171" t="s">
        <v>599</v>
      </c>
      <c r="R13" s="18" t="s">
        <v>924</v>
      </c>
      <c r="S13" s="18" t="s">
        <v>925</v>
      </c>
      <c r="T13" s="18" t="s">
        <v>925</v>
      </c>
      <c r="U13" s="18" t="s">
        <v>607</v>
      </c>
      <c r="V13" s="67" t="s">
        <v>921</v>
      </c>
      <c r="W13" s="18" t="s">
        <v>926</v>
      </c>
      <c r="X13" s="18" t="s">
        <v>925</v>
      </c>
      <c r="Y13" s="18" t="s">
        <v>925</v>
      </c>
      <c r="Z13" s="70" t="s">
        <v>607</v>
      </c>
      <c r="AA13" s="18" t="s">
        <v>601</v>
      </c>
      <c r="AB13" s="13" t="s">
        <v>1479</v>
      </c>
      <c r="AC13" s="13" t="s">
        <v>1480</v>
      </c>
      <c r="AD13" s="13" t="s">
        <v>607</v>
      </c>
      <c r="AE13" s="16" t="s">
        <v>607</v>
      </c>
      <c r="AF13" s="378" t="s">
        <v>1808</v>
      </c>
      <c r="AG13" s="379"/>
      <c r="AH13" s="378" t="s">
        <v>1809</v>
      </c>
      <c r="AI13" s="379"/>
    </row>
    <row r="14" spans="1:36" s="62" customFormat="1" ht="12.75" thickTop="1" thickBot="1">
      <c r="A14" s="71"/>
      <c r="B14" s="72"/>
      <c r="C14" s="73"/>
      <c r="D14" s="73"/>
      <c r="E14" s="73"/>
      <c r="F14" s="73"/>
      <c r="G14" s="72"/>
      <c r="H14" s="72"/>
      <c r="I14" s="73"/>
      <c r="J14" s="73"/>
      <c r="K14" s="73"/>
      <c r="L14" s="73"/>
      <c r="M14" s="72"/>
      <c r="N14" s="73"/>
      <c r="O14" s="73"/>
      <c r="P14" s="71"/>
      <c r="Q14" s="72"/>
      <c r="R14" s="73"/>
      <c r="S14" s="73"/>
      <c r="T14" s="73"/>
      <c r="U14" s="73"/>
      <c r="V14" s="72"/>
      <c r="W14" s="73"/>
      <c r="X14" s="73"/>
      <c r="Y14" s="73"/>
      <c r="Z14" s="72"/>
      <c r="AA14" s="73"/>
      <c r="AB14" s="75"/>
      <c r="AC14" s="75"/>
      <c r="AD14" s="75"/>
      <c r="AE14" s="224"/>
      <c r="AF14" s="107">
        <v>235</v>
      </c>
      <c r="AG14" s="107">
        <v>355</v>
      </c>
      <c r="AH14" s="107">
        <v>235</v>
      </c>
      <c r="AI14" s="108">
        <v>355</v>
      </c>
    </row>
    <row r="15" spans="1:36" s="62" customFormat="1" ht="12" thickTop="1">
      <c r="A15" s="79"/>
      <c r="B15" s="80"/>
      <c r="C15" s="80"/>
      <c r="D15" s="80"/>
      <c r="E15" s="80"/>
      <c r="F15" s="80"/>
      <c r="G15" s="80"/>
      <c r="H15" s="80"/>
      <c r="I15" s="80"/>
      <c r="J15" s="80"/>
      <c r="K15" s="80"/>
      <c r="L15" s="80"/>
      <c r="M15" s="80"/>
      <c r="N15" s="80"/>
      <c r="O15" s="80"/>
      <c r="P15" s="79"/>
      <c r="Q15" s="80"/>
      <c r="R15" s="80"/>
      <c r="S15" s="80"/>
      <c r="T15" s="80"/>
      <c r="U15" s="80"/>
      <c r="V15" s="80"/>
      <c r="W15" s="80"/>
      <c r="X15" s="80"/>
      <c r="Y15" s="80"/>
      <c r="Z15" s="80"/>
      <c r="AA15" s="80"/>
      <c r="AB15" s="46"/>
      <c r="AC15" s="46"/>
      <c r="AD15" s="46"/>
      <c r="AE15" s="46"/>
      <c r="AF15" s="46"/>
      <c r="AG15" s="46"/>
      <c r="AH15" s="46"/>
      <c r="AI15" s="46"/>
    </row>
    <row r="16" spans="1:36" s="430" customFormat="1" ht="13.5" customHeight="1">
      <c r="A16" s="387" t="s">
        <v>1481</v>
      </c>
      <c r="B16" s="388">
        <v>8.4</v>
      </c>
      <c r="C16" s="389">
        <v>80</v>
      </c>
      <c r="D16" s="389">
        <v>45</v>
      </c>
      <c r="E16" s="389">
        <v>5</v>
      </c>
      <c r="F16" s="389">
        <v>8</v>
      </c>
      <c r="G16" s="391">
        <v>8</v>
      </c>
      <c r="H16" s="392">
        <v>10.67</v>
      </c>
      <c r="I16" s="389">
        <v>64</v>
      </c>
      <c r="J16" s="389">
        <v>48</v>
      </c>
      <c r="K16" s="389" t="s">
        <v>616</v>
      </c>
      <c r="L16" s="389" t="s">
        <v>616</v>
      </c>
      <c r="M16" s="394" t="s">
        <v>616</v>
      </c>
      <c r="N16" s="396">
        <v>0.32</v>
      </c>
      <c r="O16" s="396">
        <v>38.56</v>
      </c>
      <c r="P16" s="387" t="s">
        <v>1481</v>
      </c>
      <c r="Q16" s="388">
        <v>8.4</v>
      </c>
      <c r="R16" s="390">
        <v>107.1</v>
      </c>
      <c r="S16" s="396">
        <v>26.78</v>
      </c>
      <c r="T16" s="396">
        <v>31.87</v>
      </c>
      <c r="U16" s="396">
        <v>3.17</v>
      </c>
      <c r="V16" s="392">
        <v>4.51</v>
      </c>
      <c r="W16" s="396">
        <v>21.33</v>
      </c>
      <c r="X16" s="396">
        <v>7.38</v>
      </c>
      <c r="Y16" s="396">
        <v>13.64</v>
      </c>
      <c r="Z16" s="392">
        <v>1.41</v>
      </c>
      <c r="AA16" s="390">
        <v>17.7</v>
      </c>
      <c r="AB16" s="398">
        <v>1.9</v>
      </c>
      <c r="AC16" s="398">
        <v>0.18</v>
      </c>
      <c r="AD16" s="411">
        <v>1.61</v>
      </c>
      <c r="AE16" s="471">
        <v>3.17</v>
      </c>
      <c r="AF16" s="398">
        <v>1</v>
      </c>
      <c r="AG16" s="399">
        <v>1</v>
      </c>
      <c r="AH16" s="398">
        <v>1</v>
      </c>
      <c r="AI16" s="400">
        <v>1</v>
      </c>
    </row>
    <row r="17" spans="1:35" s="99" customFormat="1" ht="13.5" customHeight="1">
      <c r="A17" s="81"/>
      <c r="B17" s="82"/>
      <c r="C17" s="83"/>
      <c r="D17" s="83"/>
      <c r="E17" s="83"/>
      <c r="F17" s="83"/>
      <c r="G17" s="90"/>
      <c r="H17" s="91"/>
      <c r="I17" s="83"/>
      <c r="J17" s="83"/>
      <c r="K17" s="83"/>
      <c r="L17" s="83"/>
      <c r="M17" s="87"/>
      <c r="N17" s="89"/>
      <c r="O17" s="89"/>
      <c r="P17" s="81"/>
      <c r="Q17" s="82"/>
      <c r="R17" s="84"/>
      <c r="S17" s="89"/>
      <c r="T17" s="89"/>
      <c r="U17" s="89"/>
      <c r="V17" s="91"/>
      <c r="W17" s="89"/>
      <c r="X17" s="89"/>
      <c r="Y17" s="89"/>
      <c r="Z17" s="91"/>
      <c r="AA17" s="84"/>
      <c r="AB17" s="21"/>
      <c r="AC17" s="21"/>
      <c r="AD17" s="40"/>
      <c r="AE17" s="48"/>
      <c r="AF17" s="21"/>
      <c r="AG17" s="43"/>
      <c r="AH17" s="21"/>
      <c r="AI17" s="42"/>
    </row>
    <row r="18" spans="1:35" s="401" customFormat="1" ht="18" customHeight="1">
      <c r="A18" s="387" t="s">
        <v>1482</v>
      </c>
      <c r="B18" s="388">
        <v>10.5</v>
      </c>
      <c r="C18" s="389">
        <v>100</v>
      </c>
      <c r="D18" s="389">
        <v>50</v>
      </c>
      <c r="E18" s="389">
        <v>5.5</v>
      </c>
      <c r="F18" s="389">
        <v>8.5</v>
      </c>
      <c r="G18" s="391">
        <v>8.5</v>
      </c>
      <c r="H18" s="392">
        <v>13.38</v>
      </c>
      <c r="I18" s="389">
        <v>83</v>
      </c>
      <c r="J18" s="389">
        <v>66</v>
      </c>
      <c r="K18" s="389" t="s">
        <v>625</v>
      </c>
      <c r="L18" s="389">
        <v>25</v>
      </c>
      <c r="M18" s="394">
        <v>30</v>
      </c>
      <c r="N18" s="396">
        <v>0.38</v>
      </c>
      <c r="O18" s="396">
        <v>36.35</v>
      </c>
      <c r="P18" s="387" t="s">
        <v>1482</v>
      </c>
      <c r="Q18" s="388">
        <v>10.5</v>
      </c>
      <c r="R18" s="390">
        <v>209.5</v>
      </c>
      <c r="S18" s="396">
        <v>41.9</v>
      </c>
      <c r="T18" s="396">
        <v>49.59</v>
      </c>
      <c r="U18" s="396">
        <v>3.96</v>
      </c>
      <c r="V18" s="392">
        <v>6.07</v>
      </c>
      <c r="W18" s="396">
        <v>32.83</v>
      </c>
      <c r="X18" s="396">
        <v>9.9499999999999993</v>
      </c>
      <c r="Y18" s="396">
        <v>18.47</v>
      </c>
      <c r="Z18" s="392">
        <v>1.57</v>
      </c>
      <c r="AA18" s="390">
        <v>19</v>
      </c>
      <c r="AB18" s="398">
        <v>2.65</v>
      </c>
      <c r="AC18" s="398">
        <v>0.45</v>
      </c>
      <c r="AD18" s="411">
        <v>1.7</v>
      </c>
      <c r="AE18" s="471">
        <v>3.38</v>
      </c>
      <c r="AF18" s="398">
        <v>1</v>
      </c>
      <c r="AG18" s="399">
        <v>1</v>
      </c>
      <c r="AH18" s="398">
        <v>1</v>
      </c>
      <c r="AI18" s="400">
        <v>1</v>
      </c>
    </row>
    <row r="19" spans="1:35" s="153" customFormat="1" ht="13.5" customHeight="1">
      <c r="A19" s="81" t="s">
        <v>1483</v>
      </c>
      <c r="B19" s="82">
        <v>13.7</v>
      </c>
      <c r="C19" s="83">
        <v>130</v>
      </c>
      <c r="D19" s="83">
        <v>55</v>
      </c>
      <c r="E19" s="83">
        <v>6</v>
      </c>
      <c r="F19" s="83">
        <v>9.5</v>
      </c>
      <c r="G19" s="90">
        <v>9.5</v>
      </c>
      <c r="H19" s="91">
        <v>17.5</v>
      </c>
      <c r="I19" s="83">
        <v>111</v>
      </c>
      <c r="J19" s="83">
        <v>92</v>
      </c>
      <c r="K19" s="83" t="s">
        <v>625</v>
      </c>
      <c r="L19" s="86">
        <v>27</v>
      </c>
      <c r="M19" s="87">
        <v>35</v>
      </c>
      <c r="N19" s="89">
        <v>0.46</v>
      </c>
      <c r="O19" s="89">
        <v>33.479999999999997</v>
      </c>
      <c r="P19" s="81" t="s">
        <v>1483</v>
      </c>
      <c r="Q19" s="82">
        <v>13.7</v>
      </c>
      <c r="R19" s="84">
        <v>459.6</v>
      </c>
      <c r="S19" s="89">
        <v>70.7</v>
      </c>
      <c r="T19" s="89">
        <v>83.51</v>
      </c>
      <c r="U19" s="89">
        <v>5.12</v>
      </c>
      <c r="V19" s="91">
        <v>8.52</v>
      </c>
      <c r="W19" s="89">
        <v>51.34</v>
      </c>
      <c r="X19" s="89">
        <v>13.78</v>
      </c>
      <c r="Y19" s="89">
        <v>25.55</v>
      </c>
      <c r="Z19" s="91">
        <v>1.71</v>
      </c>
      <c r="AA19" s="84">
        <v>21.1</v>
      </c>
      <c r="AB19" s="21">
        <v>4.1500000000000004</v>
      </c>
      <c r="AC19" s="21">
        <v>1.22</v>
      </c>
      <c r="AD19" s="40">
        <v>1.77</v>
      </c>
      <c r="AE19" s="48">
        <v>3.56</v>
      </c>
      <c r="AF19" s="21">
        <v>1</v>
      </c>
      <c r="AG19" s="43">
        <v>1</v>
      </c>
      <c r="AH19" s="21">
        <v>1</v>
      </c>
      <c r="AI19" s="42">
        <v>1</v>
      </c>
    </row>
    <row r="20" spans="1:35" s="430" customFormat="1" ht="13.5" customHeight="1">
      <c r="A20" s="387" t="s">
        <v>1484</v>
      </c>
      <c r="B20" s="388">
        <v>17.899999999999999</v>
      </c>
      <c r="C20" s="389">
        <v>150</v>
      </c>
      <c r="D20" s="389">
        <v>65</v>
      </c>
      <c r="E20" s="389">
        <v>7</v>
      </c>
      <c r="F20" s="389">
        <v>10.25</v>
      </c>
      <c r="G20" s="391">
        <v>10.25</v>
      </c>
      <c r="H20" s="392">
        <v>22.84</v>
      </c>
      <c r="I20" s="389">
        <v>129.5</v>
      </c>
      <c r="J20" s="389">
        <v>109</v>
      </c>
      <c r="K20" s="389" t="s">
        <v>639</v>
      </c>
      <c r="L20" s="393">
        <v>33</v>
      </c>
      <c r="M20" s="394">
        <v>36</v>
      </c>
      <c r="N20" s="396">
        <v>0.54</v>
      </c>
      <c r="O20" s="396">
        <v>29.96</v>
      </c>
      <c r="P20" s="387" t="s">
        <v>1484</v>
      </c>
      <c r="Q20" s="388">
        <v>17.899999999999999</v>
      </c>
      <c r="R20" s="390">
        <v>796.1</v>
      </c>
      <c r="S20" s="390">
        <v>106.1</v>
      </c>
      <c r="T20" s="390">
        <v>125.3</v>
      </c>
      <c r="U20" s="396">
        <v>5.9</v>
      </c>
      <c r="V20" s="392">
        <v>11.28</v>
      </c>
      <c r="W20" s="396">
        <v>93.25</v>
      </c>
      <c r="X20" s="396">
        <v>20.97</v>
      </c>
      <c r="Y20" s="396">
        <v>38.78</v>
      </c>
      <c r="Z20" s="392">
        <v>2.02</v>
      </c>
      <c r="AA20" s="390">
        <v>23.3</v>
      </c>
      <c r="AB20" s="398">
        <v>6.51</v>
      </c>
      <c r="AC20" s="398">
        <v>2.99</v>
      </c>
      <c r="AD20" s="411">
        <v>2.0499999999999998</v>
      </c>
      <c r="AE20" s="471">
        <v>4.1500000000000004</v>
      </c>
      <c r="AF20" s="398">
        <v>1</v>
      </c>
      <c r="AG20" s="399">
        <v>1</v>
      </c>
      <c r="AH20" s="398">
        <v>1</v>
      </c>
      <c r="AI20" s="400">
        <v>1</v>
      </c>
    </row>
    <row r="21" spans="1:35" s="141" customFormat="1" ht="13.5" customHeight="1">
      <c r="A21" s="81" t="s">
        <v>1485</v>
      </c>
      <c r="B21" s="82">
        <v>21.2</v>
      </c>
      <c r="C21" s="83">
        <v>175</v>
      </c>
      <c r="D21" s="83">
        <v>70</v>
      </c>
      <c r="E21" s="83">
        <v>7.5</v>
      </c>
      <c r="F21" s="83">
        <v>10.75</v>
      </c>
      <c r="G21" s="90">
        <v>10.75</v>
      </c>
      <c r="H21" s="91">
        <v>27.06</v>
      </c>
      <c r="I21" s="83">
        <v>153.5</v>
      </c>
      <c r="J21" s="83">
        <v>132</v>
      </c>
      <c r="K21" s="83" t="s">
        <v>639</v>
      </c>
      <c r="L21" s="86">
        <v>34</v>
      </c>
      <c r="M21" s="87">
        <v>41</v>
      </c>
      <c r="N21" s="89">
        <v>0.61</v>
      </c>
      <c r="O21" s="89">
        <v>28.52</v>
      </c>
      <c r="P21" s="81" t="s">
        <v>1485</v>
      </c>
      <c r="Q21" s="82">
        <v>21.2</v>
      </c>
      <c r="R21" s="86">
        <v>1270</v>
      </c>
      <c r="S21" s="84">
        <v>145.1</v>
      </c>
      <c r="T21" s="84">
        <v>171.5</v>
      </c>
      <c r="U21" s="89">
        <v>6.85</v>
      </c>
      <c r="V21" s="91">
        <v>13.97</v>
      </c>
      <c r="W21" s="84">
        <v>126.4</v>
      </c>
      <c r="X21" s="89">
        <v>25.92</v>
      </c>
      <c r="Y21" s="89">
        <v>47.47</v>
      </c>
      <c r="Z21" s="91">
        <v>2.16</v>
      </c>
      <c r="AA21" s="84">
        <v>24.5</v>
      </c>
      <c r="AB21" s="21">
        <v>8.43</v>
      </c>
      <c r="AC21" s="21">
        <v>5.62</v>
      </c>
      <c r="AD21" s="40">
        <v>2.12</v>
      </c>
      <c r="AE21" s="48">
        <v>4.32</v>
      </c>
      <c r="AF21" s="21">
        <v>1</v>
      </c>
      <c r="AG21" s="43">
        <v>1</v>
      </c>
      <c r="AH21" s="21">
        <v>1</v>
      </c>
      <c r="AI21" s="42">
        <v>1</v>
      </c>
    </row>
    <row r="22" spans="1:35" s="80" customFormat="1" ht="13.5" customHeight="1">
      <c r="A22" s="81"/>
      <c r="B22" s="82"/>
      <c r="C22" s="83"/>
      <c r="D22" s="83"/>
      <c r="E22" s="83"/>
      <c r="F22" s="83"/>
      <c r="G22" s="90"/>
      <c r="H22" s="91"/>
      <c r="I22" s="83"/>
      <c r="J22" s="83"/>
      <c r="K22" s="83"/>
      <c r="L22" s="86"/>
      <c r="M22" s="87"/>
      <c r="N22" s="89"/>
      <c r="O22" s="89"/>
      <c r="P22" s="81"/>
      <c r="Q22" s="82"/>
      <c r="R22" s="86"/>
      <c r="S22" s="84"/>
      <c r="T22" s="84"/>
      <c r="U22" s="89"/>
      <c r="V22" s="91"/>
      <c r="W22" s="84"/>
      <c r="X22" s="89"/>
      <c r="Y22" s="89"/>
      <c r="Z22" s="91"/>
      <c r="AA22" s="84"/>
      <c r="AB22" s="21"/>
      <c r="AC22" s="21"/>
      <c r="AD22" s="40"/>
      <c r="AE22" s="48"/>
      <c r="AF22" s="21"/>
      <c r="AG22" s="43"/>
      <c r="AH22" s="21"/>
      <c r="AI22" s="42"/>
    </row>
    <row r="23" spans="1:35" s="434" customFormat="1" ht="13.5" customHeight="1">
      <c r="A23" s="387" t="s">
        <v>1486</v>
      </c>
      <c r="B23" s="388">
        <v>25.1</v>
      </c>
      <c r="C23" s="389">
        <v>200</v>
      </c>
      <c r="D23" s="389">
        <v>75</v>
      </c>
      <c r="E23" s="389">
        <v>8</v>
      </c>
      <c r="F23" s="389">
        <v>11.5</v>
      </c>
      <c r="G23" s="391">
        <v>11.5</v>
      </c>
      <c r="H23" s="392">
        <v>31.98</v>
      </c>
      <c r="I23" s="389">
        <v>177</v>
      </c>
      <c r="J23" s="389">
        <v>154</v>
      </c>
      <c r="K23" s="389" t="s">
        <v>639</v>
      </c>
      <c r="L23" s="393">
        <v>35</v>
      </c>
      <c r="M23" s="394">
        <v>46</v>
      </c>
      <c r="N23" s="396">
        <v>0.67</v>
      </c>
      <c r="O23" s="396">
        <v>26.86</v>
      </c>
      <c r="P23" s="387" t="s">
        <v>1486</v>
      </c>
      <c r="Q23" s="388">
        <v>25.1</v>
      </c>
      <c r="R23" s="393">
        <v>1946</v>
      </c>
      <c r="S23" s="390">
        <v>194.6</v>
      </c>
      <c r="T23" s="390">
        <v>230.1</v>
      </c>
      <c r="U23" s="396">
        <v>7.8</v>
      </c>
      <c r="V23" s="392">
        <v>16.97</v>
      </c>
      <c r="W23" s="390">
        <v>169.7</v>
      </c>
      <c r="X23" s="396">
        <v>32.130000000000003</v>
      </c>
      <c r="Y23" s="396">
        <v>58.29</v>
      </c>
      <c r="Z23" s="392">
        <v>2.2999999999999998</v>
      </c>
      <c r="AA23" s="390">
        <v>26.2</v>
      </c>
      <c r="AB23" s="398">
        <v>11.24</v>
      </c>
      <c r="AC23" s="398">
        <v>9.98</v>
      </c>
      <c r="AD23" s="411">
        <v>2.2200000000000002</v>
      </c>
      <c r="AE23" s="471">
        <v>4.53</v>
      </c>
      <c r="AF23" s="398">
        <v>1</v>
      </c>
      <c r="AG23" s="399">
        <v>1</v>
      </c>
      <c r="AH23" s="398">
        <v>1</v>
      </c>
      <c r="AI23" s="400">
        <v>1</v>
      </c>
    </row>
    <row r="24" spans="1:35" s="141" customFormat="1" ht="13.5" customHeight="1">
      <c r="A24" s="81" t="s">
        <v>1487</v>
      </c>
      <c r="B24" s="82">
        <v>28.5</v>
      </c>
      <c r="C24" s="83">
        <v>220</v>
      </c>
      <c r="D24" s="83">
        <v>80</v>
      </c>
      <c r="E24" s="83">
        <v>8</v>
      </c>
      <c r="F24" s="83">
        <v>12.5</v>
      </c>
      <c r="G24" s="90">
        <v>12.5</v>
      </c>
      <c r="H24" s="91">
        <v>36.270000000000003</v>
      </c>
      <c r="I24" s="83">
        <v>195</v>
      </c>
      <c r="J24" s="83">
        <v>170</v>
      </c>
      <c r="K24" s="83" t="s">
        <v>639</v>
      </c>
      <c r="L24" s="86">
        <v>36</v>
      </c>
      <c r="M24" s="87">
        <v>51</v>
      </c>
      <c r="N24" s="89">
        <v>0.73</v>
      </c>
      <c r="O24" s="89">
        <v>25.75</v>
      </c>
      <c r="P24" s="81" t="s">
        <v>1487</v>
      </c>
      <c r="Q24" s="82">
        <v>28.5</v>
      </c>
      <c r="R24" s="86">
        <v>2710</v>
      </c>
      <c r="S24" s="84">
        <v>246.4</v>
      </c>
      <c r="T24" s="84">
        <v>289.89999999999998</v>
      </c>
      <c r="U24" s="89">
        <v>8.64</v>
      </c>
      <c r="V24" s="91">
        <v>18.829999999999998</v>
      </c>
      <c r="W24" s="84">
        <v>222.3</v>
      </c>
      <c r="X24" s="89">
        <v>39.68</v>
      </c>
      <c r="Y24" s="89">
        <v>72.56</v>
      </c>
      <c r="Z24" s="91">
        <v>2.48</v>
      </c>
      <c r="AA24" s="84">
        <v>27.8</v>
      </c>
      <c r="AB24" s="21">
        <v>14.4</v>
      </c>
      <c r="AC24" s="21">
        <v>15.82</v>
      </c>
      <c r="AD24" s="40">
        <v>2.4</v>
      </c>
      <c r="AE24" s="48">
        <v>4.9400000000000004</v>
      </c>
      <c r="AF24" s="21">
        <v>1</v>
      </c>
      <c r="AG24" s="43">
        <v>1</v>
      </c>
      <c r="AH24" s="21">
        <v>1</v>
      </c>
      <c r="AI24" s="42">
        <v>1</v>
      </c>
    </row>
    <row r="25" spans="1:35" s="434" customFormat="1" ht="13.5" customHeight="1">
      <c r="A25" s="387" t="s">
        <v>1488</v>
      </c>
      <c r="B25" s="388">
        <v>34.4</v>
      </c>
      <c r="C25" s="389">
        <v>250</v>
      </c>
      <c r="D25" s="389">
        <v>85</v>
      </c>
      <c r="E25" s="389">
        <v>9</v>
      </c>
      <c r="F25" s="389">
        <v>13.5</v>
      </c>
      <c r="G25" s="391">
        <v>13.5</v>
      </c>
      <c r="H25" s="392">
        <v>43.8</v>
      </c>
      <c r="I25" s="389">
        <v>223</v>
      </c>
      <c r="J25" s="389">
        <v>196</v>
      </c>
      <c r="K25" s="389" t="s">
        <v>649</v>
      </c>
      <c r="L25" s="393">
        <v>43</v>
      </c>
      <c r="M25" s="394">
        <v>47</v>
      </c>
      <c r="N25" s="396">
        <v>0.81</v>
      </c>
      <c r="O25" s="396">
        <v>23.57</v>
      </c>
      <c r="P25" s="387" t="s">
        <v>1488</v>
      </c>
      <c r="Q25" s="388">
        <v>34.4</v>
      </c>
      <c r="R25" s="393">
        <v>4136</v>
      </c>
      <c r="S25" s="390">
        <v>330.9</v>
      </c>
      <c r="T25" s="390">
        <v>391.8</v>
      </c>
      <c r="U25" s="396">
        <v>9.7200000000000006</v>
      </c>
      <c r="V25" s="392">
        <v>23.89</v>
      </c>
      <c r="W25" s="390">
        <v>295.39999999999998</v>
      </c>
      <c r="X25" s="396">
        <v>48.87</v>
      </c>
      <c r="Y25" s="396">
        <v>87.65</v>
      </c>
      <c r="Z25" s="392">
        <v>2.6</v>
      </c>
      <c r="AA25" s="390">
        <v>30.4</v>
      </c>
      <c r="AB25" s="398">
        <v>20.38</v>
      </c>
      <c r="AC25" s="398">
        <v>27.43</v>
      </c>
      <c r="AD25" s="411">
        <v>2.4500000000000002</v>
      </c>
      <c r="AE25" s="471">
        <v>5.04</v>
      </c>
      <c r="AF25" s="398">
        <v>1</v>
      </c>
      <c r="AG25" s="399">
        <v>1</v>
      </c>
      <c r="AH25" s="398">
        <v>1</v>
      </c>
      <c r="AI25" s="400">
        <v>1</v>
      </c>
    </row>
    <row r="26" spans="1:35" s="141" customFormat="1" ht="13.5" customHeight="1">
      <c r="A26" s="81"/>
      <c r="B26" s="82"/>
      <c r="C26" s="83"/>
      <c r="D26" s="83"/>
      <c r="E26" s="83"/>
      <c r="F26" s="83"/>
      <c r="G26" s="90"/>
      <c r="H26" s="91"/>
      <c r="I26" s="83"/>
      <c r="J26" s="83"/>
      <c r="K26" s="83"/>
      <c r="L26" s="86"/>
      <c r="M26" s="87"/>
      <c r="N26" s="89"/>
      <c r="O26" s="89"/>
      <c r="P26" s="81"/>
      <c r="Q26" s="82"/>
      <c r="R26" s="86"/>
      <c r="S26" s="84"/>
      <c r="T26" s="84"/>
      <c r="U26" s="89"/>
      <c r="V26" s="91"/>
      <c r="W26" s="84"/>
      <c r="X26" s="89"/>
      <c r="Y26" s="89"/>
      <c r="Z26" s="91"/>
      <c r="AA26" s="84"/>
      <c r="AB26" s="21"/>
      <c r="AC26" s="21"/>
      <c r="AD26" s="40"/>
      <c r="AE26" s="48"/>
      <c r="AF26" s="21"/>
      <c r="AG26" s="43"/>
      <c r="AH26" s="21"/>
      <c r="AI26" s="42"/>
    </row>
    <row r="27" spans="1:35" s="434" customFormat="1" ht="13.5" customHeight="1">
      <c r="A27" s="387" t="s">
        <v>1489</v>
      </c>
      <c r="B27" s="388">
        <v>46</v>
      </c>
      <c r="C27" s="389">
        <v>300</v>
      </c>
      <c r="D27" s="389">
        <v>100</v>
      </c>
      <c r="E27" s="389">
        <v>9.5</v>
      </c>
      <c r="F27" s="389">
        <v>16</v>
      </c>
      <c r="G27" s="391">
        <v>16</v>
      </c>
      <c r="H27" s="392">
        <v>58.56</v>
      </c>
      <c r="I27" s="389">
        <v>268</v>
      </c>
      <c r="J27" s="389">
        <v>236</v>
      </c>
      <c r="K27" s="389" t="s">
        <v>667</v>
      </c>
      <c r="L27" s="393">
        <v>51</v>
      </c>
      <c r="M27" s="394">
        <v>53</v>
      </c>
      <c r="N27" s="396">
        <v>0.97</v>
      </c>
      <c r="O27" s="396">
        <v>21.04</v>
      </c>
      <c r="P27" s="387" t="s">
        <v>1489</v>
      </c>
      <c r="Q27" s="388">
        <v>46</v>
      </c>
      <c r="R27" s="393">
        <v>8170</v>
      </c>
      <c r="S27" s="390">
        <v>544.70000000000005</v>
      </c>
      <c r="T27" s="390">
        <v>639.29999999999995</v>
      </c>
      <c r="U27" s="396">
        <v>11.81</v>
      </c>
      <c r="V27" s="392">
        <v>30.64</v>
      </c>
      <c r="W27" s="390">
        <v>562.1</v>
      </c>
      <c r="X27" s="396">
        <v>79.88</v>
      </c>
      <c r="Y27" s="390">
        <v>145.80000000000001</v>
      </c>
      <c r="Z27" s="392">
        <v>3.1</v>
      </c>
      <c r="AA27" s="390">
        <v>34.9</v>
      </c>
      <c r="AB27" s="398">
        <v>36.299999999999997</v>
      </c>
      <c r="AC27" s="398">
        <v>75.040000000000006</v>
      </c>
      <c r="AD27" s="411">
        <v>2.96</v>
      </c>
      <c r="AE27" s="471">
        <v>6.17</v>
      </c>
      <c r="AF27" s="398">
        <v>1</v>
      </c>
      <c r="AG27" s="399">
        <v>1</v>
      </c>
      <c r="AH27" s="398">
        <v>1</v>
      </c>
      <c r="AI27" s="400">
        <v>1</v>
      </c>
    </row>
    <row r="28" spans="1:35" s="141" customFormat="1" ht="13.5" customHeight="1" thickBot="1">
      <c r="A28" s="81"/>
      <c r="B28" s="90"/>
      <c r="C28" s="83"/>
      <c r="D28" s="83"/>
      <c r="E28" s="83"/>
      <c r="F28" s="83"/>
      <c r="G28" s="90"/>
      <c r="H28" s="90"/>
      <c r="I28" s="83"/>
      <c r="J28" s="83"/>
      <c r="K28" s="83"/>
      <c r="L28" s="83"/>
      <c r="M28" s="90"/>
      <c r="N28" s="83"/>
      <c r="O28" s="83"/>
      <c r="P28" s="81"/>
      <c r="Q28" s="90"/>
      <c r="R28" s="86"/>
      <c r="S28" s="83"/>
      <c r="T28" s="83"/>
      <c r="U28" s="83"/>
      <c r="V28" s="90"/>
      <c r="W28" s="83"/>
      <c r="X28" s="83"/>
      <c r="Y28" s="83"/>
      <c r="Z28" s="90"/>
      <c r="AA28" s="83"/>
      <c r="AB28" s="21"/>
      <c r="AC28" s="21"/>
      <c r="AD28" s="21"/>
      <c r="AE28" s="52"/>
      <c r="AF28" s="53"/>
      <c r="AG28" s="54"/>
      <c r="AH28" s="53"/>
      <c r="AI28" s="55"/>
    </row>
    <row r="29" spans="1:35" s="141" customFormat="1" ht="13.5" customHeight="1" thickTop="1">
      <c r="A29" s="142"/>
      <c r="B29" s="104"/>
      <c r="C29" s="104"/>
      <c r="D29" s="104"/>
      <c r="E29" s="104"/>
      <c r="F29" s="104"/>
      <c r="G29" s="104"/>
      <c r="H29" s="104"/>
      <c r="I29" s="104"/>
      <c r="J29" s="104"/>
      <c r="K29" s="104"/>
      <c r="L29" s="104"/>
      <c r="M29" s="104"/>
      <c r="N29" s="104"/>
      <c r="O29" s="104"/>
      <c r="P29" s="142"/>
      <c r="Q29" s="104"/>
      <c r="R29" s="104"/>
      <c r="S29" s="104"/>
      <c r="T29" s="104"/>
      <c r="U29" s="104"/>
      <c r="V29" s="104"/>
      <c r="W29" s="104"/>
      <c r="X29" s="104"/>
      <c r="Y29" s="104"/>
      <c r="Z29" s="104"/>
      <c r="AA29" s="104"/>
      <c r="AB29" s="145"/>
      <c r="AC29" s="145"/>
      <c r="AD29" s="145"/>
      <c r="AE29" s="145"/>
      <c r="AF29" s="7"/>
      <c r="AG29" s="7"/>
      <c r="AH29" s="7"/>
      <c r="AI29" s="7"/>
    </row>
    <row r="30" spans="1:35" s="141" customFormat="1" ht="13.5" hidden="1" customHeight="1">
      <c r="A30" s="142"/>
      <c r="B30" s="104"/>
      <c r="C30" s="104"/>
      <c r="D30" s="104"/>
      <c r="E30" s="104"/>
      <c r="F30" s="104"/>
      <c r="G30" s="104"/>
      <c r="H30" s="104"/>
      <c r="I30" s="104"/>
      <c r="J30" s="104"/>
      <c r="K30" s="104"/>
      <c r="L30" s="104"/>
      <c r="M30" s="104"/>
      <c r="N30" s="104"/>
      <c r="O30" s="104"/>
      <c r="P30" s="142"/>
      <c r="Q30" s="104"/>
      <c r="R30" s="104"/>
      <c r="S30" s="104"/>
      <c r="T30" s="104"/>
      <c r="U30" s="104"/>
      <c r="V30" s="104"/>
      <c r="W30" s="104"/>
      <c r="X30" s="104"/>
      <c r="Y30" s="104"/>
      <c r="Z30" s="104"/>
      <c r="AA30" s="104"/>
      <c r="AB30" s="145"/>
      <c r="AC30" s="145"/>
      <c r="AD30" s="145"/>
      <c r="AE30" s="145"/>
      <c r="AF30" s="7"/>
      <c r="AG30" s="7"/>
      <c r="AH30" s="7"/>
      <c r="AI30" s="7"/>
    </row>
    <row r="31" spans="1:35" s="141" customFormat="1" ht="13.5" hidden="1" customHeight="1">
      <c r="A31" s="142"/>
      <c r="B31" s="104"/>
      <c r="C31" s="104"/>
      <c r="D31" s="104"/>
      <c r="E31" s="104"/>
      <c r="F31" s="104"/>
      <c r="G31" s="104"/>
      <c r="H31" s="104"/>
      <c r="I31" s="104"/>
      <c r="J31" s="104"/>
      <c r="K31" s="104"/>
      <c r="L31" s="104"/>
      <c r="M31" s="104"/>
      <c r="N31" s="104"/>
      <c r="O31" s="104"/>
      <c r="P31" s="142"/>
      <c r="Q31" s="104"/>
      <c r="R31" s="104"/>
      <c r="S31" s="104"/>
      <c r="T31" s="104"/>
      <c r="U31" s="104"/>
      <c r="V31" s="104"/>
      <c r="W31" s="104"/>
      <c r="X31" s="104"/>
      <c r="Y31" s="104"/>
      <c r="Z31" s="104"/>
      <c r="AA31" s="104"/>
      <c r="AB31" s="145"/>
      <c r="AC31" s="145"/>
      <c r="AD31" s="145"/>
      <c r="AE31" s="145"/>
      <c r="AF31" s="7"/>
      <c r="AG31" s="7"/>
      <c r="AH31" s="7"/>
      <c r="AI31" s="7"/>
    </row>
    <row r="32" spans="1:35" s="141" customFormat="1" ht="13.5" hidden="1" customHeight="1">
      <c r="A32" s="142"/>
      <c r="B32" s="104"/>
      <c r="C32" s="104"/>
      <c r="D32" s="104"/>
      <c r="E32" s="104"/>
      <c r="F32" s="104"/>
      <c r="G32" s="104"/>
      <c r="H32" s="104"/>
      <c r="I32" s="104"/>
      <c r="J32" s="104"/>
      <c r="K32" s="104"/>
      <c r="L32" s="104"/>
      <c r="M32" s="104"/>
      <c r="N32" s="104"/>
      <c r="O32" s="104"/>
      <c r="P32" s="142"/>
      <c r="Q32" s="104"/>
      <c r="R32" s="104"/>
      <c r="S32" s="104"/>
      <c r="T32" s="104"/>
      <c r="U32" s="104"/>
      <c r="V32" s="104"/>
      <c r="W32" s="104"/>
      <c r="X32" s="104"/>
      <c r="Y32" s="104"/>
      <c r="Z32" s="104"/>
      <c r="AA32" s="104"/>
      <c r="AB32" s="145"/>
      <c r="AC32" s="145"/>
      <c r="AD32" s="145"/>
      <c r="AE32" s="145"/>
      <c r="AF32" s="7"/>
      <c r="AG32" s="7"/>
      <c r="AH32" s="7"/>
      <c r="AI32" s="7"/>
    </row>
    <row r="33" spans="1:35" s="141" customFormat="1" ht="13.5" hidden="1" customHeight="1">
      <c r="A33" s="142"/>
      <c r="B33" s="104"/>
      <c r="C33" s="104"/>
      <c r="D33" s="104"/>
      <c r="E33" s="104"/>
      <c r="F33" s="104"/>
      <c r="G33" s="104"/>
      <c r="H33" s="104"/>
      <c r="I33" s="104"/>
      <c r="J33" s="104"/>
      <c r="K33" s="104"/>
      <c r="L33" s="104"/>
      <c r="M33" s="104"/>
      <c r="N33" s="104"/>
      <c r="O33" s="104"/>
      <c r="P33" s="142"/>
      <c r="Q33" s="104"/>
      <c r="R33" s="104"/>
      <c r="S33" s="104"/>
      <c r="T33" s="104"/>
      <c r="U33" s="104"/>
      <c r="V33" s="104"/>
      <c r="W33" s="104"/>
      <c r="X33" s="104"/>
      <c r="Y33" s="104"/>
      <c r="Z33" s="104"/>
      <c r="AA33" s="104"/>
      <c r="AB33" s="145"/>
      <c r="AC33" s="145"/>
      <c r="AD33" s="145"/>
      <c r="AE33" s="145"/>
      <c r="AF33" s="7"/>
      <c r="AG33" s="7"/>
      <c r="AH33" s="7"/>
      <c r="AI33" s="7"/>
    </row>
    <row r="34" spans="1:35" s="141" customFormat="1" ht="13.5" hidden="1" customHeight="1">
      <c r="A34" s="142"/>
      <c r="B34" s="104"/>
      <c r="C34" s="104"/>
      <c r="D34" s="104"/>
      <c r="E34" s="104"/>
      <c r="F34" s="104"/>
      <c r="G34" s="104"/>
      <c r="H34" s="104"/>
      <c r="I34" s="104"/>
      <c r="J34" s="104"/>
      <c r="K34" s="104"/>
      <c r="L34" s="104"/>
      <c r="M34" s="104"/>
      <c r="N34" s="104"/>
      <c r="O34" s="104"/>
      <c r="P34" s="142"/>
      <c r="Q34" s="104"/>
      <c r="R34" s="104"/>
      <c r="S34" s="104"/>
      <c r="T34" s="104"/>
      <c r="U34" s="104"/>
      <c r="V34" s="104"/>
      <c r="W34" s="104"/>
      <c r="X34" s="104"/>
      <c r="Y34" s="104"/>
      <c r="Z34" s="104"/>
      <c r="AA34" s="104"/>
      <c r="AB34" s="145"/>
      <c r="AC34" s="145"/>
      <c r="AD34" s="145"/>
      <c r="AE34" s="145"/>
      <c r="AF34" s="7"/>
      <c r="AG34" s="7"/>
      <c r="AH34" s="7"/>
      <c r="AI34" s="7"/>
    </row>
    <row r="35" spans="1:35" ht="13.5" hidden="1" customHeight="1">
      <c r="A35" s="142"/>
      <c r="B35" s="104"/>
      <c r="C35" s="104"/>
      <c r="D35" s="104"/>
      <c r="E35" s="104"/>
      <c r="F35" s="104"/>
      <c r="G35" s="104"/>
      <c r="H35" s="104"/>
      <c r="I35" s="104"/>
      <c r="J35" s="104"/>
      <c r="K35" s="104"/>
      <c r="L35" s="104"/>
      <c r="M35" s="104"/>
      <c r="N35" s="104"/>
      <c r="O35" s="104"/>
      <c r="P35" s="142"/>
      <c r="Q35" s="101"/>
      <c r="R35" s="102"/>
      <c r="S35" s="102"/>
      <c r="T35" s="102"/>
      <c r="U35" s="102"/>
      <c r="V35" s="102"/>
      <c r="W35" s="101"/>
      <c r="X35" s="102"/>
      <c r="Y35" s="102"/>
      <c r="Z35" s="102"/>
      <c r="AA35" s="102"/>
      <c r="AB35" s="59"/>
      <c r="AC35" s="59"/>
      <c r="AD35" s="101"/>
      <c r="AE35" s="145"/>
    </row>
    <row r="36" spans="1:35" ht="13.5" hidden="1" customHeight="1">
      <c r="A36" s="142"/>
      <c r="B36" s="104"/>
      <c r="C36" s="104"/>
      <c r="D36" s="104"/>
      <c r="E36" s="104"/>
      <c r="F36" s="104"/>
      <c r="G36" s="104"/>
      <c r="H36" s="104"/>
      <c r="I36" s="104"/>
      <c r="J36" s="104"/>
      <c r="K36" s="104"/>
      <c r="L36" s="104"/>
      <c r="M36" s="104"/>
      <c r="N36" s="104"/>
      <c r="O36" s="104"/>
      <c r="P36" s="142"/>
      <c r="Q36" s="101"/>
      <c r="R36" s="102"/>
      <c r="S36" s="102"/>
      <c r="T36" s="102"/>
      <c r="U36" s="102"/>
      <c r="V36" s="102"/>
      <c r="W36" s="101"/>
      <c r="X36" s="102"/>
      <c r="Y36" s="102"/>
      <c r="Z36" s="102"/>
      <c r="AA36" s="102"/>
      <c r="AB36" s="59"/>
      <c r="AC36" s="59"/>
      <c r="AD36" s="101"/>
      <c r="AE36" s="145"/>
    </row>
    <row r="37" spans="1:35" ht="13.5" hidden="1" customHeight="1">
      <c r="A37" s="142"/>
      <c r="B37" s="104"/>
      <c r="C37" s="104"/>
      <c r="D37" s="104"/>
      <c r="E37" s="104"/>
      <c r="F37" s="104"/>
      <c r="G37" s="104"/>
      <c r="H37" s="104"/>
      <c r="I37" s="104"/>
      <c r="J37" s="104"/>
      <c r="K37" s="104"/>
      <c r="L37" s="104"/>
      <c r="M37" s="104"/>
      <c r="N37" s="104"/>
      <c r="O37" s="104"/>
      <c r="P37" s="142"/>
      <c r="Q37" s="101"/>
      <c r="R37" s="102"/>
      <c r="S37" s="102"/>
      <c r="T37" s="102"/>
      <c r="U37" s="102"/>
      <c r="V37" s="102"/>
      <c r="W37" s="101"/>
      <c r="X37" s="102"/>
      <c r="Y37" s="102"/>
      <c r="Z37" s="102"/>
      <c r="AA37" s="102"/>
      <c r="AB37" s="59"/>
      <c r="AC37" s="59"/>
      <c r="AD37" s="101"/>
      <c r="AE37" s="145"/>
    </row>
    <row r="38" spans="1:35" ht="13.5" hidden="1" customHeight="1">
      <c r="A38" s="142"/>
      <c r="B38" s="104"/>
      <c r="C38" s="104"/>
      <c r="D38" s="104"/>
      <c r="E38" s="104"/>
      <c r="F38" s="104"/>
      <c r="G38" s="104"/>
      <c r="H38" s="104"/>
      <c r="I38" s="104"/>
      <c r="J38" s="104"/>
      <c r="K38" s="104"/>
      <c r="L38" s="104"/>
      <c r="M38" s="104"/>
      <c r="N38" s="104"/>
      <c r="O38" s="104"/>
      <c r="P38" s="142"/>
      <c r="Q38" s="101"/>
      <c r="R38" s="102"/>
      <c r="S38" s="102"/>
      <c r="T38" s="102"/>
      <c r="U38" s="102"/>
      <c r="V38" s="102"/>
      <c r="W38" s="101"/>
      <c r="X38" s="102"/>
      <c r="Y38" s="102"/>
      <c r="Z38" s="102"/>
      <c r="AA38" s="102"/>
      <c r="AB38" s="59"/>
      <c r="AC38" s="59"/>
      <c r="AD38" s="101"/>
      <c r="AE38" s="145"/>
    </row>
    <row r="39" spans="1:35" ht="13.5" hidden="1" customHeight="1">
      <c r="A39" s="142"/>
      <c r="B39" s="104"/>
      <c r="C39" s="104"/>
      <c r="D39" s="104"/>
      <c r="E39" s="104"/>
      <c r="F39" s="104"/>
      <c r="G39" s="104"/>
      <c r="H39" s="104"/>
      <c r="I39" s="104"/>
      <c r="J39" s="104"/>
      <c r="K39" s="104"/>
      <c r="L39" s="104"/>
      <c r="M39" s="104"/>
      <c r="N39" s="104"/>
      <c r="O39" s="104"/>
      <c r="P39" s="142"/>
      <c r="R39" s="104"/>
      <c r="S39" s="104"/>
      <c r="T39" s="104"/>
      <c r="U39" s="104"/>
      <c r="V39" s="104"/>
      <c r="W39" s="104"/>
      <c r="X39" s="104"/>
      <c r="Y39" s="104"/>
      <c r="Z39" s="104"/>
      <c r="AA39" s="104"/>
      <c r="AB39" s="145"/>
      <c r="AC39" s="145"/>
      <c r="AD39" s="145"/>
      <c r="AE39" s="145"/>
    </row>
    <row r="40" spans="1:35" ht="13.5" hidden="1" customHeight="1">
      <c r="A40" s="142"/>
      <c r="B40" s="104"/>
      <c r="C40" s="104"/>
      <c r="D40" s="104"/>
      <c r="E40" s="104"/>
      <c r="F40" s="104"/>
      <c r="G40" s="104"/>
      <c r="H40" s="104"/>
      <c r="I40" s="104"/>
      <c r="J40" s="104"/>
      <c r="K40" s="104"/>
      <c r="L40" s="104"/>
      <c r="M40" s="104"/>
      <c r="N40" s="104"/>
      <c r="O40" s="104"/>
      <c r="P40" s="142"/>
      <c r="R40" s="104"/>
      <c r="S40" s="104"/>
      <c r="T40" s="104"/>
      <c r="U40" s="104"/>
      <c r="V40" s="104"/>
      <c r="W40" s="104"/>
      <c r="X40" s="104"/>
      <c r="Y40" s="104"/>
      <c r="Z40" s="104"/>
      <c r="AA40" s="104"/>
      <c r="AB40" s="145"/>
      <c r="AC40" s="145"/>
      <c r="AD40" s="145"/>
      <c r="AE40" s="145"/>
    </row>
    <row r="41" spans="1:35" ht="13.5" hidden="1" customHeight="1">
      <c r="A41" s="142"/>
      <c r="B41" s="104"/>
      <c r="C41" s="104"/>
      <c r="D41" s="104"/>
      <c r="E41" s="104"/>
      <c r="F41" s="104"/>
      <c r="G41" s="104"/>
      <c r="H41" s="104"/>
      <c r="I41" s="104"/>
      <c r="J41" s="104"/>
      <c r="K41" s="104"/>
      <c r="L41" s="104"/>
      <c r="M41" s="104"/>
      <c r="N41" s="104"/>
      <c r="O41" s="104"/>
      <c r="P41" s="142"/>
      <c r="R41" s="104"/>
      <c r="S41" s="104"/>
      <c r="T41" s="104"/>
      <c r="U41" s="104"/>
      <c r="V41" s="104"/>
      <c r="W41" s="104"/>
      <c r="X41" s="104"/>
      <c r="Y41" s="104"/>
      <c r="Z41" s="104"/>
      <c r="AA41" s="104"/>
      <c r="AB41" s="145"/>
      <c r="AC41" s="145"/>
      <c r="AD41" s="145"/>
      <c r="AE41" s="145"/>
    </row>
    <row r="42" spans="1:35" ht="13.5" hidden="1" customHeight="1">
      <c r="A42" s="142"/>
      <c r="B42" s="104"/>
      <c r="C42" s="104"/>
      <c r="D42" s="104"/>
      <c r="E42" s="104"/>
      <c r="F42" s="104"/>
      <c r="G42" s="104"/>
      <c r="H42" s="104"/>
      <c r="I42" s="104"/>
      <c r="J42" s="104"/>
      <c r="K42" s="104"/>
      <c r="L42" s="104"/>
      <c r="M42" s="104"/>
      <c r="N42" s="104"/>
      <c r="O42" s="104"/>
      <c r="P42" s="142"/>
      <c r="R42" s="104"/>
      <c r="S42" s="104"/>
      <c r="T42" s="104"/>
      <c r="U42" s="104"/>
      <c r="V42" s="104"/>
      <c r="W42" s="104"/>
      <c r="X42" s="104"/>
      <c r="Y42" s="104"/>
      <c r="Z42" s="104"/>
      <c r="AA42" s="104"/>
      <c r="AB42" s="145"/>
      <c r="AC42" s="145"/>
      <c r="AD42" s="145"/>
      <c r="AE42" s="145"/>
    </row>
    <row r="43" spans="1:35" ht="13.5" hidden="1" customHeight="1">
      <c r="A43" s="142"/>
      <c r="B43" s="104"/>
      <c r="C43" s="104"/>
      <c r="D43" s="104"/>
      <c r="E43" s="104"/>
      <c r="F43" s="104"/>
      <c r="G43" s="104"/>
      <c r="H43" s="104"/>
      <c r="I43" s="104"/>
      <c r="J43" s="104"/>
      <c r="K43" s="104"/>
      <c r="L43" s="104"/>
      <c r="M43" s="104"/>
      <c r="N43" s="104"/>
      <c r="O43" s="104"/>
      <c r="P43" s="142"/>
      <c r="R43" s="104"/>
      <c r="S43" s="104"/>
      <c r="T43" s="104"/>
      <c r="U43" s="104"/>
      <c r="V43" s="104"/>
      <c r="W43" s="104"/>
      <c r="X43" s="104"/>
      <c r="Y43" s="104"/>
      <c r="Z43" s="104"/>
      <c r="AA43" s="104"/>
      <c r="AB43" s="145"/>
      <c r="AC43" s="145"/>
      <c r="AD43" s="145"/>
      <c r="AE43" s="145"/>
    </row>
    <row r="44" spans="1:35" ht="13.5" hidden="1" customHeight="1">
      <c r="A44" s="142"/>
      <c r="B44" s="104"/>
      <c r="C44" s="104"/>
      <c r="D44" s="104"/>
      <c r="E44" s="104"/>
      <c r="F44" s="104"/>
      <c r="G44" s="104"/>
      <c r="H44" s="104"/>
      <c r="I44" s="104"/>
      <c r="J44" s="104"/>
      <c r="K44" s="104"/>
      <c r="L44" s="104"/>
      <c r="M44" s="104"/>
      <c r="N44" s="104"/>
      <c r="O44" s="104"/>
      <c r="P44" s="142"/>
      <c r="R44" s="104"/>
      <c r="S44" s="104"/>
      <c r="T44" s="104"/>
      <c r="U44" s="104"/>
      <c r="V44" s="104"/>
      <c r="W44" s="104"/>
      <c r="X44" s="104"/>
      <c r="Y44" s="104"/>
      <c r="Z44" s="104"/>
      <c r="AA44" s="104"/>
      <c r="AB44" s="145"/>
      <c r="AC44" s="145"/>
      <c r="AD44" s="145"/>
      <c r="AE44" s="145"/>
    </row>
    <row r="45" spans="1:35" ht="13.5" hidden="1" customHeight="1">
      <c r="A45" s="142"/>
      <c r="B45" s="104"/>
      <c r="C45" s="104"/>
      <c r="D45" s="104"/>
      <c r="E45" s="104"/>
      <c r="F45" s="104"/>
      <c r="G45" s="104"/>
      <c r="H45" s="104"/>
      <c r="I45" s="104"/>
      <c r="J45" s="104"/>
      <c r="K45" s="104"/>
      <c r="L45" s="104"/>
      <c r="M45" s="104"/>
      <c r="N45" s="104"/>
      <c r="O45" s="104"/>
      <c r="P45" s="142"/>
      <c r="R45" s="104"/>
      <c r="S45" s="104"/>
      <c r="T45" s="104"/>
      <c r="U45" s="104"/>
      <c r="V45" s="104"/>
      <c r="W45" s="104"/>
      <c r="X45" s="104"/>
      <c r="Y45" s="104"/>
      <c r="Z45" s="104"/>
      <c r="AA45" s="104"/>
      <c r="AB45" s="145"/>
      <c r="AC45" s="145"/>
      <c r="AD45" s="145"/>
      <c r="AE45" s="145"/>
    </row>
    <row r="46" spans="1:35" ht="13.5" hidden="1" customHeight="1">
      <c r="A46" s="142"/>
      <c r="B46" s="104"/>
      <c r="C46" s="104"/>
      <c r="D46" s="104"/>
      <c r="E46" s="104"/>
      <c r="F46" s="104"/>
      <c r="G46" s="104"/>
      <c r="H46" s="104"/>
      <c r="I46" s="104"/>
      <c r="J46" s="104"/>
      <c r="K46" s="104"/>
      <c r="L46" s="104"/>
      <c r="M46" s="104"/>
      <c r="N46" s="104"/>
      <c r="O46" s="104"/>
      <c r="P46" s="142"/>
      <c r="R46" s="104"/>
      <c r="S46" s="104"/>
      <c r="T46" s="104"/>
      <c r="U46" s="104"/>
      <c r="V46" s="104"/>
      <c r="W46" s="104"/>
      <c r="X46" s="104"/>
      <c r="Y46" s="104"/>
      <c r="Z46" s="104"/>
      <c r="AA46" s="104"/>
      <c r="AB46" s="145"/>
      <c r="AC46" s="145"/>
      <c r="AD46" s="145"/>
      <c r="AE46" s="145"/>
    </row>
    <row r="47" spans="1:35" ht="13.5" hidden="1" customHeight="1">
      <c r="A47" s="142"/>
      <c r="B47" s="104"/>
      <c r="C47" s="104"/>
      <c r="D47" s="104"/>
      <c r="E47" s="104"/>
      <c r="F47" s="104"/>
      <c r="G47" s="104"/>
      <c r="H47" s="104"/>
      <c r="I47" s="104"/>
      <c r="J47" s="104"/>
      <c r="K47" s="104"/>
      <c r="L47" s="104"/>
      <c r="M47" s="104"/>
      <c r="N47" s="104"/>
      <c r="O47" s="104"/>
      <c r="P47" s="142"/>
      <c r="R47" s="104"/>
      <c r="S47" s="104"/>
      <c r="T47" s="104"/>
      <c r="U47" s="104"/>
      <c r="V47" s="104"/>
      <c r="W47" s="104"/>
      <c r="X47" s="104"/>
      <c r="Y47" s="104"/>
      <c r="Z47" s="104"/>
      <c r="AA47" s="104"/>
      <c r="AB47" s="145"/>
      <c r="AC47" s="145"/>
      <c r="AD47" s="145"/>
      <c r="AE47" s="145"/>
    </row>
    <row r="48" spans="1:35" ht="13.5" hidden="1" customHeight="1">
      <c r="A48" s="142"/>
      <c r="B48" s="104"/>
      <c r="C48" s="104"/>
      <c r="D48" s="104"/>
      <c r="E48" s="104"/>
      <c r="F48" s="104"/>
      <c r="G48" s="104"/>
      <c r="H48" s="104"/>
      <c r="I48" s="104"/>
      <c r="J48" s="104"/>
      <c r="K48" s="104"/>
      <c r="L48" s="104"/>
      <c r="M48" s="104"/>
      <c r="N48" s="104"/>
      <c r="O48" s="104"/>
      <c r="P48" s="142"/>
      <c r="R48" s="104"/>
      <c r="S48" s="104"/>
      <c r="T48" s="104"/>
      <c r="U48" s="104"/>
      <c r="V48" s="104"/>
      <c r="W48" s="104"/>
      <c r="X48" s="104"/>
      <c r="Y48" s="104"/>
      <c r="Z48" s="104"/>
      <c r="AA48" s="104"/>
      <c r="AB48" s="145"/>
      <c r="AC48" s="145"/>
      <c r="AD48" s="145"/>
      <c r="AE48" s="145"/>
    </row>
    <row r="49" spans="1:31" ht="13.5" hidden="1" customHeight="1">
      <c r="A49" s="142"/>
      <c r="B49" s="104"/>
      <c r="C49" s="104"/>
      <c r="D49" s="104"/>
      <c r="E49" s="104"/>
      <c r="F49" s="104"/>
      <c r="G49" s="104"/>
      <c r="H49" s="104"/>
      <c r="I49" s="104"/>
      <c r="J49" s="104"/>
      <c r="K49" s="104"/>
      <c r="L49" s="104"/>
      <c r="M49" s="104"/>
      <c r="N49" s="104"/>
      <c r="O49" s="104"/>
      <c r="P49" s="142"/>
      <c r="R49" s="104"/>
      <c r="S49" s="104"/>
      <c r="T49" s="104"/>
      <c r="U49" s="104"/>
      <c r="V49" s="104"/>
      <c r="W49" s="104"/>
      <c r="X49" s="104"/>
      <c r="Y49" s="104"/>
      <c r="Z49" s="104"/>
      <c r="AA49" s="104"/>
      <c r="AB49" s="145"/>
      <c r="AC49" s="145"/>
      <c r="AD49" s="145"/>
      <c r="AE49" s="145"/>
    </row>
    <row r="50" spans="1:31" ht="13.5" hidden="1" customHeight="1">
      <c r="A50" s="142"/>
      <c r="B50" s="104"/>
      <c r="C50" s="104"/>
      <c r="D50" s="104"/>
      <c r="E50" s="104"/>
      <c r="F50" s="104"/>
      <c r="G50" s="104"/>
      <c r="H50" s="104"/>
      <c r="I50" s="104"/>
      <c r="J50" s="104"/>
      <c r="K50" s="104"/>
      <c r="L50" s="104"/>
      <c r="M50" s="104"/>
      <c r="N50" s="104"/>
      <c r="O50" s="104"/>
      <c r="P50" s="142"/>
      <c r="R50" s="104"/>
      <c r="S50" s="104"/>
      <c r="T50" s="104"/>
      <c r="U50" s="104"/>
      <c r="V50" s="104"/>
      <c r="W50" s="104"/>
      <c r="X50" s="104"/>
      <c r="Y50" s="104"/>
      <c r="Z50" s="104"/>
      <c r="AA50" s="104"/>
      <c r="AB50" s="145"/>
      <c r="AC50" s="145"/>
      <c r="AD50" s="145"/>
      <c r="AE50" s="145"/>
    </row>
    <row r="51" spans="1:31" ht="13.5" hidden="1" customHeight="1">
      <c r="A51" s="142"/>
      <c r="B51" s="104"/>
      <c r="C51" s="104"/>
      <c r="D51" s="104"/>
      <c r="E51" s="104"/>
      <c r="F51" s="104"/>
      <c r="G51" s="104"/>
      <c r="H51" s="104"/>
      <c r="I51" s="104"/>
      <c r="J51" s="104"/>
      <c r="K51" s="104"/>
      <c r="L51" s="104"/>
      <c r="M51" s="104"/>
      <c r="N51" s="104"/>
      <c r="O51" s="104"/>
      <c r="P51" s="142"/>
      <c r="R51" s="104"/>
      <c r="S51" s="104"/>
      <c r="T51" s="104"/>
      <c r="U51" s="104"/>
      <c r="V51" s="104"/>
      <c r="W51" s="104"/>
      <c r="X51" s="104"/>
      <c r="Y51" s="104"/>
      <c r="Z51" s="104"/>
      <c r="AA51" s="104"/>
      <c r="AB51" s="145"/>
      <c r="AC51" s="145"/>
      <c r="AD51" s="145"/>
      <c r="AE51" s="145"/>
    </row>
    <row r="52" spans="1:31" ht="13.5" hidden="1" customHeight="1">
      <c r="A52" s="142"/>
      <c r="B52" s="104"/>
      <c r="C52" s="104"/>
      <c r="D52" s="104"/>
      <c r="E52" s="104"/>
      <c r="F52" s="104"/>
      <c r="G52" s="104"/>
      <c r="H52" s="104"/>
      <c r="I52" s="104"/>
      <c r="J52" s="104"/>
      <c r="K52" s="104"/>
      <c r="L52" s="104"/>
      <c r="M52" s="104"/>
      <c r="N52" s="104"/>
      <c r="O52" s="104"/>
      <c r="P52" s="142"/>
      <c r="R52" s="104"/>
      <c r="S52" s="104"/>
      <c r="T52" s="104"/>
      <c r="U52" s="104"/>
      <c r="V52" s="104"/>
      <c r="W52" s="104"/>
      <c r="X52" s="104"/>
      <c r="Y52" s="104"/>
      <c r="Z52" s="104"/>
      <c r="AA52" s="104"/>
      <c r="AB52" s="145"/>
      <c r="AC52" s="145"/>
      <c r="AD52" s="145"/>
      <c r="AE52" s="145"/>
    </row>
    <row r="53" spans="1:31" ht="13.5" hidden="1" customHeight="1"/>
    <row r="54" spans="1:31" ht="13.5" hidden="1" customHeight="1"/>
    <row r="55" spans="1:31" ht="13.5" hidden="1" customHeight="1"/>
    <row r="56" spans="1:31" ht="13.5" hidden="1" customHeight="1"/>
    <row r="57" spans="1:31" ht="13.5" hidden="1" customHeight="1"/>
    <row r="58" spans="1:31" ht="13.5" hidden="1" customHeight="1"/>
    <row r="59" spans="1:31" ht="13.5" hidden="1" customHeight="1"/>
    <row r="60" spans="1:31" ht="13.5" hidden="1" customHeight="1"/>
    <row r="61" spans="1:31" ht="13.5" hidden="1" customHeight="1"/>
    <row r="62" spans="1:31" ht="13.5" hidden="1" customHeight="1"/>
    <row r="63" spans="1:31" ht="13.5" hidden="1" customHeight="1"/>
    <row r="64" spans="1:31" ht="13.5" hidden="1" customHeight="1"/>
    <row r="65" ht="13.5" hidden="1" customHeight="1"/>
    <row r="66" ht="13.5" hidden="1" customHeight="1"/>
    <row r="67" ht="13.5" hidden="1" customHeight="1"/>
    <row r="68" ht="13.5" hidden="1" customHeight="1"/>
    <row r="69" ht="13.5" hidden="1" customHeight="1"/>
    <row r="70" ht="13.5" hidden="1" customHeight="1"/>
    <row r="71" ht="13.5" hidden="1" customHeight="1"/>
    <row r="72" ht="13.5" hidden="1" customHeight="1"/>
    <row r="73" ht="13.5" hidden="1" customHeight="1"/>
    <row r="74" ht="13.5" hidden="1" customHeight="1"/>
    <row r="75" ht="13.5" hidden="1" customHeight="1"/>
    <row r="76" ht="13.5" hidden="1" customHeight="1"/>
    <row r="77" ht="13.5" hidden="1" customHeight="1"/>
    <row r="78" ht="13.5" hidden="1" customHeight="1"/>
    <row r="79" ht="13.5" hidden="1" customHeight="1"/>
    <row r="80" ht="13.5" hidden="1" customHeight="1"/>
    <row r="81" ht="13.5" hidden="1" customHeight="1"/>
    <row r="82" ht="13.5" hidden="1" customHeight="1"/>
    <row r="83" ht="13.5" hidden="1" customHeight="1"/>
    <row r="84" ht="13.5" hidden="1" customHeight="1"/>
    <row r="85" ht="13.5" hidden="1" customHeight="1"/>
    <row r="86" ht="13.5" hidden="1" customHeight="1"/>
    <row r="87" ht="13.5" hidden="1" customHeight="1"/>
    <row r="88" ht="13.5" hidden="1" customHeight="1"/>
    <row r="89" ht="13.5" hidden="1" customHeight="1"/>
    <row r="90" ht="13.5" hidden="1" customHeight="1"/>
    <row r="91" ht="13.5" hidden="1" customHeight="1"/>
    <row r="92" ht="13.5" hidden="1" customHeight="1"/>
    <row r="93" ht="13.5" hidden="1" customHeight="1"/>
    <row r="94" ht="13.5" hidden="1" customHeight="1"/>
    <row r="95" ht="13.5" hidden="1" customHeight="1"/>
    <row r="96" ht="13.5" hidden="1" customHeight="1"/>
    <row r="97" ht="13.5" hidden="1" customHeight="1"/>
    <row r="98" ht="13.5" hidden="1" customHeight="1"/>
    <row r="99" ht="13.5" hidden="1" customHeight="1"/>
    <row r="100" ht="13.5" hidden="1" customHeight="1"/>
    <row r="101" ht="13.5" hidden="1" customHeight="1"/>
    <row r="102" ht="13.5" hidden="1" customHeight="1"/>
    <row r="103" ht="13.5" hidden="1" customHeight="1"/>
    <row r="104" ht="13.5" hidden="1" customHeight="1"/>
    <row r="105" ht="13.5" hidden="1" customHeight="1"/>
    <row r="106" ht="13.5" hidden="1" customHeight="1"/>
    <row r="107" ht="13.5" hidden="1" customHeight="1"/>
    <row r="108" ht="13.5" hidden="1" customHeight="1"/>
    <row r="109" ht="13.5" hidden="1" customHeight="1"/>
    <row r="110" ht="13.5" hidden="1" customHeight="1"/>
    <row r="111" ht="13.5" hidden="1" customHeight="1"/>
    <row r="112" ht="13.5" hidden="1" customHeight="1"/>
    <row r="113" ht="13.5" hidden="1" customHeight="1"/>
    <row r="114" ht="13.5" hidden="1" customHeight="1"/>
    <row r="115" ht="13.5" hidden="1" customHeight="1"/>
    <row r="116" ht="13.5" hidden="1" customHeight="1"/>
    <row r="117" ht="13.5" hidden="1" customHeight="1"/>
    <row r="118" ht="13.5" hidden="1" customHeight="1"/>
    <row r="119" ht="13.5" hidden="1" customHeight="1"/>
    <row r="120" ht="13.5" hidden="1" customHeight="1"/>
    <row r="121" ht="13.5" hidden="1" customHeight="1"/>
    <row r="122" ht="13.5" hidden="1" customHeight="1"/>
    <row r="123" ht="13.5" hidden="1" customHeight="1"/>
    <row r="124" ht="13.5" hidden="1" customHeight="1"/>
    <row r="125" ht="13.5" hidden="1" customHeight="1"/>
    <row r="126" ht="13.5" hidden="1" customHeight="1"/>
    <row r="127" ht="13.5" hidden="1" customHeight="1"/>
    <row r="128" ht="13.5" hidden="1" customHeight="1"/>
    <row r="129" ht="13.5" hidden="1" customHeight="1"/>
    <row r="130" ht="13.5" hidden="1" customHeight="1"/>
    <row r="131" ht="13.5" hidden="1" customHeight="1"/>
    <row r="132" ht="13.5" hidden="1" customHeight="1"/>
    <row r="133" ht="13.5" hidden="1" customHeight="1"/>
    <row r="134" ht="13.5" hidden="1" customHeight="1"/>
    <row r="135" ht="13.5" hidden="1" customHeight="1"/>
    <row r="136" ht="13.5" hidden="1" customHeight="1"/>
    <row r="137" ht="13.5" hidden="1" customHeight="1"/>
    <row r="138" ht="13.5" hidden="1" customHeight="1"/>
    <row r="139" ht="13.5" hidden="1" customHeight="1"/>
    <row r="140" ht="13.5" hidden="1" customHeight="1"/>
    <row r="141" ht="13.5" hidden="1" customHeight="1"/>
    <row r="142" ht="13.5" hidden="1" customHeight="1"/>
    <row r="143" ht="13.5" hidden="1" customHeight="1"/>
    <row r="144" ht="13.5" hidden="1" customHeight="1"/>
    <row r="145" ht="13.5" hidden="1" customHeight="1"/>
    <row r="146" ht="13.5" hidden="1" customHeight="1"/>
    <row r="147" ht="13.5" hidden="1" customHeight="1"/>
    <row r="148" ht="13.5" hidden="1" customHeight="1"/>
    <row r="149" ht="13.5" hidden="1" customHeight="1"/>
    <row r="150" ht="13.5" hidden="1" customHeight="1"/>
    <row r="151" ht="13.5" hidden="1" customHeight="1"/>
    <row r="152" ht="13.5" hidden="1" customHeight="1"/>
    <row r="153" ht="13.5" hidden="1" customHeight="1"/>
    <row r="154" ht="13.5" hidden="1" customHeight="1"/>
    <row r="155" ht="13.5" hidden="1" customHeight="1"/>
    <row r="156" ht="13.5" hidden="1" customHeight="1"/>
    <row r="157" ht="13.5" hidden="1" customHeight="1"/>
    <row r="158" ht="13.5" hidden="1" customHeight="1"/>
    <row r="159" ht="13.5" hidden="1" customHeight="1"/>
    <row r="160" ht="13.5" hidden="1" customHeight="1"/>
    <row r="161" ht="13.5" hidden="1" customHeight="1"/>
    <row r="162" ht="13.5" hidden="1" customHeight="1"/>
    <row r="163" ht="13.5" hidden="1" customHeight="1"/>
    <row r="164" ht="13.5" hidden="1" customHeight="1"/>
    <row r="165" ht="13.5" hidden="1" customHeight="1"/>
    <row r="166" ht="13.5" hidden="1" customHeight="1"/>
    <row r="167" ht="13.5" hidden="1" customHeight="1"/>
    <row r="168" ht="13.5" hidden="1" customHeight="1"/>
    <row r="169" ht="13.5" hidden="1" customHeight="1"/>
    <row r="170" ht="13.5" hidden="1" customHeight="1"/>
    <row r="171" ht="13.5" hidden="1" customHeight="1"/>
    <row r="172" ht="13.5" hidden="1" customHeight="1"/>
    <row r="173" ht="13.5" hidden="1" customHeight="1"/>
    <row r="174" ht="13.5" hidden="1" customHeight="1"/>
    <row r="175" ht="13.5" hidden="1" customHeight="1"/>
    <row r="176" ht="13.5" hidden="1" customHeight="1"/>
    <row r="177" ht="13.5" hidden="1" customHeight="1"/>
    <row r="178" ht="13.5" hidden="1" customHeight="1"/>
    <row r="179" ht="13.5" hidden="1" customHeight="1"/>
    <row r="180" ht="13.5" hidden="1" customHeight="1"/>
    <row r="181" ht="13.5" hidden="1" customHeight="1"/>
    <row r="182" ht="13.5" hidden="1" customHeight="1"/>
    <row r="183" ht="13.5" hidden="1" customHeight="1"/>
    <row r="184" ht="13.5" hidden="1" customHeight="1"/>
    <row r="185" ht="13.5" hidden="1" customHeight="1"/>
    <row r="186" ht="13.5" hidden="1" customHeight="1"/>
    <row r="187" ht="13.5" hidden="1" customHeight="1"/>
    <row r="188" ht="13.5" hidden="1" customHeight="1"/>
    <row r="189" ht="13.5" hidden="1" customHeight="1"/>
    <row r="190" ht="13.5" hidden="1" customHeight="1"/>
    <row r="191" ht="13.5" hidden="1" customHeight="1"/>
    <row r="192" ht="13.5" hidden="1" customHeight="1"/>
    <row r="193" ht="13.5" hidden="1" customHeight="1"/>
    <row r="194" ht="13.5" hidden="1" customHeight="1"/>
    <row r="195" ht="13.5" hidden="1" customHeight="1"/>
    <row r="196" ht="13.5" hidden="1" customHeight="1"/>
    <row r="197" ht="13.5" hidden="1" customHeight="1"/>
    <row r="198" ht="13.5" hidden="1" customHeight="1"/>
    <row r="199" ht="13.5" hidden="1" customHeight="1"/>
    <row r="200" ht="13.5" hidden="1" customHeight="1"/>
    <row r="201" ht="13.5" hidden="1" customHeight="1"/>
    <row r="202" ht="13.5" hidden="1" customHeight="1"/>
    <row r="203" ht="13.5" hidden="1" customHeight="1"/>
    <row r="204" ht="13.5" hidden="1" customHeight="1"/>
    <row r="205" ht="13.5" hidden="1" customHeight="1"/>
    <row r="206" ht="13.5" hidden="1" customHeight="1"/>
    <row r="207" ht="13.5" hidden="1" customHeight="1"/>
    <row r="208" ht="13.5" hidden="1" customHeight="1"/>
    <row r="209" ht="13.5" hidden="1" customHeight="1"/>
    <row r="210" ht="13.5" hidden="1" customHeight="1"/>
    <row r="211" ht="13.5" hidden="1" customHeight="1"/>
    <row r="212" ht="13.5" hidden="1" customHeight="1"/>
    <row r="213" ht="13.5" hidden="1" customHeight="1"/>
    <row r="214" ht="13.5" hidden="1" customHeight="1"/>
    <row r="215" ht="13.5" hidden="1" customHeight="1"/>
    <row r="216" ht="13.5" hidden="1" customHeight="1"/>
    <row r="217" ht="13.5" hidden="1" customHeight="1"/>
    <row r="218" ht="13.5" hidden="1" customHeight="1"/>
    <row r="219" ht="13.5" hidden="1" customHeight="1"/>
    <row r="220" ht="13.5" hidden="1" customHeight="1"/>
    <row r="221" ht="13.5" hidden="1" customHeight="1"/>
    <row r="222" ht="13.5" hidden="1" customHeight="1"/>
    <row r="223" ht="13.5" hidden="1" customHeight="1"/>
    <row r="224" ht="13.5" hidden="1" customHeight="1"/>
    <row r="225" ht="13.5" hidden="1" customHeight="1"/>
    <row r="226" ht="13.5" hidden="1" customHeight="1"/>
    <row r="227" ht="13.5" hidden="1" customHeight="1"/>
    <row r="228" ht="13.5" hidden="1" customHeight="1"/>
    <row r="229" ht="13.5" hidden="1" customHeight="1"/>
    <row r="230" ht="13.5" hidden="1" customHeight="1"/>
    <row r="231" ht="13.5" hidden="1" customHeight="1"/>
    <row r="232" ht="13.5" hidden="1" customHeight="1"/>
    <row r="233" ht="13.5" hidden="1" customHeight="1"/>
    <row r="234" ht="13.5" hidden="1" customHeight="1"/>
    <row r="235" ht="13.5" hidden="1" customHeight="1"/>
    <row r="236" ht="13.5" hidden="1" customHeight="1"/>
    <row r="237" ht="13.5" hidden="1" customHeight="1"/>
    <row r="238" ht="13.5" hidden="1" customHeight="1"/>
    <row r="239" ht="13.5" hidden="1" customHeight="1"/>
    <row r="240" ht="13.5" hidden="1" customHeight="1"/>
    <row r="241" ht="13.5" hidden="1" customHeight="1"/>
    <row r="242" ht="13.5" hidden="1" customHeight="1"/>
    <row r="243" ht="13.5" hidden="1" customHeight="1"/>
    <row r="244" ht="13.5" hidden="1" customHeight="1"/>
    <row r="245" ht="13.5" hidden="1" customHeight="1"/>
    <row r="246" ht="13.5" hidden="1" customHeight="1"/>
    <row r="247" ht="13.5" hidden="1" customHeight="1"/>
    <row r="248" ht="13.5" hidden="1" customHeight="1"/>
    <row r="249" ht="13.5" hidden="1" customHeight="1"/>
    <row r="250" ht="13.5" hidden="1" customHeight="1"/>
    <row r="251" ht="13.5" hidden="1" customHeight="1"/>
    <row r="252" ht="13.5" hidden="1" customHeight="1"/>
    <row r="253" ht="13.5" hidden="1" customHeight="1"/>
    <row r="254" ht="13.5" hidden="1" customHeight="1"/>
    <row r="255" ht="13.5" hidden="1" customHeight="1"/>
    <row r="256" ht="13.5" hidden="1" customHeight="1"/>
    <row r="257" ht="13.5" hidden="1" customHeight="1"/>
    <row r="258" ht="13.5" hidden="1" customHeight="1"/>
    <row r="259" ht="13.5" hidden="1" customHeight="1"/>
    <row r="260" ht="13.5" hidden="1" customHeight="1"/>
    <row r="261" ht="13.5" hidden="1" customHeight="1"/>
    <row r="262" ht="13.5" hidden="1" customHeight="1"/>
    <row r="263" ht="13.5" hidden="1" customHeight="1"/>
    <row r="264" ht="13.5" hidden="1" customHeight="1"/>
    <row r="265" ht="13.5" hidden="1" customHeight="1"/>
    <row r="266" ht="13.5" hidden="1" customHeight="1"/>
    <row r="267" ht="13.5" hidden="1" customHeight="1"/>
    <row r="268" ht="13.5" hidden="1" customHeight="1"/>
    <row r="269" ht="13.5" hidden="1" customHeight="1"/>
    <row r="270" ht="13.5" hidden="1" customHeight="1"/>
    <row r="271" ht="13.5" hidden="1" customHeight="1"/>
    <row r="272" ht="13.5" hidden="1" customHeight="1"/>
    <row r="273" ht="13.5" hidden="1" customHeight="1"/>
    <row r="274" ht="13.5" hidden="1" customHeight="1"/>
    <row r="275" ht="13.5" hidden="1" customHeight="1"/>
    <row r="276" ht="13.5" hidden="1" customHeight="1"/>
    <row r="277" ht="13.5" hidden="1" customHeight="1"/>
    <row r="278" ht="13.5" hidden="1" customHeight="1"/>
    <row r="279" ht="13.5" hidden="1" customHeight="1"/>
    <row r="280" ht="13.5" hidden="1" customHeight="1"/>
    <row r="281" ht="13.5" hidden="1" customHeight="1"/>
    <row r="282" ht="13.5" hidden="1" customHeight="1"/>
    <row r="283" ht="13.5" hidden="1" customHeight="1"/>
    <row r="284" ht="13.5" hidden="1" customHeight="1"/>
    <row r="285" ht="13.5" hidden="1" customHeight="1"/>
    <row r="286" ht="13.5" hidden="1" customHeight="1"/>
    <row r="287" ht="13.5" hidden="1" customHeight="1"/>
    <row r="288" ht="13.5" hidden="1" customHeight="1"/>
    <row r="289" ht="13.5" hidden="1" customHeight="1"/>
    <row r="290" ht="13.5" hidden="1" customHeight="1"/>
    <row r="291" ht="13.5" hidden="1" customHeight="1"/>
    <row r="292" ht="13.5" hidden="1" customHeight="1"/>
    <row r="293" ht="13.5" hidden="1" customHeight="1"/>
    <row r="294" ht="13.5" hidden="1" customHeight="1"/>
    <row r="295" ht="13.5" hidden="1" customHeight="1"/>
    <row r="296" ht="13.5" hidden="1" customHeight="1"/>
    <row r="297" ht="13.5" hidden="1" customHeight="1"/>
    <row r="298" ht="13.5" hidden="1" customHeight="1"/>
    <row r="299" ht="13.5" hidden="1" customHeight="1"/>
    <row r="300" ht="13.5" hidden="1" customHeight="1"/>
    <row r="301" ht="13.5" hidden="1" customHeight="1"/>
    <row r="302" ht="13.5" hidden="1" customHeight="1"/>
    <row r="303" ht="13.5" hidden="1" customHeight="1"/>
    <row r="304" ht="13.5" hidden="1" customHeight="1"/>
    <row r="305" ht="13.5" hidden="1" customHeight="1"/>
    <row r="306" ht="13.5" hidden="1" customHeight="1"/>
    <row r="307" ht="13.5" hidden="1" customHeight="1"/>
    <row r="308" ht="13.5" hidden="1" customHeight="1"/>
    <row r="309" ht="13.5" hidden="1" customHeight="1"/>
    <row r="310" ht="13.5" hidden="1" customHeight="1"/>
    <row r="311" ht="13.5" hidden="1" customHeight="1"/>
    <row r="312" ht="13.5" hidden="1" customHeight="1"/>
    <row r="313" ht="13.5" hidden="1" customHeight="1"/>
    <row r="314" ht="13.5" hidden="1" customHeight="1"/>
    <row r="315" ht="13.5" hidden="1" customHeight="1"/>
    <row r="316" ht="13.5" hidden="1" customHeight="1"/>
    <row r="317" ht="13.5" hidden="1" customHeight="1"/>
    <row r="318" ht="13.5" hidden="1" customHeight="1"/>
    <row r="319" ht="13.5" hidden="1" customHeight="1"/>
    <row r="320" ht="13.5" hidden="1" customHeight="1"/>
    <row r="321" ht="13.5" hidden="1" customHeight="1"/>
    <row r="322" ht="13.5" hidden="1" customHeight="1"/>
    <row r="323" ht="13.5" hidden="1" customHeight="1"/>
    <row r="324" ht="13.5" hidden="1" customHeight="1"/>
  </sheetData>
  <phoneticPr fontId="0" type="noConversion"/>
  <pageMargins left="0.75" right="0.75" top="1" bottom="1" header="0.4921259845" footer="0.4921259845"/>
  <pageSetup paperSize="9" scale="61" orientation="landscape" horizontalDpi="4294967292" verticalDpi="4294967292" r:id="rId1"/>
  <headerFooter alignWithMargins="0">
    <oddFooter>&amp;LLe &amp;D&amp;CProfilés &amp;A du &amp;F&amp;RPage &amp;P sur &amp;N</oddFooter>
  </headerFooter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AJ327"/>
  <sheetViews>
    <sheetView topLeftCell="A7" zoomScale="115" zoomScaleNormal="115" workbookViewId="0">
      <selection activeCell="P24" sqref="P24"/>
    </sheetView>
  </sheetViews>
  <sheetFormatPr defaultColWidth="0" defaultRowHeight="14.1" customHeight="1" zeroHeight="1"/>
  <cols>
    <col min="1" max="1" width="10.85546875" style="103" customWidth="1"/>
    <col min="2" max="2" width="5.140625" style="94" customWidth="1"/>
    <col min="3" max="3" width="4.28515625" style="94" customWidth="1"/>
    <col min="4" max="4" width="4.140625" style="94" customWidth="1"/>
    <col min="5" max="6" width="5.140625" style="94" customWidth="1"/>
    <col min="7" max="7" width="5.140625" style="104" customWidth="1"/>
    <col min="8" max="9" width="5.140625" style="94" customWidth="1"/>
    <col min="10" max="10" width="4.140625" style="94" customWidth="1"/>
    <col min="11" max="11" width="4.42578125" style="94" customWidth="1"/>
    <col min="12" max="12" width="5.7109375" style="94" customWidth="1"/>
    <col min="13" max="13" width="6" style="94" customWidth="1"/>
    <col min="14" max="15" width="6.140625" style="94" customWidth="1"/>
    <col min="16" max="16" width="10.85546875" style="103" customWidth="1"/>
    <col min="17" max="17" width="4.28515625" style="94" customWidth="1"/>
    <col min="18" max="18" width="5" style="94" customWidth="1"/>
    <col min="19" max="19" width="4.85546875" style="94" customWidth="1"/>
    <col min="20" max="20" width="5.42578125" style="94" customWidth="1"/>
    <col min="21" max="21" width="4.140625" style="94" customWidth="1"/>
    <col min="22" max="22" width="5" style="94" customWidth="1"/>
    <col min="23" max="24" width="5.140625" style="94" customWidth="1"/>
    <col min="25" max="25" width="7.140625" style="94" customWidth="1"/>
    <col min="26" max="26" width="4.85546875" style="94" customWidth="1"/>
    <col min="27" max="27" width="4.140625" style="94" customWidth="1"/>
    <col min="28" max="28" width="5" style="7" customWidth="1"/>
    <col min="29" max="29" width="6" style="7" customWidth="1"/>
    <col min="30" max="30" width="4.140625" style="7" customWidth="1"/>
    <col min="31" max="35" width="4.28515625" style="7" customWidth="1"/>
    <col min="36" max="36" width="2.5703125" style="94" customWidth="1"/>
    <col min="37" max="16384" width="13.28515625" style="94" hidden="1"/>
  </cols>
  <sheetData>
    <row r="1" spans="1:36" ht="14.1" customHeight="1">
      <c r="A1" s="424"/>
      <c r="B1" s="425"/>
      <c r="C1" s="425"/>
      <c r="D1" s="425"/>
      <c r="E1" s="425"/>
      <c r="F1" s="425"/>
      <c r="G1" s="426"/>
      <c r="H1" s="425"/>
      <c r="I1" s="425"/>
      <c r="J1" s="425"/>
      <c r="K1" s="425"/>
      <c r="L1" s="425"/>
      <c r="M1" s="425"/>
      <c r="N1" s="425"/>
      <c r="O1" s="425"/>
      <c r="P1" s="424"/>
      <c r="Q1" s="425"/>
      <c r="R1" s="425"/>
      <c r="S1" s="425"/>
      <c r="T1" s="425"/>
      <c r="U1" s="425"/>
      <c r="V1" s="425"/>
      <c r="W1" s="425"/>
      <c r="X1" s="425"/>
      <c r="Y1" s="425"/>
      <c r="Z1" s="425"/>
      <c r="AA1" s="425"/>
      <c r="AB1" s="429"/>
      <c r="AC1" s="429"/>
      <c r="AD1" s="429"/>
      <c r="AE1" s="429"/>
      <c r="AF1" s="429"/>
      <c r="AG1" s="429"/>
      <c r="AH1" s="429"/>
      <c r="AI1" s="429"/>
      <c r="AJ1" s="425"/>
    </row>
    <row r="2" spans="1:36" s="62" customFormat="1" ht="20.25">
      <c r="A2" s="423" t="s">
        <v>1834</v>
      </c>
      <c r="B2" s="323"/>
      <c r="C2" s="322"/>
      <c r="D2" s="322"/>
      <c r="E2" s="321"/>
      <c r="F2" s="324"/>
      <c r="G2" s="322"/>
      <c r="H2" s="324"/>
      <c r="I2" s="322"/>
      <c r="J2" s="322"/>
      <c r="K2" s="473"/>
      <c r="L2" s="417"/>
      <c r="M2" s="417"/>
      <c r="N2" s="417"/>
      <c r="O2" s="417"/>
      <c r="P2" s="417"/>
      <c r="Q2" s="417"/>
      <c r="R2" s="417"/>
      <c r="S2" s="417"/>
      <c r="T2" s="417"/>
      <c r="U2" s="417"/>
      <c r="V2" s="417"/>
      <c r="W2" s="417"/>
      <c r="X2" s="417"/>
      <c r="Y2" s="417"/>
      <c r="Z2" s="417"/>
      <c r="AA2" s="417"/>
      <c r="AB2" s="419"/>
      <c r="AC2" s="419"/>
      <c r="AD2" s="419"/>
      <c r="AE2" s="419"/>
      <c r="AF2" s="419"/>
      <c r="AG2" s="419"/>
      <c r="AH2" s="419"/>
      <c r="AI2" s="419"/>
      <c r="AJ2" s="417"/>
    </row>
    <row r="3" spans="1:36" s="62" customFormat="1" ht="20.25">
      <c r="A3" s="423" t="s">
        <v>1835</v>
      </c>
      <c r="B3" s="323"/>
      <c r="C3" s="322"/>
      <c r="D3" s="322"/>
      <c r="E3" s="321"/>
      <c r="F3" s="324"/>
      <c r="G3" s="322"/>
      <c r="H3" s="324"/>
      <c r="I3" s="322"/>
      <c r="J3" s="322"/>
      <c r="K3" s="321"/>
      <c r="L3" s="417"/>
      <c r="M3" s="417"/>
      <c r="N3" s="417"/>
      <c r="O3" s="417"/>
      <c r="P3" s="417"/>
      <c r="Q3" s="417"/>
      <c r="R3" s="417"/>
      <c r="S3" s="417"/>
      <c r="T3" s="417"/>
      <c r="U3" s="417"/>
      <c r="V3" s="417"/>
      <c r="W3" s="417"/>
      <c r="X3" s="417"/>
      <c r="Y3" s="417"/>
      <c r="Z3" s="417"/>
      <c r="AA3" s="417"/>
      <c r="AB3" s="419"/>
      <c r="AC3" s="419"/>
      <c r="AD3" s="419"/>
      <c r="AE3" s="419"/>
      <c r="AF3" s="419"/>
      <c r="AG3" s="419"/>
      <c r="AH3" s="419"/>
      <c r="AI3" s="419"/>
      <c r="AJ3" s="417"/>
    </row>
    <row r="4" spans="1:36" s="62" customFormat="1" ht="20.25">
      <c r="A4" s="423" t="s">
        <v>1832</v>
      </c>
      <c r="B4" s="417"/>
      <c r="C4" s="417"/>
      <c r="D4" s="417"/>
      <c r="E4" s="417"/>
      <c r="F4" s="417"/>
      <c r="G4" s="422"/>
      <c r="H4" s="417"/>
      <c r="I4" s="417"/>
      <c r="J4" s="417"/>
      <c r="K4" s="417"/>
      <c r="L4" s="417"/>
      <c r="M4" s="417"/>
      <c r="N4" s="417"/>
      <c r="O4" s="417"/>
      <c r="P4" s="417"/>
      <c r="Q4" s="417"/>
      <c r="R4" s="417"/>
      <c r="S4" s="417"/>
      <c r="T4" s="417"/>
      <c r="U4" s="417"/>
      <c r="V4" s="417"/>
      <c r="W4" s="417"/>
      <c r="X4" s="417"/>
      <c r="Y4" s="417"/>
      <c r="Z4" s="417"/>
      <c r="AA4" s="417"/>
      <c r="AB4" s="419"/>
      <c r="AC4" s="419"/>
      <c r="AD4" s="419"/>
      <c r="AE4" s="419"/>
      <c r="AF4" s="419"/>
      <c r="AG4" s="419"/>
      <c r="AH4" s="419"/>
      <c r="AI4" s="419"/>
      <c r="AJ4" s="417"/>
    </row>
    <row r="5" spans="1:36" s="62" customFormat="1" ht="11.25">
      <c r="A5" s="417" t="s">
        <v>1836</v>
      </c>
      <c r="B5" s="417"/>
      <c r="C5" s="417"/>
      <c r="D5" s="417"/>
      <c r="E5" s="417"/>
      <c r="F5" s="417"/>
      <c r="G5" s="422"/>
      <c r="H5" s="417"/>
      <c r="I5" s="417"/>
      <c r="J5" s="417"/>
      <c r="K5" s="417"/>
      <c r="L5" s="417"/>
      <c r="M5" s="417"/>
      <c r="N5" s="417"/>
      <c r="O5" s="417"/>
      <c r="P5" s="417"/>
      <c r="Q5" s="417"/>
      <c r="R5" s="417"/>
      <c r="S5" s="417"/>
      <c r="T5" s="417"/>
      <c r="U5" s="417"/>
      <c r="V5" s="417"/>
      <c r="W5" s="417"/>
      <c r="X5" s="417"/>
      <c r="Y5" s="417"/>
      <c r="Z5" s="417"/>
      <c r="AA5" s="417"/>
      <c r="AB5" s="419"/>
      <c r="AC5" s="419"/>
      <c r="AD5" s="419"/>
      <c r="AE5" s="419"/>
      <c r="AF5" s="419"/>
      <c r="AG5" s="419"/>
      <c r="AH5" s="419"/>
      <c r="AI5" s="419"/>
      <c r="AJ5" s="417"/>
    </row>
    <row r="6" spans="1:36" s="62" customFormat="1" ht="11.25">
      <c r="A6" s="417"/>
      <c r="B6" s="417"/>
      <c r="C6" s="417"/>
      <c r="D6" s="417"/>
      <c r="E6" s="417"/>
      <c r="F6" s="417"/>
      <c r="G6" s="422"/>
      <c r="H6" s="417"/>
      <c r="I6" s="417"/>
      <c r="J6" s="417"/>
      <c r="K6" s="417"/>
      <c r="L6" s="417"/>
      <c r="M6" s="417"/>
      <c r="N6" s="417"/>
      <c r="O6" s="417"/>
      <c r="P6" s="417"/>
      <c r="Q6" s="417"/>
      <c r="R6" s="417"/>
      <c r="S6" s="417"/>
      <c r="T6" s="417"/>
      <c r="U6" s="417"/>
      <c r="V6" s="417"/>
      <c r="W6" s="417"/>
      <c r="X6" s="417"/>
      <c r="Y6" s="417"/>
      <c r="Z6" s="417"/>
      <c r="AA6" s="417"/>
      <c r="AB6" s="419"/>
      <c r="AC6" s="419"/>
      <c r="AD6" s="419"/>
      <c r="AE6" s="419"/>
      <c r="AF6" s="419"/>
      <c r="AG6" s="419"/>
      <c r="AH6" s="419"/>
      <c r="AI6" s="419"/>
      <c r="AJ6" s="417"/>
    </row>
    <row r="7" spans="1:36" s="62" customFormat="1" ht="11.25">
      <c r="A7" s="417"/>
      <c r="B7" s="417"/>
      <c r="C7" s="417"/>
      <c r="D7" s="417"/>
      <c r="E7" s="417"/>
      <c r="F7" s="417"/>
      <c r="G7" s="422"/>
      <c r="H7" s="417"/>
      <c r="I7" s="417"/>
      <c r="J7" s="417"/>
      <c r="K7" s="417"/>
      <c r="L7" s="417"/>
      <c r="M7" s="417"/>
      <c r="N7" s="417"/>
      <c r="O7" s="417"/>
      <c r="P7" s="417"/>
      <c r="Q7" s="417"/>
      <c r="R7" s="417"/>
      <c r="S7" s="417"/>
      <c r="T7" s="417"/>
      <c r="U7" s="417"/>
      <c r="V7" s="417"/>
      <c r="W7" s="417"/>
      <c r="X7" s="417"/>
      <c r="Y7" s="417"/>
      <c r="Z7" s="417"/>
      <c r="AA7" s="417"/>
      <c r="AB7" s="419"/>
      <c r="AC7" s="419"/>
      <c r="AD7" s="419"/>
      <c r="AE7" s="419"/>
      <c r="AF7" s="419"/>
      <c r="AG7" s="419"/>
      <c r="AH7" s="419"/>
      <c r="AI7" s="419"/>
      <c r="AJ7" s="417"/>
    </row>
    <row r="8" spans="1:36" s="62" customFormat="1" ht="11.25">
      <c r="A8" s="417"/>
      <c r="B8" s="417"/>
      <c r="C8" s="417"/>
      <c r="D8" s="417"/>
      <c r="E8" s="417"/>
      <c r="F8" s="417"/>
      <c r="G8" s="422"/>
      <c r="H8" s="417"/>
      <c r="I8" s="417"/>
      <c r="J8" s="417"/>
      <c r="K8" s="417"/>
      <c r="L8" s="417"/>
      <c r="M8" s="417"/>
      <c r="N8" s="417"/>
      <c r="O8" s="417"/>
      <c r="P8" s="417"/>
      <c r="Q8" s="417"/>
      <c r="R8" s="417"/>
      <c r="S8" s="417"/>
      <c r="T8" s="417"/>
      <c r="U8" s="417"/>
      <c r="V8" s="417"/>
      <c r="W8" s="417"/>
      <c r="X8" s="417"/>
      <c r="Y8" s="417"/>
      <c r="Z8" s="417"/>
      <c r="AA8" s="417"/>
      <c r="AB8" s="419"/>
      <c r="AC8" s="419"/>
      <c r="AD8" s="419"/>
      <c r="AE8" s="419"/>
      <c r="AF8" s="419"/>
      <c r="AG8" s="419"/>
      <c r="AH8" s="419"/>
      <c r="AI8" s="419"/>
      <c r="AJ8" s="417"/>
    </row>
    <row r="9" spans="1:36" s="62" customFormat="1" ht="11.25">
      <c r="A9" s="417"/>
      <c r="B9" s="417"/>
      <c r="C9" s="417"/>
      <c r="D9" s="417"/>
      <c r="E9" s="417"/>
      <c r="F9" s="417"/>
      <c r="G9" s="422"/>
      <c r="H9" s="417"/>
      <c r="I9" s="417"/>
      <c r="J9" s="417"/>
      <c r="K9" s="417"/>
      <c r="L9" s="417"/>
      <c r="M9" s="417"/>
      <c r="N9" s="417"/>
      <c r="O9" s="417"/>
      <c r="P9" s="417"/>
      <c r="Q9" s="417"/>
      <c r="R9" s="417"/>
      <c r="S9" s="417"/>
      <c r="T9" s="417"/>
      <c r="U9" s="417"/>
      <c r="V9" s="417"/>
      <c r="W9" s="417"/>
      <c r="X9" s="417"/>
      <c r="Y9" s="417"/>
      <c r="Z9" s="417"/>
      <c r="AA9" s="417"/>
      <c r="AB9" s="419"/>
      <c r="AC9" s="419"/>
      <c r="AD9" s="419"/>
      <c r="AE9" s="419"/>
      <c r="AF9" s="419"/>
      <c r="AG9" s="419"/>
      <c r="AH9" s="419"/>
      <c r="AI9" s="419"/>
      <c r="AJ9" s="417"/>
    </row>
    <row r="10" spans="1:36" s="62" customFormat="1" ht="14.1" customHeight="1" thickBot="1">
      <c r="A10" s="423"/>
      <c r="B10" s="417"/>
      <c r="C10" s="417"/>
      <c r="D10" s="417"/>
      <c r="E10" s="417"/>
      <c r="F10" s="417"/>
      <c r="G10" s="422"/>
      <c r="H10" s="417"/>
      <c r="I10" s="417"/>
      <c r="J10" s="417"/>
      <c r="K10" s="417"/>
      <c r="L10" s="417"/>
      <c r="M10" s="417"/>
      <c r="N10" s="417"/>
      <c r="O10" s="417"/>
      <c r="P10" s="417"/>
      <c r="Q10" s="417"/>
      <c r="R10" s="417"/>
      <c r="S10" s="417"/>
      <c r="T10" s="417"/>
      <c r="U10" s="417"/>
      <c r="V10" s="417"/>
      <c r="W10" s="417"/>
      <c r="X10" s="417"/>
      <c r="Y10" s="417"/>
      <c r="Z10" s="417"/>
      <c r="AA10" s="417"/>
      <c r="AB10" s="419"/>
      <c r="AC10" s="419"/>
      <c r="AD10" s="419"/>
      <c r="AE10" s="419"/>
      <c r="AF10" s="419"/>
      <c r="AG10" s="419"/>
      <c r="AH10" s="419"/>
      <c r="AI10" s="419"/>
      <c r="AJ10" s="417"/>
    </row>
    <row r="11" spans="1:36" s="62" customFormat="1" ht="14.1" customHeight="1" thickTop="1" thickBot="1">
      <c r="A11" s="327"/>
      <c r="B11" s="328"/>
      <c r="C11" s="327"/>
      <c r="D11" s="363"/>
      <c r="E11" s="363"/>
      <c r="F11" s="363"/>
      <c r="G11" s="363"/>
      <c r="H11" s="364"/>
      <c r="I11" s="366" t="s">
        <v>1799</v>
      </c>
      <c r="J11" s="327"/>
      <c r="K11" s="363"/>
      <c r="L11" s="363"/>
      <c r="M11" s="364"/>
      <c r="N11" s="327"/>
      <c r="O11" s="364"/>
      <c r="P11" s="327"/>
      <c r="Q11" s="364"/>
      <c r="R11" s="370"/>
      <c r="S11" s="362"/>
      <c r="T11" s="362"/>
      <c r="U11" s="362"/>
      <c r="V11" s="362"/>
      <c r="W11" s="362" t="s">
        <v>1804</v>
      </c>
      <c r="X11" s="362"/>
      <c r="Y11" s="362"/>
      <c r="Z11" s="362"/>
      <c r="AA11" s="362"/>
      <c r="AB11" s="371"/>
      <c r="AC11" s="371"/>
      <c r="AD11" s="371"/>
      <c r="AE11" s="372"/>
      <c r="AF11" s="374"/>
      <c r="AG11" s="375" t="s">
        <v>1806</v>
      </c>
      <c r="AH11" s="375"/>
      <c r="AI11" s="376"/>
    </row>
    <row r="12" spans="1:36" s="62" customFormat="1" ht="14.1" customHeight="1" thickTop="1" thickBot="1">
      <c r="A12" s="329" t="s">
        <v>1799</v>
      </c>
      <c r="B12" s="330"/>
      <c r="C12" s="329"/>
      <c r="D12" s="360"/>
      <c r="E12" s="360" t="s">
        <v>1800</v>
      </c>
      <c r="F12" s="360"/>
      <c r="G12" s="360"/>
      <c r="H12" s="365"/>
      <c r="I12" s="367" t="s">
        <v>1801</v>
      </c>
      <c r="J12" s="329"/>
      <c r="K12" s="360" t="s">
        <v>1802</v>
      </c>
      <c r="L12" s="360"/>
      <c r="M12" s="365"/>
      <c r="N12" s="329" t="s">
        <v>1803</v>
      </c>
      <c r="O12" s="365"/>
      <c r="P12" s="329" t="s">
        <v>1799</v>
      </c>
      <c r="Q12" s="365"/>
      <c r="R12" s="370"/>
      <c r="S12" s="362" t="s">
        <v>1859</v>
      </c>
      <c r="T12" s="362"/>
      <c r="U12" s="362"/>
      <c r="V12" s="373"/>
      <c r="W12" s="370"/>
      <c r="X12" s="362" t="s">
        <v>1860</v>
      </c>
      <c r="Y12" s="362"/>
      <c r="Z12" s="373"/>
      <c r="AA12" s="370"/>
      <c r="AB12" s="362"/>
      <c r="AC12" s="362"/>
      <c r="AD12" s="362"/>
      <c r="AE12" s="373"/>
      <c r="AF12" s="377"/>
      <c r="AG12" s="378" t="s">
        <v>1807</v>
      </c>
      <c r="AH12" s="378"/>
      <c r="AI12" s="379"/>
    </row>
    <row r="13" spans="1:36" s="62" customFormat="1" ht="14.1" customHeight="1" thickTop="1">
      <c r="A13" s="153"/>
      <c r="B13" s="171" t="s">
        <v>572</v>
      </c>
      <c r="C13" s="18" t="s">
        <v>573</v>
      </c>
      <c r="D13" s="18" t="s">
        <v>574</v>
      </c>
      <c r="E13" s="18" t="s">
        <v>575</v>
      </c>
      <c r="F13" s="18" t="s">
        <v>576</v>
      </c>
      <c r="G13" s="18" t="s">
        <v>919</v>
      </c>
      <c r="H13" s="67" t="s">
        <v>920</v>
      </c>
      <c r="I13" s="67" t="s">
        <v>578</v>
      </c>
      <c r="J13" s="18" t="s">
        <v>580</v>
      </c>
      <c r="K13" s="18" t="s">
        <v>581</v>
      </c>
      <c r="L13" s="18" t="s">
        <v>1472</v>
      </c>
      <c r="M13" s="67" t="s">
        <v>1473</v>
      </c>
      <c r="N13" s="68" t="s">
        <v>584</v>
      </c>
      <c r="O13" s="18" t="s">
        <v>585</v>
      </c>
      <c r="P13" s="69"/>
      <c r="Q13" s="171" t="s">
        <v>572</v>
      </c>
      <c r="R13" s="18" t="s">
        <v>586</v>
      </c>
      <c r="S13" s="18" t="s">
        <v>587</v>
      </c>
      <c r="T13" s="18" t="s">
        <v>588</v>
      </c>
      <c r="U13" s="18" t="s">
        <v>589</v>
      </c>
      <c r="V13" s="67" t="s">
        <v>590</v>
      </c>
      <c r="W13" s="18" t="s">
        <v>591</v>
      </c>
      <c r="X13" s="18" t="s">
        <v>592</v>
      </c>
      <c r="Y13" s="18" t="s">
        <v>593</v>
      </c>
      <c r="Z13" s="68" t="s">
        <v>594</v>
      </c>
      <c r="AA13" s="18" t="s">
        <v>595</v>
      </c>
      <c r="AB13" s="13" t="s">
        <v>596</v>
      </c>
      <c r="AC13" s="13" t="s">
        <v>1474</v>
      </c>
      <c r="AD13" s="13" t="s">
        <v>1475</v>
      </c>
      <c r="AE13" s="16" t="s">
        <v>1476</v>
      </c>
      <c r="AF13" s="375"/>
      <c r="AG13" s="376"/>
      <c r="AH13" s="374"/>
      <c r="AI13" s="376"/>
    </row>
    <row r="14" spans="1:36" s="62" customFormat="1" ht="14.1" customHeight="1" thickBot="1">
      <c r="A14" s="153"/>
      <c r="B14" s="171" t="s">
        <v>599</v>
      </c>
      <c r="C14" s="18" t="s">
        <v>600</v>
      </c>
      <c r="D14" s="18" t="s">
        <v>601</v>
      </c>
      <c r="E14" s="18" t="s">
        <v>601</v>
      </c>
      <c r="F14" s="18" t="s">
        <v>601</v>
      </c>
      <c r="G14" s="18" t="s">
        <v>601</v>
      </c>
      <c r="H14" s="67" t="s">
        <v>601</v>
      </c>
      <c r="I14" s="67" t="s">
        <v>921</v>
      </c>
      <c r="J14" s="18" t="s">
        <v>601</v>
      </c>
      <c r="K14" s="18"/>
      <c r="L14" s="18" t="s">
        <v>601</v>
      </c>
      <c r="M14" s="67" t="s">
        <v>601</v>
      </c>
      <c r="N14" s="68" t="s">
        <v>1477</v>
      </c>
      <c r="O14" s="18" t="s">
        <v>1478</v>
      </c>
      <c r="P14" s="69"/>
      <c r="Q14" s="171" t="s">
        <v>599</v>
      </c>
      <c r="R14" s="18" t="s">
        <v>1490</v>
      </c>
      <c r="S14" s="18" t="s">
        <v>606</v>
      </c>
      <c r="T14" s="18" t="s">
        <v>606</v>
      </c>
      <c r="U14" s="18" t="s">
        <v>607</v>
      </c>
      <c r="V14" s="18" t="s">
        <v>602</v>
      </c>
      <c r="W14" s="18" t="s">
        <v>1490</v>
      </c>
      <c r="X14" s="18" t="s">
        <v>606</v>
      </c>
      <c r="Y14" s="18" t="s">
        <v>606</v>
      </c>
      <c r="Z14" s="68" t="s">
        <v>607</v>
      </c>
      <c r="AA14" s="18" t="s">
        <v>601</v>
      </c>
      <c r="AB14" s="13" t="s">
        <v>927</v>
      </c>
      <c r="AC14" s="13" t="s">
        <v>928</v>
      </c>
      <c r="AD14" s="13" t="s">
        <v>607</v>
      </c>
      <c r="AE14" s="16" t="s">
        <v>607</v>
      </c>
      <c r="AF14" s="378" t="s">
        <v>1808</v>
      </c>
      <c r="AG14" s="379"/>
      <c r="AH14" s="378" t="s">
        <v>1809</v>
      </c>
      <c r="AI14" s="379"/>
    </row>
    <row r="15" spans="1:36" s="62" customFormat="1" ht="14.1" customHeight="1" thickTop="1" thickBot="1">
      <c r="A15" s="71"/>
      <c r="B15" s="72"/>
      <c r="C15" s="73"/>
      <c r="D15" s="73"/>
      <c r="E15" s="73"/>
      <c r="F15" s="73"/>
      <c r="G15" s="73"/>
      <c r="H15" s="72"/>
      <c r="I15" s="72"/>
      <c r="J15" s="73"/>
      <c r="K15" s="73"/>
      <c r="L15" s="73"/>
      <c r="M15" s="72"/>
      <c r="N15" s="73"/>
      <c r="O15" s="73"/>
      <c r="P15" s="71"/>
      <c r="Q15" s="72"/>
      <c r="R15" s="73"/>
      <c r="S15" s="73"/>
      <c r="T15" s="73"/>
      <c r="U15" s="73"/>
      <c r="V15" s="72"/>
      <c r="W15" s="73"/>
      <c r="X15" s="73"/>
      <c r="Y15" s="73"/>
      <c r="Z15" s="73"/>
      <c r="AA15" s="73"/>
      <c r="AB15" s="75"/>
      <c r="AC15" s="75"/>
      <c r="AD15" s="75"/>
      <c r="AE15" s="224"/>
      <c r="AF15" s="107">
        <v>235</v>
      </c>
      <c r="AG15" s="107">
        <v>355</v>
      </c>
      <c r="AH15" s="107">
        <v>235</v>
      </c>
      <c r="AI15" s="108">
        <v>355</v>
      </c>
    </row>
    <row r="16" spans="1:36" s="62" customFormat="1" ht="14.1" customHeight="1" thickTop="1">
      <c r="A16" s="79"/>
      <c r="B16" s="80"/>
      <c r="C16" s="80"/>
      <c r="D16" s="80"/>
      <c r="E16" s="80"/>
      <c r="F16" s="80"/>
      <c r="G16" s="80"/>
      <c r="H16" s="80"/>
      <c r="I16" s="80"/>
      <c r="J16" s="80"/>
      <c r="K16" s="80"/>
      <c r="L16" s="80"/>
      <c r="M16" s="80"/>
      <c r="N16" s="80"/>
      <c r="O16" s="80"/>
      <c r="P16" s="79"/>
      <c r="Q16" s="171" t="s">
        <v>31</v>
      </c>
      <c r="R16" s="18" t="s">
        <v>32</v>
      </c>
      <c r="S16" s="18" t="s">
        <v>35</v>
      </c>
      <c r="T16" s="18" t="s">
        <v>34</v>
      </c>
      <c r="U16" s="18" t="s">
        <v>33</v>
      </c>
      <c r="V16" s="67" t="s">
        <v>36</v>
      </c>
      <c r="W16" s="18" t="s">
        <v>37</v>
      </c>
      <c r="X16" s="18" t="s">
        <v>38</v>
      </c>
      <c r="Y16" s="18" t="s">
        <v>39</v>
      </c>
      <c r="Z16" s="68" t="s">
        <v>40</v>
      </c>
      <c r="AA16" s="18" t="s">
        <v>41</v>
      </c>
      <c r="AB16" s="13" t="s">
        <v>42</v>
      </c>
      <c r="AC16" s="13" t="s">
        <v>43</v>
      </c>
      <c r="AD16" s="13" t="s">
        <v>44</v>
      </c>
      <c r="AE16" s="16" t="s">
        <v>45</v>
      </c>
      <c r="AF16" s="46"/>
      <c r="AG16" s="46"/>
      <c r="AH16" s="46"/>
      <c r="AI16" s="46"/>
    </row>
    <row r="17" spans="1:35" s="455" customFormat="1" ht="14.1" customHeight="1">
      <c r="A17" s="387" t="s">
        <v>1491</v>
      </c>
      <c r="B17" s="391">
        <v>10.6</v>
      </c>
      <c r="C17" s="389">
        <v>100</v>
      </c>
      <c r="D17" s="389">
        <v>50</v>
      </c>
      <c r="E17" s="389">
        <v>6</v>
      </c>
      <c r="F17" s="389">
        <v>8.5</v>
      </c>
      <c r="G17" s="389">
        <v>8.5</v>
      </c>
      <c r="H17" s="391">
        <v>4.5</v>
      </c>
      <c r="I17" s="391">
        <v>13.5</v>
      </c>
      <c r="J17" s="389">
        <v>64</v>
      </c>
      <c r="K17" s="389" t="s">
        <v>616</v>
      </c>
      <c r="L17" s="393" t="s">
        <v>616</v>
      </c>
      <c r="M17" s="394" t="s">
        <v>616</v>
      </c>
      <c r="N17" s="389">
        <v>0.372</v>
      </c>
      <c r="O17" s="389">
        <v>35.1</v>
      </c>
      <c r="P17" s="387" t="s">
        <v>1491</v>
      </c>
      <c r="Q17" s="391">
        <v>10.6</v>
      </c>
      <c r="R17" s="389">
        <v>206</v>
      </c>
      <c r="S17" s="389">
        <v>41.2</v>
      </c>
      <c r="T17" s="389">
        <v>49</v>
      </c>
      <c r="U17" s="389">
        <v>3.91</v>
      </c>
      <c r="V17" s="391">
        <v>6.46</v>
      </c>
      <c r="W17" s="389">
        <v>29.3</v>
      </c>
      <c r="X17" s="389">
        <v>8.49</v>
      </c>
      <c r="Y17" s="389">
        <v>16.2</v>
      </c>
      <c r="Z17" s="389">
        <v>1.47</v>
      </c>
      <c r="AA17" s="389">
        <v>20.3</v>
      </c>
      <c r="AB17" s="398">
        <v>2.81</v>
      </c>
      <c r="AC17" s="398">
        <v>0.41</v>
      </c>
      <c r="AD17" s="398">
        <v>1.55</v>
      </c>
      <c r="AE17" s="398">
        <v>2.93</v>
      </c>
      <c r="AF17" s="453">
        <v>1</v>
      </c>
      <c r="AG17" s="398">
        <v>1</v>
      </c>
      <c r="AH17" s="493">
        <v>1</v>
      </c>
      <c r="AI17" s="400">
        <v>1</v>
      </c>
    </row>
    <row r="18" spans="1:35" s="62" customFormat="1" ht="14.1" customHeight="1">
      <c r="A18" s="81" t="s">
        <v>1492</v>
      </c>
      <c r="B18" s="90">
        <v>13.4</v>
      </c>
      <c r="C18" s="83">
        <v>120</v>
      </c>
      <c r="D18" s="83">
        <v>55</v>
      </c>
      <c r="E18" s="83">
        <v>7</v>
      </c>
      <c r="F18" s="83">
        <v>9</v>
      </c>
      <c r="G18" s="83">
        <v>9</v>
      </c>
      <c r="H18" s="90">
        <v>4.5</v>
      </c>
      <c r="I18" s="82">
        <v>17</v>
      </c>
      <c r="J18" s="83">
        <v>82</v>
      </c>
      <c r="K18" s="83" t="s">
        <v>616</v>
      </c>
      <c r="L18" s="86" t="s">
        <v>616</v>
      </c>
      <c r="M18" s="87" t="s">
        <v>616</v>
      </c>
      <c r="N18" s="83">
        <v>0.434</v>
      </c>
      <c r="O18" s="83">
        <v>32.520000000000003</v>
      </c>
      <c r="P18" s="81" t="s">
        <v>1492</v>
      </c>
      <c r="Q18" s="90">
        <v>13.4</v>
      </c>
      <c r="R18" s="83">
        <v>364</v>
      </c>
      <c r="S18" s="83">
        <v>60.7</v>
      </c>
      <c r="T18" s="83">
        <v>72.599999999999994</v>
      </c>
      <c r="U18" s="83">
        <v>4.62</v>
      </c>
      <c r="V18" s="90">
        <v>8.8000000000000007</v>
      </c>
      <c r="W18" s="83">
        <v>43.2</v>
      </c>
      <c r="X18" s="83">
        <v>11.1</v>
      </c>
      <c r="Y18" s="83">
        <v>21.2</v>
      </c>
      <c r="Z18" s="83">
        <v>1.59</v>
      </c>
      <c r="AA18" s="83">
        <v>22.2</v>
      </c>
      <c r="AB18" s="21">
        <v>4.1500000000000004</v>
      </c>
      <c r="AC18" s="21">
        <v>0.9</v>
      </c>
      <c r="AD18" s="21">
        <v>1.6</v>
      </c>
      <c r="AE18" s="21">
        <v>3.03</v>
      </c>
      <c r="AF18" s="92">
        <v>1</v>
      </c>
      <c r="AG18" s="21">
        <v>1</v>
      </c>
      <c r="AH18" s="225">
        <v>1</v>
      </c>
      <c r="AI18" s="42">
        <v>1</v>
      </c>
    </row>
    <row r="19" spans="1:35" s="430" customFormat="1" ht="13.5" customHeight="1">
      <c r="A19" s="387" t="s">
        <v>1493</v>
      </c>
      <c r="B19" s="388">
        <v>16</v>
      </c>
      <c r="C19" s="389">
        <v>140</v>
      </c>
      <c r="D19" s="389">
        <v>60</v>
      </c>
      <c r="E19" s="389">
        <v>7</v>
      </c>
      <c r="F19" s="389">
        <v>10</v>
      </c>
      <c r="G19" s="389">
        <v>10</v>
      </c>
      <c r="H19" s="391">
        <v>5</v>
      </c>
      <c r="I19" s="391">
        <v>20.399999999999999</v>
      </c>
      <c r="J19" s="389">
        <v>98</v>
      </c>
      <c r="K19" s="389" t="s">
        <v>632</v>
      </c>
      <c r="L19" s="393">
        <v>33</v>
      </c>
      <c r="M19" s="394">
        <v>37</v>
      </c>
      <c r="N19" s="389">
        <v>0.48899999999999999</v>
      </c>
      <c r="O19" s="389">
        <v>30.54</v>
      </c>
      <c r="P19" s="387" t="s">
        <v>1493</v>
      </c>
      <c r="Q19" s="388">
        <v>16</v>
      </c>
      <c r="R19" s="389">
        <v>605</v>
      </c>
      <c r="S19" s="389">
        <v>86.4</v>
      </c>
      <c r="T19" s="389">
        <v>103</v>
      </c>
      <c r="U19" s="389">
        <v>5.45</v>
      </c>
      <c r="V19" s="391">
        <v>10.41</v>
      </c>
      <c r="W19" s="389">
        <v>62.7</v>
      </c>
      <c r="X19" s="389">
        <v>14.8</v>
      </c>
      <c r="Y19" s="389">
        <v>28.3</v>
      </c>
      <c r="Z19" s="389">
        <v>1.75</v>
      </c>
      <c r="AA19" s="389">
        <v>23.9</v>
      </c>
      <c r="AB19" s="398">
        <v>5.68</v>
      </c>
      <c r="AC19" s="398">
        <v>1.8</v>
      </c>
      <c r="AD19" s="398">
        <v>1.75</v>
      </c>
      <c r="AE19" s="398">
        <v>3.37</v>
      </c>
      <c r="AF19" s="453">
        <v>1</v>
      </c>
      <c r="AG19" s="398">
        <v>1</v>
      </c>
      <c r="AH19" s="493">
        <v>1</v>
      </c>
      <c r="AI19" s="400">
        <v>1</v>
      </c>
    </row>
    <row r="20" spans="1:35" s="99" customFormat="1" ht="13.5" customHeight="1">
      <c r="A20" s="81" t="s">
        <v>1494</v>
      </c>
      <c r="B20" s="90">
        <v>18.8</v>
      </c>
      <c r="C20" s="83">
        <v>160</v>
      </c>
      <c r="D20" s="83">
        <v>65</v>
      </c>
      <c r="E20" s="83">
        <v>7.5</v>
      </c>
      <c r="F20" s="83">
        <v>10.5</v>
      </c>
      <c r="G20" s="83">
        <v>10.5</v>
      </c>
      <c r="H20" s="90">
        <v>5.5</v>
      </c>
      <c r="I20" s="82">
        <v>24</v>
      </c>
      <c r="J20" s="83">
        <v>115</v>
      </c>
      <c r="K20" s="83" t="s">
        <v>632</v>
      </c>
      <c r="L20" s="86">
        <v>34</v>
      </c>
      <c r="M20" s="87">
        <v>42</v>
      </c>
      <c r="N20" s="83">
        <v>0.54600000000000004</v>
      </c>
      <c r="O20" s="83">
        <v>28.98</v>
      </c>
      <c r="P20" s="81" t="s">
        <v>1494</v>
      </c>
      <c r="Q20" s="90">
        <v>18.8</v>
      </c>
      <c r="R20" s="83">
        <v>925</v>
      </c>
      <c r="S20" s="83">
        <v>116</v>
      </c>
      <c r="T20" s="83">
        <v>138</v>
      </c>
      <c r="U20" s="83">
        <v>6.21</v>
      </c>
      <c r="V20" s="90">
        <v>12.6</v>
      </c>
      <c r="W20" s="83">
        <v>85.3</v>
      </c>
      <c r="X20" s="83">
        <v>18.3</v>
      </c>
      <c r="Y20" s="83">
        <v>35.200000000000003</v>
      </c>
      <c r="Z20" s="83">
        <v>1.89</v>
      </c>
      <c r="AA20" s="83">
        <v>25.3</v>
      </c>
      <c r="AB20" s="21">
        <v>7.39</v>
      </c>
      <c r="AC20" s="21">
        <v>3.26</v>
      </c>
      <c r="AD20" s="21">
        <v>1.84</v>
      </c>
      <c r="AE20" s="21">
        <v>3.56</v>
      </c>
      <c r="AF20" s="92">
        <v>1</v>
      </c>
      <c r="AG20" s="21">
        <v>1</v>
      </c>
      <c r="AH20" s="225">
        <v>1</v>
      </c>
      <c r="AI20" s="42">
        <v>1</v>
      </c>
    </row>
    <row r="21" spans="1:35" s="401" customFormat="1" ht="18" customHeight="1">
      <c r="A21" s="387" t="s">
        <v>1495</v>
      </c>
      <c r="B21" s="388">
        <v>22</v>
      </c>
      <c r="C21" s="389">
        <v>180</v>
      </c>
      <c r="D21" s="389">
        <v>70</v>
      </c>
      <c r="E21" s="389">
        <v>8</v>
      </c>
      <c r="F21" s="389">
        <v>11</v>
      </c>
      <c r="G21" s="389">
        <v>11</v>
      </c>
      <c r="H21" s="391">
        <v>5.5</v>
      </c>
      <c r="I21" s="388">
        <v>28</v>
      </c>
      <c r="J21" s="389">
        <v>133</v>
      </c>
      <c r="K21" s="389" t="s">
        <v>639</v>
      </c>
      <c r="L21" s="393">
        <v>38</v>
      </c>
      <c r="M21" s="394">
        <v>41</v>
      </c>
      <c r="N21" s="389">
        <v>0.61099999999999999</v>
      </c>
      <c r="O21" s="389">
        <v>27.8</v>
      </c>
      <c r="P21" s="387" t="s">
        <v>1495</v>
      </c>
      <c r="Q21" s="388">
        <v>22</v>
      </c>
      <c r="R21" s="389">
        <v>1350</v>
      </c>
      <c r="S21" s="389">
        <v>150</v>
      </c>
      <c r="T21" s="389">
        <v>179</v>
      </c>
      <c r="U21" s="389">
        <v>6.95</v>
      </c>
      <c r="V21" s="391">
        <v>15.09</v>
      </c>
      <c r="W21" s="389">
        <v>114</v>
      </c>
      <c r="X21" s="389">
        <v>22.4</v>
      </c>
      <c r="Y21" s="389">
        <v>42.9</v>
      </c>
      <c r="Z21" s="389">
        <v>2.02</v>
      </c>
      <c r="AA21" s="389">
        <v>26.7</v>
      </c>
      <c r="AB21" s="398">
        <v>9.5500000000000007</v>
      </c>
      <c r="AC21" s="398">
        <v>5.57</v>
      </c>
      <c r="AD21" s="398">
        <v>1.92</v>
      </c>
      <c r="AE21" s="398">
        <v>3.75</v>
      </c>
      <c r="AF21" s="453">
        <v>1</v>
      </c>
      <c r="AG21" s="398">
        <v>1</v>
      </c>
      <c r="AH21" s="493">
        <v>1</v>
      </c>
      <c r="AI21" s="400">
        <v>1</v>
      </c>
    </row>
    <row r="22" spans="1:35" s="153" customFormat="1" ht="13.5" customHeight="1">
      <c r="A22" s="81"/>
      <c r="B22" s="90"/>
      <c r="C22" s="83"/>
      <c r="D22" s="83"/>
      <c r="E22" s="83"/>
      <c r="F22" s="83"/>
      <c r="G22" s="83"/>
      <c r="H22" s="90"/>
      <c r="I22" s="90"/>
      <c r="J22" s="83"/>
      <c r="K22" s="83"/>
      <c r="L22" s="86"/>
      <c r="M22" s="87"/>
      <c r="N22" s="83"/>
      <c r="O22" s="83"/>
      <c r="P22" s="81"/>
      <c r="Q22" s="90"/>
      <c r="R22" s="83"/>
      <c r="S22" s="83"/>
      <c r="T22" s="83"/>
      <c r="U22" s="83"/>
      <c r="V22" s="90"/>
      <c r="W22" s="83"/>
      <c r="X22" s="83"/>
      <c r="Y22" s="83"/>
      <c r="Z22" s="83"/>
      <c r="AA22" s="83"/>
      <c r="AB22" s="21"/>
      <c r="AC22" s="21"/>
      <c r="AD22" s="21"/>
      <c r="AE22" s="21"/>
      <c r="AF22" s="92"/>
      <c r="AG22" s="21"/>
      <c r="AH22" s="225"/>
      <c r="AI22" s="42"/>
    </row>
    <row r="23" spans="1:35" s="430" customFormat="1" ht="13.5" customHeight="1">
      <c r="A23" s="387" t="s">
        <v>1496</v>
      </c>
      <c r="B23" s="391">
        <v>25.3</v>
      </c>
      <c r="C23" s="389">
        <v>200</v>
      </c>
      <c r="D23" s="389">
        <v>75</v>
      </c>
      <c r="E23" s="389">
        <v>8.5</v>
      </c>
      <c r="F23" s="389">
        <v>11.5</v>
      </c>
      <c r="G23" s="389">
        <v>11.5</v>
      </c>
      <c r="H23" s="391">
        <v>6</v>
      </c>
      <c r="I23" s="391">
        <v>32.200000000000003</v>
      </c>
      <c r="J23" s="389">
        <v>151</v>
      </c>
      <c r="K23" s="389" t="s">
        <v>639</v>
      </c>
      <c r="L23" s="393">
        <v>39</v>
      </c>
      <c r="M23" s="394">
        <v>46</v>
      </c>
      <c r="N23" s="389">
        <v>0.66100000000000003</v>
      </c>
      <c r="O23" s="389">
        <v>26.15</v>
      </c>
      <c r="P23" s="387" t="s">
        <v>1496</v>
      </c>
      <c r="Q23" s="391">
        <v>25.3</v>
      </c>
      <c r="R23" s="389">
        <v>1910</v>
      </c>
      <c r="S23" s="389">
        <v>191</v>
      </c>
      <c r="T23" s="389">
        <v>228</v>
      </c>
      <c r="U23" s="389">
        <v>7.7</v>
      </c>
      <c r="V23" s="391">
        <v>17.71</v>
      </c>
      <c r="W23" s="389">
        <v>148</v>
      </c>
      <c r="X23" s="389">
        <v>27</v>
      </c>
      <c r="Y23" s="389">
        <v>51.8</v>
      </c>
      <c r="Z23" s="389">
        <v>2.14</v>
      </c>
      <c r="AA23" s="389">
        <v>28.1</v>
      </c>
      <c r="AB23" s="398">
        <v>11.9</v>
      </c>
      <c r="AC23" s="398">
        <v>9.07</v>
      </c>
      <c r="AD23" s="398">
        <v>2.0099999999999998</v>
      </c>
      <c r="AE23" s="398">
        <v>3.94</v>
      </c>
      <c r="AF23" s="453">
        <v>1</v>
      </c>
      <c r="AG23" s="398">
        <v>1</v>
      </c>
      <c r="AH23" s="493">
        <v>1</v>
      </c>
      <c r="AI23" s="400">
        <v>1</v>
      </c>
    </row>
    <row r="24" spans="1:35" s="80" customFormat="1" ht="13.5" customHeight="1">
      <c r="A24" s="81" t="s">
        <v>1497</v>
      </c>
      <c r="B24" s="90">
        <v>29.4</v>
      </c>
      <c r="C24" s="83">
        <v>220</v>
      </c>
      <c r="D24" s="83">
        <v>80</v>
      </c>
      <c r="E24" s="83">
        <v>9</v>
      </c>
      <c r="F24" s="83">
        <v>12.5</v>
      </c>
      <c r="G24" s="83">
        <v>12.5</v>
      </c>
      <c r="H24" s="90">
        <v>6.5</v>
      </c>
      <c r="I24" s="90">
        <v>37.4</v>
      </c>
      <c r="J24" s="83">
        <v>167</v>
      </c>
      <c r="K24" s="83" t="s">
        <v>639</v>
      </c>
      <c r="L24" s="86">
        <v>40</v>
      </c>
      <c r="M24" s="87">
        <v>51</v>
      </c>
      <c r="N24" s="83">
        <v>0.71799999999999997</v>
      </c>
      <c r="O24" s="83">
        <v>24.46</v>
      </c>
      <c r="P24" s="81" t="s">
        <v>1497</v>
      </c>
      <c r="Q24" s="90">
        <v>29.4</v>
      </c>
      <c r="R24" s="83">
        <v>2690</v>
      </c>
      <c r="S24" s="83">
        <v>245</v>
      </c>
      <c r="T24" s="83">
        <v>292</v>
      </c>
      <c r="U24" s="83">
        <v>8.48</v>
      </c>
      <c r="V24" s="90">
        <v>20.62</v>
      </c>
      <c r="W24" s="83">
        <v>197</v>
      </c>
      <c r="X24" s="83">
        <v>33.6</v>
      </c>
      <c r="Y24" s="83">
        <v>64.099999999999994</v>
      </c>
      <c r="Z24" s="83">
        <v>2.2999999999999998</v>
      </c>
      <c r="AA24" s="83">
        <v>30.3</v>
      </c>
      <c r="AB24" s="21">
        <v>16</v>
      </c>
      <c r="AC24" s="21">
        <v>14.6</v>
      </c>
      <c r="AD24" s="21">
        <v>2.14</v>
      </c>
      <c r="AE24" s="21">
        <v>4.2</v>
      </c>
      <c r="AF24" s="92">
        <v>1</v>
      </c>
      <c r="AG24" s="21">
        <v>1</v>
      </c>
      <c r="AH24" s="225">
        <v>1</v>
      </c>
      <c r="AI24" s="42">
        <v>1</v>
      </c>
    </row>
    <row r="25" spans="1:35" s="434" customFormat="1" ht="13.5" customHeight="1">
      <c r="A25" s="387" t="s">
        <v>1498</v>
      </c>
      <c r="B25" s="391">
        <v>33.200000000000003</v>
      </c>
      <c r="C25" s="389">
        <v>240</v>
      </c>
      <c r="D25" s="389">
        <v>85</v>
      </c>
      <c r="E25" s="389">
        <v>9.5</v>
      </c>
      <c r="F25" s="389">
        <v>13</v>
      </c>
      <c r="G25" s="389">
        <v>13</v>
      </c>
      <c r="H25" s="391">
        <v>6.5</v>
      </c>
      <c r="I25" s="391">
        <v>42.3</v>
      </c>
      <c r="J25" s="389">
        <v>184</v>
      </c>
      <c r="K25" s="389" t="s">
        <v>689</v>
      </c>
      <c r="L25" s="393">
        <v>46</v>
      </c>
      <c r="M25" s="394">
        <v>50</v>
      </c>
      <c r="N25" s="389">
        <v>0.77500000000000002</v>
      </c>
      <c r="O25" s="389">
        <v>23.34</v>
      </c>
      <c r="P25" s="387" t="s">
        <v>1498</v>
      </c>
      <c r="Q25" s="391">
        <v>33.200000000000003</v>
      </c>
      <c r="R25" s="389">
        <v>3600</v>
      </c>
      <c r="S25" s="389">
        <v>300</v>
      </c>
      <c r="T25" s="389">
        <v>358</v>
      </c>
      <c r="U25" s="389">
        <v>9.2200000000000006</v>
      </c>
      <c r="V25" s="391">
        <v>23.71</v>
      </c>
      <c r="W25" s="389">
        <v>248</v>
      </c>
      <c r="X25" s="389">
        <v>39.6</v>
      </c>
      <c r="Y25" s="389">
        <v>75.7</v>
      </c>
      <c r="Z25" s="389">
        <v>2.42</v>
      </c>
      <c r="AA25" s="389">
        <v>31.7</v>
      </c>
      <c r="AB25" s="398">
        <v>19.7</v>
      </c>
      <c r="AC25" s="398">
        <v>22.1</v>
      </c>
      <c r="AD25" s="398">
        <v>2.23</v>
      </c>
      <c r="AE25" s="398">
        <v>4.3899999999999997</v>
      </c>
      <c r="AF25" s="453">
        <v>1</v>
      </c>
      <c r="AG25" s="398">
        <v>1</v>
      </c>
      <c r="AH25" s="493">
        <v>1</v>
      </c>
      <c r="AI25" s="400">
        <v>1</v>
      </c>
    </row>
    <row r="26" spans="1:35" s="141" customFormat="1" ht="13.5" customHeight="1">
      <c r="A26" s="81" t="s">
        <v>1499</v>
      </c>
      <c r="B26" s="90">
        <v>37.9</v>
      </c>
      <c r="C26" s="83">
        <v>260</v>
      </c>
      <c r="D26" s="83">
        <v>90</v>
      </c>
      <c r="E26" s="83">
        <v>10</v>
      </c>
      <c r="F26" s="83">
        <v>14</v>
      </c>
      <c r="G26" s="83">
        <v>14</v>
      </c>
      <c r="H26" s="90">
        <v>7</v>
      </c>
      <c r="I26" s="90">
        <v>48.3</v>
      </c>
      <c r="J26" s="83">
        <v>200</v>
      </c>
      <c r="K26" s="83" t="s">
        <v>649</v>
      </c>
      <c r="L26" s="86">
        <v>50</v>
      </c>
      <c r="M26" s="87">
        <v>52</v>
      </c>
      <c r="N26" s="83">
        <v>0.83399999999999996</v>
      </c>
      <c r="O26" s="83">
        <v>22</v>
      </c>
      <c r="P26" s="81" t="s">
        <v>1499</v>
      </c>
      <c r="Q26" s="90">
        <v>37.9</v>
      </c>
      <c r="R26" s="83">
        <v>4820</v>
      </c>
      <c r="S26" s="83">
        <v>371</v>
      </c>
      <c r="T26" s="83">
        <v>442</v>
      </c>
      <c r="U26" s="83">
        <v>9.99</v>
      </c>
      <c r="V26" s="90">
        <v>27.12</v>
      </c>
      <c r="W26" s="83">
        <v>317</v>
      </c>
      <c r="X26" s="83">
        <v>47.7</v>
      </c>
      <c r="Y26" s="83">
        <v>91.6</v>
      </c>
      <c r="Z26" s="83">
        <v>2.56</v>
      </c>
      <c r="AA26" s="83">
        <v>33.9</v>
      </c>
      <c r="AB26" s="21">
        <v>25.5</v>
      </c>
      <c r="AC26" s="21">
        <v>33.299999999999997</v>
      </c>
      <c r="AD26" s="21">
        <v>2.36</v>
      </c>
      <c r="AE26" s="21">
        <v>4.66</v>
      </c>
      <c r="AF26" s="92">
        <v>1</v>
      </c>
      <c r="AG26" s="21">
        <v>1</v>
      </c>
      <c r="AH26" s="225">
        <v>1</v>
      </c>
      <c r="AI26" s="42">
        <v>1</v>
      </c>
    </row>
    <row r="27" spans="1:35" s="434" customFormat="1" ht="13.5" customHeight="1">
      <c r="A27" s="387" t="s">
        <v>1500</v>
      </c>
      <c r="B27" s="391">
        <v>41.8</v>
      </c>
      <c r="C27" s="389">
        <v>280</v>
      </c>
      <c r="D27" s="389">
        <v>95</v>
      </c>
      <c r="E27" s="389">
        <v>10</v>
      </c>
      <c r="F27" s="389">
        <v>15</v>
      </c>
      <c r="G27" s="389">
        <v>15</v>
      </c>
      <c r="H27" s="391">
        <v>7.5</v>
      </c>
      <c r="I27" s="391">
        <v>53.3</v>
      </c>
      <c r="J27" s="389">
        <v>216</v>
      </c>
      <c r="K27" s="389" t="s">
        <v>649</v>
      </c>
      <c r="L27" s="393">
        <v>52</v>
      </c>
      <c r="M27" s="394">
        <v>57</v>
      </c>
      <c r="N27" s="389">
        <v>0.89</v>
      </c>
      <c r="O27" s="389">
        <v>21.27</v>
      </c>
      <c r="P27" s="387" t="s">
        <v>1500</v>
      </c>
      <c r="Q27" s="391">
        <v>41.8</v>
      </c>
      <c r="R27" s="389">
        <v>6280</v>
      </c>
      <c r="S27" s="389">
        <v>448</v>
      </c>
      <c r="T27" s="389">
        <v>532</v>
      </c>
      <c r="U27" s="389">
        <v>10.9</v>
      </c>
      <c r="V27" s="391">
        <v>29.28</v>
      </c>
      <c r="W27" s="389">
        <v>399</v>
      </c>
      <c r="X27" s="389">
        <v>57.2</v>
      </c>
      <c r="Y27" s="389">
        <v>109</v>
      </c>
      <c r="Z27" s="389">
        <v>2.74</v>
      </c>
      <c r="AA27" s="389">
        <v>35.6</v>
      </c>
      <c r="AB27" s="398">
        <v>31</v>
      </c>
      <c r="AC27" s="398">
        <v>48.5</v>
      </c>
      <c r="AD27" s="398">
        <v>2.5299999999999998</v>
      </c>
      <c r="AE27" s="398">
        <v>5.0199999999999996</v>
      </c>
      <c r="AF27" s="453">
        <v>1</v>
      </c>
      <c r="AG27" s="398">
        <v>1</v>
      </c>
      <c r="AH27" s="493">
        <v>1</v>
      </c>
      <c r="AI27" s="400">
        <v>1</v>
      </c>
    </row>
    <row r="28" spans="1:35" s="141" customFormat="1" ht="13.5" customHeight="1">
      <c r="A28" s="81"/>
      <c r="B28" s="90"/>
      <c r="C28" s="83"/>
      <c r="D28" s="83"/>
      <c r="E28" s="83"/>
      <c r="F28" s="83"/>
      <c r="G28" s="83"/>
      <c r="H28" s="90"/>
      <c r="I28" s="90"/>
      <c r="J28" s="83"/>
      <c r="K28" s="83"/>
      <c r="L28" s="86"/>
      <c r="M28" s="87"/>
      <c r="N28" s="83"/>
      <c r="O28" s="83"/>
      <c r="P28" s="81"/>
      <c r="Q28" s="90"/>
      <c r="R28" s="83"/>
      <c r="S28" s="83"/>
      <c r="T28" s="83"/>
      <c r="U28" s="83"/>
      <c r="V28" s="90"/>
      <c r="W28" s="83"/>
      <c r="X28" s="83"/>
      <c r="Y28" s="83"/>
      <c r="Z28" s="83"/>
      <c r="AA28" s="83"/>
      <c r="AB28" s="21"/>
      <c r="AC28" s="21"/>
      <c r="AD28" s="21"/>
      <c r="AE28" s="21"/>
      <c r="AF28" s="92"/>
      <c r="AG28" s="21"/>
      <c r="AH28" s="225"/>
      <c r="AI28" s="42"/>
    </row>
    <row r="29" spans="1:35" s="434" customFormat="1" ht="13.5" customHeight="1">
      <c r="A29" s="387" t="s">
        <v>1501</v>
      </c>
      <c r="B29" s="391">
        <v>46.2</v>
      </c>
      <c r="C29" s="389">
        <v>300</v>
      </c>
      <c r="D29" s="389">
        <v>100</v>
      </c>
      <c r="E29" s="389">
        <v>10</v>
      </c>
      <c r="F29" s="389">
        <v>16</v>
      </c>
      <c r="G29" s="389">
        <v>16</v>
      </c>
      <c r="H29" s="391">
        <v>8</v>
      </c>
      <c r="I29" s="391">
        <v>58.8</v>
      </c>
      <c r="J29" s="389">
        <v>232</v>
      </c>
      <c r="K29" s="389" t="s">
        <v>656</v>
      </c>
      <c r="L29" s="393">
        <v>55</v>
      </c>
      <c r="M29" s="394">
        <v>59</v>
      </c>
      <c r="N29" s="389">
        <v>0.95</v>
      </c>
      <c r="O29" s="389">
        <v>20.58</v>
      </c>
      <c r="P29" s="387" t="s">
        <v>1501</v>
      </c>
      <c r="Q29" s="391">
        <v>46.2</v>
      </c>
      <c r="R29" s="389">
        <v>8030</v>
      </c>
      <c r="S29" s="389">
        <v>535</v>
      </c>
      <c r="T29" s="389">
        <v>632</v>
      </c>
      <c r="U29" s="389">
        <v>11.7</v>
      </c>
      <c r="V29" s="391">
        <v>31.77</v>
      </c>
      <c r="W29" s="389">
        <v>495</v>
      </c>
      <c r="X29" s="389">
        <v>67.8</v>
      </c>
      <c r="Y29" s="389">
        <v>130</v>
      </c>
      <c r="Z29" s="389">
        <v>2.9</v>
      </c>
      <c r="AA29" s="389">
        <v>37.299999999999997</v>
      </c>
      <c r="AB29" s="398">
        <v>37.4</v>
      </c>
      <c r="AC29" s="398">
        <v>69.099999999999994</v>
      </c>
      <c r="AD29" s="398">
        <v>2.7</v>
      </c>
      <c r="AE29" s="398">
        <v>5.41</v>
      </c>
      <c r="AF29" s="453">
        <v>1</v>
      </c>
      <c r="AG29" s="398">
        <v>1</v>
      </c>
      <c r="AH29" s="493">
        <v>1</v>
      </c>
      <c r="AI29" s="400">
        <v>1</v>
      </c>
    </row>
    <row r="30" spans="1:35" s="141" customFormat="1" ht="13.5" customHeight="1">
      <c r="A30" s="81" t="s">
        <v>1502</v>
      </c>
      <c r="B30" s="90">
        <v>59.5</v>
      </c>
      <c r="C30" s="83">
        <v>320</v>
      </c>
      <c r="D30" s="83">
        <v>100</v>
      </c>
      <c r="E30" s="83">
        <v>14</v>
      </c>
      <c r="F30" s="83">
        <v>17.5</v>
      </c>
      <c r="G30" s="83">
        <v>17.5</v>
      </c>
      <c r="H30" s="90">
        <v>8.75</v>
      </c>
      <c r="I30" s="90">
        <v>75.8</v>
      </c>
      <c r="J30" s="83">
        <v>246</v>
      </c>
      <c r="K30" s="83" t="s">
        <v>649</v>
      </c>
      <c r="L30" s="86">
        <v>58</v>
      </c>
      <c r="M30" s="87">
        <v>62</v>
      </c>
      <c r="N30" s="83">
        <v>0.98199999999999998</v>
      </c>
      <c r="O30" s="83">
        <v>16.5</v>
      </c>
      <c r="P30" s="81" t="s">
        <v>1502</v>
      </c>
      <c r="Q30" s="90">
        <v>59.5</v>
      </c>
      <c r="R30" s="83">
        <v>10870</v>
      </c>
      <c r="S30" s="83">
        <v>679</v>
      </c>
      <c r="T30" s="83">
        <v>826</v>
      </c>
      <c r="U30" s="83">
        <v>12.1</v>
      </c>
      <c r="V30" s="90">
        <v>47.11</v>
      </c>
      <c r="W30" s="83">
        <v>597</v>
      </c>
      <c r="X30" s="83">
        <v>80.599999999999994</v>
      </c>
      <c r="Y30" s="83">
        <v>152</v>
      </c>
      <c r="Z30" s="83">
        <v>2.81</v>
      </c>
      <c r="AA30" s="83">
        <v>43</v>
      </c>
      <c r="AB30" s="21">
        <v>66.7</v>
      </c>
      <c r="AC30" s="21">
        <v>96.1</v>
      </c>
      <c r="AD30" s="21">
        <v>2.6</v>
      </c>
      <c r="AE30" s="21">
        <v>4.82</v>
      </c>
      <c r="AF30" s="92">
        <v>1</v>
      </c>
      <c r="AG30" s="21">
        <v>1</v>
      </c>
      <c r="AH30" s="225">
        <v>1</v>
      </c>
      <c r="AI30" s="42">
        <v>1</v>
      </c>
    </row>
    <row r="31" spans="1:35" s="434" customFormat="1" ht="13.5" customHeight="1">
      <c r="A31" s="387" t="s">
        <v>1503</v>
      </c>
      <c r="B31" s="391">
        <v>60.6</v>
      </c>
      <c r="C31" s="389">
        <v>350</v>
      </c>
      <c r="D31" s="389">
        <v>100</v>
      </c>
      <c r="E31" s="389">
        <v>14</v>
      </c>
      <c r="F31" s="389">
        <v>16</v>
      </c>
      <c r="G31" s="389">
        <v>16</v>
      </c>
      <c r="H31" s="391">
        <v>8</v>
      </c>
      <c r="I31" s="391">
        <v>77.3</v>
      </c>
      <c r="J31" s="389">
        <v>282</v>
      </c>
      <c r="K31" s="389" t="s">
        <v>649</v>
      </c>
      <c r="L31" s="393">
        <v>56</v>
      </c>
      <c r="M31" s="394">
        <v>62</v>
      </c>
      <c r="N31" s="389">
        <v>1.0469999999999999</v>
      </c>
      <c r="O31" s="389">
        <v>17.25</v>
      </c>
      <c r="P31" s="387" t="s">
        <v>1503</v>
      </c>
      <c r="Q31" s="391">
        <v>60.6</v>
      </c>
      <c r="R31" s="389">
        <v>12840</v>
      </c>
      <c r="S31" s="389">
        <v>734</v>
      </c>
      <c r="T31" s="389">
        <v>918</v>
      </c>
      <c r="U31" s="389">
        <v>12.9</v>
      </c>
      <c r="V31" s="391">
        <v>50.84</v>
      </c>
      <c r="W31" s="389">
        <v>570</v>
      </c>
      <c r="X31" s="389">
        <v>75</v>
      </c>
      <c r="Y31" s="389">
        <v>143</v>
      </c>
      <c r="Z31" s="389">
        <v>2.72</v>
      </c>
      <c r="AA31" s="389">
        <v>40.700000000000003</v>
      </c>
      <c r="AB31" s="398">
        <v>61.2</v>
      </c>
      <c r="AC31" s="398">
        <v>114</v>
      </c>
      <c r="AD31" s="398">
        <v>2.4</v>
      </c>
      <c r="AE31" s="398">
        <v>4.45</v>
      </c>
      <c r="AF31" s="453">
        <v>1</v>
      </c>
      <c r="AG31" s="398">
        <v>1</v>
      </c>
      <c r="AH31" s="493">
        <v>1</v>
      </c>
      <c r="AI31" s="400">
        <v>1</v>
      </c>
    </row>
    <row r="32" spans="1:35" s="141" customFormat="1" ht="13.5" customHeight="1">
      <c r="A32" s="81" t="s">
        <v>1504</v>
      </c>
      <c r="B32" s="90">
        <v>63.1</v>
      </c>
      <c r="C32" s="83">
        <v>380</v>
      </c>
      <c r="D32" s="83">
        <v>102</v>
      </c>
      <c r="E32" s="83">
        <v>13.5</v>
      </c>
      <c r="F32" s="83">
        <v>16</v>
      </c>
      <c r="G32" s="83">
        <v>16</v>
      </c>
      <c r="H32" s="90">
        <v>8</v>
      </c>
      <c r="I32" s="90">
        <v>80.400000000000006</v>
      </c>
      <c r="J32" s="83">
        <v>313</v>
      </c>
      <c r="K32" s="83" t="s">
        <v>656</v>
      </c>
      <c r="L32" s="86">
        <v>59</v>
      </c>
      <c r="M32" s="87">
        <v>60</v>
      </c>
      <c r="N32" s="83">
        <v>1.1100000000000001</v>
      </c>
      <c r="O32" s="83">
        <v>17.59</v>
      </c>
      <c r="P32" s="81" t="s">
        <v>1504</v>
      </c>
      <c r="Q32" s="90">
        <v>63.1</v>
      </c>
      <c r="R32" s="83">
        <v>15760</v>
      </c>
      <c r="S32" s="83">
        <v>829</v>
      </c>
      <c r="T32" s="83">
        <v>1014</v>
      </c>
      <c r="U32" s="83">
        <v>14</v>
      </c>
      <c r="V32" s="90">
        <v>53.23</v>
      </c>
      <c r="W32" s="83">
        <v>615</v>
      </c>
      <c r="X32" s="83">
        <v>78.7</v>
      </c>
      <c r="Y32" s="83">
        <v>148</v>
      </c>
      <c r="Z32" s="83">
        <v>2.77</v>
      </c>
      <c r="AA32" s="83">
        <v>40.299999999999997</v>
      </c>
      <c r="AB32" s="21">
        <v>59.1</v>
      </c>
      <c r="AC32" s="21">
        <v>146</v>
      </c>
      <c r="AD32" s="21">
        <v>2.38</v>
      </c>
      <c r="AE32" s="21">
        <v>4.58</v>
      </c>
      <c r="AF32" s="92">
        <v>1</v>
      </c>
      <c r="AG32" s="21">
        <v>1</v>
      </c>
      <c r="AH32" s="225">
        <v>1</v>
      </c>
      <c r="AI32" s="42">
        <v>1</v>
      </c>
    </row>
    <row r="33" spans="1:35" s="141" customFormat="1" ht="13.5" customHeight="1">
      <c r="A33" s="81"/>
      <c r="B33" s="90"/>
      <c r="C33" s="83"/>
      <c r="D33" s="83"/>
      <c r="E33" s="83"/>
      <c r="F33" s="83"/>
      <c r="G33" s="83"/>
      <c r="H33" s="90"/>
      <c r="I33" s="90"/>
      <c r="J33" s="83"/>
      <c r="K33" s="83"/>
      <c r="L33" s="86"/>
      <c r="M33" s="87"/>
      <c r="N33" s="83"/>
      <c r="O33" s="83"/>
      <c r="P33" s="81"/>
      <c r="Q33" s="90"/>
      <c r="R33" s="83"/>
      <c r="S33" s="83"/>
      <c r="T33" s="83"/>
      <c r="U33" s="83"/>
      <c r="V33" s="90"/>
      <c r="W33" s="83"/>
      <c r="X33" s="83"/>
      <c r="Y33" s="83"/>
      <c r="Z33" s="83"/>
      <c r="AA33" s="83"/>
      <c r="AB33" s="21"/>
      <c r="AC33" s="21"/>
      <c r="AD33" s="21"/>
      <c r="AE33" s="21"/>
      <c r="AF33" s="92"/>
      <c r="AG33" s="21"/>
      <c r="AH33" s="225"/>
      <c r="AI33" s="42"/>
    </row>
    <row r="34" spans="1:35" s="434" customFormat="1" ht="13.5" customHeight="1">
      <c r="A34" s="387" t="s">
        <v>1505</v>
      </c>
      <c r="B34" s="391">
        <v>71.8</v>
      </c>
      <c r="C34" s="389">
        <v>400</v>
      </c>
      <c r="D34" s="389">
        <v>110</v>
      </c>
      <c r="E34" s="389">
        <v>14</v>
      </c>
      <c r="F34" s="389">
        <v>18</v>
      </c>
      <c r="G34" s="389">
        <v>18</v>
      </c>
      <c r="H34" s="391">
        <v>9</v>
      </c>
      <c r="I34" s="391">
        <v>91.5</v>
      </c>
      <c r="J34" s="389">
        <v>324</v>
      </c>
      <c r="K34" s="389" t="s">
        <v>667</v>
      </c>
      <c r="L34" s="393">
        <v>61</v>
      </c>
      <c r="M34" s="394">
        <v>62</v>
      </c>
      <c r="N34" s="389">
        <v>1.1819999999999999</v>
      </c>
      <c r="O34" s="389">
        <v>16.46</v>
      </c>
      <c r="P34" s="387" t="s">
        <v>1505</v>
      </c>
      <c r="Q34" s="391">
        <v>71.8</v>
      </c>
      <c r="R34" s="389">
        <v>20350</v>
      </c>
      <c r="S34" s="389">
        <v>1020</v>
      </c>
      <c r="T34" s="389">
        <v>1240</v>
      </c>
      <c r="U34" s="389">
        <v>14.9</v>
      </c>
      <c r="V34" s="391">
        <v>58.55</v>
      </c>
      <c r="W34" s="389">
        <v>846</v>
      </c>
      <c r="X34" s="389">
        <v>102</v>
      </c>
      <c r="Y34" s="389">
        <v>190</v>
      </c>
      <c r="Z34" s="389">
        <v>3.04</v>
      </c>
      <c r="AA34" s="389">
        <v>44</v>
      </c>
      <c r="AB34" s="398">
        <v>81.599999999999994</v>
      </c>
      <c r="AC34" s="398">
        <v>221</v>
      </c>
      <c r="AD34" s="398">
        <v>2.65</v>
      </c>
      <c r="AE34" s="398">
        <v>5.1100000000000003</v>
      </c>
      <c r="AF34" s="453">
        <v>1</v>
      </c>
      <c r="AG34" s="398">
        <v>1</v>
      </c>
      <c r="AH34" s="493">
        <v>1</v>
      </c>
      <c r="AI34" s="400">
        <v>1</v>
      </c>
    </row>
    <row r="35" spans="1:35" s="141" customFormat="1" ht="13.5" customHeight="1">
      <c r="A35" s="81"/>
      <c r="B35" s="90"/>
      <c r="C35" s="83"/>
      <c r="D35" s="83"/>
      <c r="E35" s="83"/>
      <c r="F35" s="83"/>
      <c r="G35" s="83"/>
      <c r="H35" s="90"/>
      <c r="I35" s="90"/>
      <c r="J35" s="83"/>
      <c r="K35" s="83"/>
      <c r="L35" s="86"/>
      <c r="M35" s="87"/>
      <c r="N35" s="83"/>
      <c r="O35" s="83"/>
      <c r="P35" s="81"/>
      <c r="Q35" s="90"/>
      <c r="R35" s="83"/>
      <c r="S35" s="83"/>
      <c r="T35" s="83"/>
      <c r="U35" s="83"/>
      <c r="V35" s="90"/>
      <c r="W35" s="83"/>
      <c r="X35" s="83"/>
      <c r="Y35" s="83"/>
      <c r="Z35" s="83"/>
      <c r="AA35" s="83"/>
      <c r="AB35" s="21"/>
      <c r="AC35" s="21"/>
      <c r="AD35" s="21"/>
      <c r="AE35" s="21"/>
      <c r="AF35" s="92"/>
      <c r="AG35" s="21"/>
      <c r="AH35" s="225"/>
      <c r="AI35" s="42"/>
    </row>
    <row r="36" spans="1:35" s="141" customFormat="1" ht="13.5" hidden="1" customHeight="1">
      <c r="A36" s="103"/>
      <c r="B36" s="94"/>
      <c r="C36" s="94"/>
      <c r="D36" s="94"/>
      <c r="E36" s="94"/>
      <c r="F36" s="94"/>
      <c r="G36" s="104"/>
      <c r="H36" s="94"/>
      <c r="I36" s="94"/>
      <c r="J36" s="94"/>
      <c r="K36" s="94"/>
      <c r="L36" s="94"/>
      <c r="M36" s="94"/>
      <c r="N36" s="94"/>
      <c r="O36" s="94"/>
      <c r="P36" s="103"/>
      <c r="Q36" s="94"/>
      <c r="R36" s="94"/>
      <c r="S36" s="94"/>
      <c r="T36" s="94"/>
      <c r="U36" s="94"/>
      <c r="V36" s="94"/>
      <c r="W36" s="94"/>
      <c r="X36" s="94"/>
      <c r="Y36" s="94"/>
      <c r="Z36" s="94"/>
      <c r="AA36" s="94"/>
      <c r="AB36" s="7"/>
      <c r="AC36" s="7"/>
      <c r="AD36" s="7"/>
      <c r="AE36" s="7"/>
      <c r="AF36" s="7"/>
      <c r="AG36" s="7"/>
      <c r="AH36" s="7"/>
      <c r="AI36" s="7"/>
    </row>
    <row r="37" spans="1:35" s="141" customFormat="1" ht="13.5" hidden="1" customHeight="1">
      <c r="A37" s="103"/>
      <c r="B37" s="94"/>
      <c r="C37" s="94"/>
      <c r="D37" s="94"/>
      <c r="E37" s="94"/>
      <c r="F37" s="94"/>
      <c r="G37" s="104"/>
      <c r="H37" s="94"/>
      <c r="I37" s="94"/>
      <c r="J37" s="94"/>
      <c r="K37" s="94"/>
      <c r="L37" s="94"/>
      <c r="M37" s="94"/>
      <c r="N37" s="94"/>
      <c r="O37" s="94"/>
      <c r="P37" s="103"/>
      <c r="Q37" s="94"/>
      <c r="R37" s="94"/>
      <c r="S37" s="94"/>
      <c r="T37" s="94"/>
      <c r="U37" s="94"/>
      <c r="V37" s="94"/>
      <c r="W37" s="94"/>
      <c r="X37" s="94"/>
      <c r="Y37" s="94"/>
      <c r="Z37" s="94"/>
      <c r="AA37" s="94"/>
      <c r="AB37" s="7"/>
      <c r="AC37" s="7"/>
      <c r="AD37" s="7"/>
      <c r="AE37" s="7"/>
      <c r="AF37" s="7"/>
      <c r="AG37" s="7"/>
      <c r="AH37" s="7"/>
      <c r="AI37" s="7"/>
    </row>
    <row r="38" spans="1:35" s="141" customFormat="1" ht="13.5" hidden="1" customHeight="1">
      <c r="A38" s="103"/>
      <c r="B38" s="94"/>
      <c r="C38" s="94"/>
      <c r="D38" s="94"/>
      <c r="E38" s="94"/>
      <c r="F38" s="94"/>
      <c r="G38" s="104"/>
      <c r="H38" s="94"/>
      <c r="I38" s="94"/>
      <c r="J38" s="94"/>
      <c r="K38" s="94"/>
      <c r="L38" s="94"/>
      <c r="M38" s="94"/>
      <c r="N38" s="94"/>
      <c r="O38" s="94"/>
      <c r="P38" s="103"/>
      <c r="Q38" s="94"/>
      <c r="R38" s="94"/>
      <c r="S38" s="94"/>
      <c r="T38" s="94"/>
      <c r="U38" s="94"/>
      <c r="V38" s="94"/>
      <c r="W38" s="94"/>
      <c r="X38" s="94"/>
      <c r="Y38" s="94"/>
      <c r="Z38" s="94"/>
      <c r="AA38" s="94"/>
      <c r="AB38" s="7"/>
      <c r="AC38" s="7"/>
      <c r="AD38" s="7"/>
      <c r="AE38" s="7"/>
      <c r="AF38" s="7"/>
      <c r="AG38" s="7"/>
      <c r="AH38" s="7"/>
      <c r="AI38" s="7"/>
    </row>
    <row r="39" spans="1:35" s="141" customFormat="1" ht="13.5" hidden="1" customHeight="1">
      <c r="A39" s="103"/>
      <c r="B39" s="94"/>
      <c r="C39" s="94"/>
      <c r="D39" s="94"/>
      <c r="E39" s="94"/>
      <c r="F39" s="94"/>
      <c r="G39" s="104"/>
      <c r="H39" s="94"/>
      <c r="I39" s="94"/>
      <c r="J39" s="94"/>
      <c r="K39" s="94"/>
      <c r="L39" s="94"/>
      <c r="M39" s="94"/>
      <c r="N39" s="94"/>
      <c r="O39" s="94"/>
      <c r="P39" s="103"/>
      <c r="Q39" s="94"/>
      <c r="R39" s="94"/>
      <c r="S39" s="94"/>
      <c r="T39" s="94"/>
      <c r="U39" s="94"/>
      <c r="V39" s="94"/>
      <c r="W39" s="94"/>
      <c r="X39" s="94"/>
      <c r="Y39" s="94"/>
      <c r="Z39" s="94"/>
      <c r="AA39" s="94"/>
      <c r="AB39" s="7"/>
      <c r="AC39" s="7"/>
      <c r="AD39" s="7"/>
      <c r="AE39" s="7"/>
      <c r="AF39" s="7"/>
      <c r="AG39" s="7"/>
      <c r="AH39" s="7"/>
      <c r="AI39" s="7"/>
    </row>
    <row r="40" spans="1:35" s="141" customFormat="1" ht="13.5" hidden="1" customHeight="1">
      <c r="A40" s="103"/>
      <c r="B40" s="94"/>
      <c r="C40" s="94"/>
      <c r="D40" s="94"/>
      <c r="E40" s="94"/>
      <c r="F40" s="94"/>
      <c r="G40" s="104"/>
      <c r="H40" s="94"/>
      <c r="I40" s="94"/>
      <c r="J40" s="94"/>
      <c r="K40" s="94"/>
      <c r="L40" s="94"/>
      <c r="M40" s="94"/>
      <c r="N40" s="94"/>
      <c r="O40" s="94"/>
      <c r="P40" s="103"/>
      <c r="Q40" s="94"/>
      <c r="R40" s="94"/>
      <c r="S40" s="94"/>
      <c r="T40" s="94"/>
      <c r="U40" s="94"/>
      <c r="V40" s="94"/>
      <c r="W40" s="94"/>
      <c r="X40" s="94"/>
      <c r="Y40" s="94"/>
      <c r="Z40" s="94"/>
      <c r="AA40" s="94"/>
      <c r="AB40" s="7"/>
      <c r="AC40" s="7"/>
      <c r="AD40" s="7"/>
      <c r="AE40" s="7"/>
      <c r="AF40" s="7"/>
      <c r="AG40" s="7"/>
      <c r="AH40" s="7"/>
      <c r="AI40" s="7"/>
    </row>
    <row r="41" spans="1:35" s="141" customFormat="1" ht="13.5" hidden="1" customHeight="1">
      <c r="A41" s="103"/>
      <c r="B41" s="94"/>
      <c r="C41" s="94"/>
      <c r="D41" s="94"/>
      <c r="E41" s="94"/>
      <c r="F41" s="94"/>
      <c r="G41" s="104"/>
      <c r="H41" s="94"/>
      <c r="I41" s="94"/>
      <c r="J41" s="94"/>
      <c r="K41" s="94"/>
      <c r="L41" s="94"/>
      <c r="M41" s="94"/>
      <c r="N41" s="94"/>
      <c r="O41" s="94"/>
      <c r="P41" s="103"/>
      <c r="Q41" s="94"/>
      <c r="R41" s="94"/>
      <c r="S41" s="94"/>
      <c r="T41" s="94"/>
      <c r="U41" s="94"/>
      <c r="V41" s="94"/>
      <c r="W41" s="94"/>
      <c r="X41" s="94"/>
      <c r="Y41" s="94"/>
      <c r="Z41" s="94"/>
      <c r="AA41" s="94"/>
      <c r="AB41" s="7"/>
      <c r="AC41" s="7"/>
      <c r="AD41" s="7"/>
      <c r="AE41" s="7"/>
      <c r="AF41" s="7"/>
      <c r="AG41" s="7"/>
      <c r="AH41" s="7"/>
      <c r="AI41" s="7"/>
    </row>
    <row r="42" spans="1:35" s="141" customFormat="1" ht="13.5" hidden="1" customHeight="1">
      <c r="A42" s="103"/>
      <c r="B42" s="94"/>
      <c r="C42" s="94"/>
      <c r="D42" s="94"/>
      <c r="E42" s="94"/>
      <c r="F42" s="94"/>
      <c r="G42" s="104"/>
      <c r="H42" s="94"/>
      <c r="I42" s="94"/>
      <c r="J42" s="94"/>
      <c r="K42" s="94"/>
      <c r="L42" s="94"/>
      <c r="M42" s="94"/>
      <c r="N42" s="94"/>
      <c r="O42" s="94"/>
      <c r="P42" s="103"/>
      <c r="Q42" s="94"/>
      <c r="R42" s="94"/>
      <c r="S42" s="94"/>
      <c r="T42" s="94"/>
      <c r="U42" s="94"/>
      <c r="V42" s="94"/>
      <c r="W42" s="94"/>
      <c r="X42" s="94"/>
      <c r="Y42" s="94"/>
      <c r="Z42" s="94"/>
      <c r="AA42" s="94"/>
      <c r="AB42" s="7"/>
      <c r="AC42" s="7"/>
      <c r="AD42" s="7"/>
      <c r="AE42" s="7"/>
      <c r="AF42" s="7"/>
      <c r="AG42" s="7"/>
      <c r="AH42" s="7"/>
      <c r="AI42" s="7"/>
    </row>
    <row r="43" spans="1:35" s="141" customFormat="1" ht="13.5" hidden="1" customHeight="1">
      <c r="A43" s="103"/>
      <c r="B43" s="94"/>
      <c r="C43" s="94"/>
      <c r="D43" s="94"/>
      <c r="E43" s="94"/>
      <c r="F43" s="94"/>
      <c r="G43" s="104"/>
      <c r="H43" s="94"/>
      <c r="I43" s="94"/>
      <c r="J43" s="94"/>
      <c r="K43" s="94"/>
      <c r="L43" s="94"/>
      <c r="M43" s="94"/>
      <c r="N43" s="94"/>
      <c r="O43" s="94"/>
      <c r="P43" s="103"/>
      <c r="Q43" s="101"/>
      <c r="R43" s="102"/>
      <c r="S43" s="102"/>
      <c r="T43" s="102"/>
      <c r="U43" s="102"/>
      <c r="V43" s="102"/>
      <c r="W43" s="101"/>
      <c r="X43" s="102"/>
      <c r="Y43" s="102"/>
      <c r="Z43" s="102"/>
      <c r="AA43" s="102"/>
      <c r="AB43" s="59"/>
      <c r="AC43" s="59"/>
      <c r="AD43" s="101"/>
      <c r="AE43" s="7"/>
      <c r="AF43" s="7"/>
      <c r="AG43" s="7"/>
      <c r="AH43" s="7"/>
      <c r="AI43" s="7"/>
    </row>
    <row r="44" spans="1:35" ht="13.5" hidden="1" customHeight="1">
      <c r="Q44" s="101"/>
      <c r="R44" s="102"/>
      <c r="S44" s="102"/>
      <c r="T44" s="102"/>
      <c r="U44" s="102"/>
      <c r="V44" s="102"/>
      <c r="W44" s="101"/>
      <c r="X44" s="102"/>
      <c r="Y44" s="102"/>
      <c r="Z44" s="102"/>
      <c r="AA44" s="102"/>
      <c r="AB44" s="59"/>
      <c r="AC44" s="59"/>
      <c r="AD44" s="101"/>
    </row>
    <row r="45" spans="1:35" ht="13.5" hidden="1" customHeight="1">
      <c r="Q45" s="101"/>
      <c r="R45" s="102"/>
      <c r="S45" s="102"/>
      <c r="T45" s="102"/>
      <c r="U45" s="102"/>
      <c r="V45" s="102"/>
      <c r="W45" s="101"/>
      <c r="X45" s="102"/>
      <c r="Y45" s="102"/>
      <c r="Z45" s="102"/>
      <c r="AA45" s="102"/>
      <c r="AB45" s="59"/>
      <c r="AC45" s="59"/>
      <c r="AD45" s="101"/>
    </row>
    <row r="46" spans="1:35" ht="13.5" hidden="1" customHeight="1">
      <c r="Q46" s="101"/>
      <c r="R46" s="102"/>
      <c r="S46" s="102"/>
      <c r="T46" s="102"/>
      <c r="U46" s="102"/>
      <c r="V46" s="102"/>
      <c r="W46" s="101"/>
      <c r="X46" s="102"/>
      <c r="Y46" s="102"/>
      <c r="Z46" s="102"/>
      <c r="AA46" s="102"/>
      <c r="AB46" s="59"/>
      <c r="AC46" s="59"/>
      <c r="AD46" s="101"/>
    </row>
    <row r="47" spans="1:35" ht="13.5" hidden="1" customHeight="1"/>
    <row r="48" spans="1:35" ht="13.5" hidden="1" customHeight="1"/>
    <row r="49" ht="13.5" hidden="1" customHeight="1"/>
    <row r="50" ht="13.5" hidden="1" customHeight="1"/>
    <row r="51" ht="13.5" hidden="1" customHeight="1"/>
    <row r="52" ht="13.5" hidden="1" customHeight="1"/>
    <row r="53" ht="13.5" hidden="1" customHeight="1"/>
    <row r="54" ht="13.5" hidden="1" customHeight="1"/>
    <row r="55" ht="13.5" hidden="1" customHeight="1"/>
    <row r="56" ht="13.5" hidden="1" customHeight="1"/>
    <row r="57" ht="13.5" hidden="1" customHeight="1"/>
    <row r="58" ht="13.5" hidden="1" customHeight="1"/>
    <row r="59" ht="13.5" hidden="1" customHeight="1"/>
    <row r="60" ht="13.5" hidden="1" customHeight="1"/>
    <row r="61" ht="13.5" hidden="1" customHeight="1"/>
    <row r="62" ht="13.5" hidden="1" customHeight="1"/>
    <row r="63" ht="13.5" hidden="1" customHeight="1"/>
    <row r="64" ht="13.5" hidden="1" customHeight="1"/>
    <row r="65" ht="13.5" hidden="1" customHeight="1"/>
    <row r="66" ht="13.5" hidden="1" customHeight="1"/>
    <row r="67" ht="13.5" hidden="1" customHeight="1"/>
    <row r="68" ht="13.5" hidden="1" customHeight="1"/>
    <row r="69" ht="13.5" hidden="1" customHeight="1"/>
    <row r="70" ht="13.5" hidden="1" customHeight="1"/>
    <row r="71" ht="13.5" hidden="1" customHeight="1"/>
    <row r="72" ht="13.5" hidden="1" customHeight="1"/>
    <row r="73" ht="13.5" hidden="1" customHeight="1"/>
    <row r="74" ht="13.5" hidden="1" customHeight="1"/>
    <row r="75" ht="13.5" hidden="1" customHeight="1"/>
    <row r="76" ht="13.5" hidden="1" customHeight="1"/>
    <row r="77" ht="13.5" hidden="1" customHeight="1"/>
    <row r="78" ht="13.5" hidden="1" customHeight="1"/>
    <row r="79" ht="13.5" hidden="1" customHeight="1"/>
    <row r="80" ht="13.5" hidden="1" customHeight="1"/>
    <row r="81" ht="13.5" hidden="1" customHeight="1"/>
    <row r="82" ht="13.5" hidden="1" customHeight="1"/>
    <row r="83" ht="13.5" hidden="1" customHeight="1"/>
    <row r="84" ht="13.5" hidden="1" customHeight="1"/>
    <row r="85" ht="13.5" hidden="1" customHeight="1"/>
    <row r="86" ht="13.5" hidden="1" customHeight="1"/>
    <row r="87" ht="13.5" hidden="1" customHeight="1"/>
    <row r="88" ht="13.5" hidden="1" customHeight="1"/>
    <row r="89" ht="13.5" hidden="1" customHeight="1"/>
    <row r="90" ht="13.5" hidden="1" customHeight="1"/>
    <row r="91" ht="13.5" hidden="1" customHeight="1"/>
    <row r="92" ht="13.5" hidden="1" customHeight="1"/>
    <row r="93" ht="13.5" hidden="1" customHeight="1"/>
    <row r="94" ht="13.5" hidden="1" customHeight="1"/>
    <row r="95" ht="13.5" hidden="1" customHeight="1"/>
    <row r="96" ht="13.5" hidden="1" customHeight="1"/>
    <row r="97" ht="13.5" hidden="1" customHeight="1"/>
    <row r="98" ht="13.5" hidden="1" customHeight="1"/>
    <row r="99" ht="13.5" hidden="1" customHeight="1"/>
    <row r="100" ht="13.5" hidden="1" customHeight="1"/>
    <row r="101" ht="13.5" hidden="1" customHeight="1"/>
    <row r="102" ht="13.5" hidden="1" customHeight="1"/>
    <row r="103" ht="13.5" hidden="1" customHeight="1"/>
    <row r="104" ht="13.5" hidden="1" customHeight="1"/>
    <row r="105" ht="13.5" hidden="1" customHeight="1"/>
    <row r="106" ht="13.5" hidden="1" customHeight="1"/>
    <row r="107" ht="13.5" hidden="1" customHeight="1"/>
    <row r="108" ht="13.5" hidden="1" customHeight="1"/>
    <row r="109" ht="13.5" hidden="1" customHeight="1"/>
    <row r="110" ht="13.5" hidden="1" customHeight="1"/>
    <row r="111" ht="13.5" hidden="1" customHeight="1"/>
    <row r="112" ht="13.5" hidden="1" customHeight="1"/>
    <row r="113" ht="13.5" hidden="1" customHeight="1"/>
    <row r="114" ht="13.5" hidden="1" customHeight="1"/>
    <row r="115" ht="13.5" hidden="1" customHeight="1"/>
    <row r="116" ht="13.5" hidden="1" customHeight="1"/>
    <row r="117" ht="13.5" hidden="1" customHeight="1"/>
    <row r="118" ht="13.5" hidden="1" customHeight="1"/>
    <row r="119" ht="13.5" hidden="1" customHeight="1"/>
    <row r="120" ht="13.5" hidden="1" customHeight="1"/>
    <row r="121" ht="13.5" hidden="1" customHeight="1"/>
    <row r="122" ht="13.5" hidden="1" customHeight="1"/>
    <row r="123" ht="13.5" hidden="1" customHeight="1"/>
    <row r="124" ht="13.5" hidden="1" customHeight="1"/>
    <row r="125" ht="13.5" hidden="1" customHeight="1"/>
    <row r="126" ht="13.5" hidden="1" customHeight="1"/>
    <row r="127" ht="13.5" hidden="1" customHeight="1"/>
    <row r="128" ht="13.5" hidden="1" customHeight="1"/>
    <row r="129" ht="13.5" hidden="1" customHeight="1"/>
    <row r="130" ht="13.5" hidden="1" customHeight="1"/>
    <row r="131" ht="13.5" hidden="1" customHeight="1"/>
    <row r="132" ht="13.5" hidden="1" customHeight="1"/>
    <row r="133" ht="13.5" hidden="1" customHeight="1"/>
    <row r="134" ht="13.5" hidden="1" customHeight="1"/>
    <row r="135" ht="13.5" hidden="1" customHeight="1"/>
    <row r="136" ht="13.5" hidden="1" customHeight="1"/>
    <row r="137" ht="13.5" hidden="1" customHeight="1"/>
    <row r="138" ht="13.5" hidden="1" customHeight="1"/>
    <row r="139" ht="13.5" hidden="1" customHeight="1"/>
    <row r="140" ht="13.5" hidden="1" customHeight="1"/>
    <row r="141" ht="13.5" hidden="1" customHeight="1"/>
    <row r="142" ht="13.5" hidden="1" customHeight="1"/>
    <row r="143" ht="13.5" hidden="1" customHeight="1"/>
    <row r="144" ht="13.5" hidden="1" customHeight="1"/>
    <row r="145" ht="13.5" hidden="1" customHeight="1"/>
    <row r="146" ht="13.5" hidden="1" customHeight="1"/>
    <row r="147" ht="13.5" hidden="1" customHeight="1"/>
    <row r="148" ht="13.5" hidden="1" customHeight="1"/>
    <row r="149" ht="13.5" hidden="1" customHeight="1"/>
    <row r="150" ht="13.5" hidden="1" customHeight="1"/>
    <row r="151" ht="13.5" hidden="1" customHeight="1"/>
    <row r="152" ht="13.5" hidden="1" customHeight="1"/>
    <row r="153" ht="13.5" hidden="1" customHeight="1"/>
    <row r="154" ht="13.5" hidden="1" customHeight="1"/>
    <row r="155" ht="13.5" hidden="1" customHeight="1"/>
    <row r="156" ht="13.5" hidden="1" customHeight="1"/>
    <row r="157" ht="13.5" hidden="1" customHeight="1"/>
    <row r="158" ht="13.5" hidden="1" customHeight="1"/>
    <row r="159" ht="13.5" hidden="1" customHeight="1"/>
    <row r="160" ht="13.5" hidden="1" customHeight="1"/>
    <row r="161" ht="13.5" hidden="1" customHeight="1"/>
    <row r="162" ht="13.5" hidden="1" customHeight="1"/>
    <row r="163" ht="13.5" hidden="1" customHeight="1"/>
    <row r="164" ht="13.5" hidden="1" customHeight="1"/>
    <row r="165" ht="13.5" hidden="1" customHeight="1"/>
    <row r="166" ht="13.5" hidden="1" customHeight="1"/>
    <row r="167" ht="13.5" hidden="1" customHeight="1"/>
    <row r="168" ht="13.5" hidden="1" customHeight="1"/>
    <row r="169" ht="13.5" hidden="1" customHeight="1"/>
    <row r="170" ht="13.5" hidden="1" customHeight="1"/>
    <row r="171" ht="13.5" hidden="1" customHeight="1"/>
    <row r="172" ht="13.5" hidden="1" customHeight="1"/>
    <row r="173" ht="13.5" hidden="1" customHeight="1"/>
    <row r="174" ht="13.5" hidden="1" customHeight="1"/>
    <row r="175" ht="13.5" hidden="1" customHeight="1"/>
    <row r="176" ht="13.5" hidden="1" customHeight="1"/>
    <row r="177" ht="13.5" hidden="1" customHeight="1"/>
    <row r="178" ht="13.5" hidden="1" customHeight="1"/>
    <row r="179" ht="13.5" hidden="1" customHeight="1"/>
    <row r="180" ht="13.5" hidden="1" customHeight="1"/>
    <row r="181" ht="13.5" hidden="1" customHeight="1"/>
    <row r="182" ht="13.5" hidden="1" customHeight="1"/>
    <row r="183" ht="13.5" hidden="1" customHeight="1"/>
    <row r="184" ht="13.5" hidden="1" customHeight="1"/>
    <row r="185" ht="13.5" hidden="1" customHeight="1"/>
    <row r="186" ht="13.5" hidden="1" customHeight="1"/>
    <row r="187" ht="13.5" hidden="1" customHeight="1"/>
    <row r="188" ht="13.5" hidden="1" customHeight="1"/>
    <row r="189" ht="13.5" hidden="1" customHeight="1"/>
    <row r="190" ht="13.5" hidden="1" customHeight="1"/>
    <row r="191" ht="13.5" hidden="1" customHeight="1"/>
    <row r="192" ht="13.5" hidden="1" customHeight="1"/>
    <row r="193" ht="13.5" hidden="1" customHeight="1"/>
    <row r="194" ht="13.5" hidden="1" customHeight="1"/>
    <row r="195" ht="13.5" hidden="1" customHeight="1"/>
    <row r="196" ht="13.5" hidden="1" customHeight="1"/>
    <row r="197" ht="13.5" hidden="1" customHeight="1"/>
    <row r="198" ht="13.5" hidden="1" customHeight="1"/>
    <row r="199" ht="13.5" hidden="1" customHeight="1"/>
    <row r="200" ht="13.5" hidden="1" customHeight="1"/>
    <row r="201" ht="13.5" hidden="1" customHeight="1"/>
    <row r="202" ht="13.5" hidden="1" customHeight="1"/>
    <row r="203" ht="13.5" hidden="1" customHeight="1"/>
    <row r="204" ht="13.5" hidden="1" customHeight="1"/>
    <row r="205" ht="13.5" hidden="1" customHeight="1"/>
    <row r="206" ht="13.5" hidden="1" customHeight="1"/>
    <row r="207" ht="13.5" hidden="1" customHeight="1"/>
    <row r="208" ht="13.5" hidden="1" customHeight="1"/>
    <row r="209" ht="13.5" hidden="1" customHeight="1"/>
    <row r="210" ht="13.5" hidden="1" customHeight="1"/>
    <row r="211" ht="13.5" hidden="1" customHeight="1"/>
    <row r="212" ht="13.5" hidden="1" customHeight="1"/>
    <row r="213" ht="13.5" hidden="1" customHeight="1"/>
    <row r="214" ht="13.5" hidden="1" customHeight="1"/>
    <row r="215" ht="13.5" hidden="1" customHeight="1"/>
    <row r="216" ht="13.5" hidden="1" customHeight="1"/>
    <row r="217" ht="13.5" hidden="1" customHeight="1"/>
    <row r="218" ht="13.5" hidden="1" customHeight="1"/>
    <row r="219" ht="13.5" hidden="1" customHeight="1"/>
    <row r="220" ht="13.5" hidden="1" customHeight="1"/>
    <row r="221" ht="13.5" hidden="1" customHeight="1"/>
    <row r="222" ht="13.5" hidden="1" customHeight="1"/>
    <row r="223" ht="13.5" hidden="1" customHeight="1"/>
    <row r="224" ht="13.5" hidden="1" customHeight="1"/>
    <row r="225" ht="13.5" hidden="1" customHeight="1"/>
    <row r="226" ht="13.5" hidden="1" customHeight="1"/>
    <row r="227" ht="13.5" hidden="1" customHeight="1"/>
    <row r="228" ht="13.5" hidden="1" customHeight="1"/>
    <row r="229" ht="13.5" hidden="1" customHeight="1"/>
    <row r="230" ht="13.5" hidden="1" customHeight="1"/>
    <row r="231" ht="13.5" hidden="1" customHeight="1"/>
    <row r="232" ht="13.5" hidden="1" customHeight="1"/>
    <row r="233" ht="13.5" hidden="1" customHeight="1"/>
    <row r="234" ht="13.5" hidden="1" customHeight="1"/>
    <row r="235" ht="13.5" hidden="1" customHeight="1"/>
    <row r="236" ht="13.5" hidden="1" customHeight="1"/>
    <row r="237" ht="13.5" hidden="1" customHeight="1"/>
    <row r="238" ht="13.5" hidden="1" customHeight="1"/>
    <row r="239" ht="13.5" hidden="1" customHeight="1"/>
    <row r="240" ht="13.5" hidden="1" customHeight="1"/>
    <row r="241" ht="13.5" hidden="1" customHeight="1"/>
    <row r="242" ht="13.5" hidden="1" customHeight="1"/>
    <row r="243" ht="13.5" hidden="1" customHeight="1"/>
    <row r="244" ht="13.5" hidden="1" customHeight="1"/>
    <row r="245" ht="13.5" hidden="1" customHeight="1"/>
    <row r="246" ht="13.5" hidden="1" customHeight="1"/>
    <row r="247" ht="13.5" hidden="1" customHeight="1"/>
    <row r="248" ht="13.5" hidden="1" customHeight="1"/>
    <row r="249" ht="13.5" hidden="1" customHeight="1"/>
    <row r="250" ht="13.5" hidden="1" customHeight="1"/>
    <row r="251" ht="13.5" hidden="1" customHeight="1"/>
    <row r="252" ht="13.5" hidden="1" customHeight="1"/>
    <row r="253" ht="13.5" hidden="1" customHeight="1"/>
    <row r="254" ht="13.5" hidden="1" customHeight="1"/>
    <row r="255" ht="13.5" hidden="1" customHeight="1"/>
    <row r="256" ht="13.5" hidden="1" customHeight="1"/>
    <row r="257" ht="13.5" hidden="1" customHeight="1"/>
    <row r="258" ht="13.5" hidden="1" customHeight="1"/>
    <row r="259" ht="13.5" hidden="1" customHeight="1"/>
    <row r="260" ht="13.5" hidden="1" customHeight="1"/>
    <row r="261" ht="13.5" hidden="1" customHeight="1"/>
    <row r="262" ht="13.5" hidden="1" customHeight="1"/>
    <row r="263" ht="13.5" hidden="1" customHeight="1"/>
    <row r="264" ht="13.5" hidden="1" customHeight="1"/>
    <row r="265" ht="13.5" hidden="1" customHeight="1"/>
    <row r="266" ht="13.5" hidden="1" customHeight="1"/>
    <row r="267" ht="13.5" hidden="1" customHeight="1"/>
    <row r="268" ht="13.5" hidden="1" customHeight="1"/>
    <row r="269" ht="13.5" hidden="1" customHeight="1"/>
    <row r="270" ht="13.5" hidden="1" customHeight="1"/>
    <row r="271" ht="13.5" hidden="1" customHeight="1"/>
    <row r="272" ht="13.5" hidden="1" customHeight="1"/>
    <row r="273" ht="13.5" hidden="1" customHeight="1"/>
    <row r="274" ht="13.5" hidden="1" customHeight="1"/>
    <row r="275" ht="13.5" hidden="1" customHeight="1"/>
    <row r="276" ht="13.5" hidden="1" customHeight="1"/>
    <row r="277" ht="13.5" hidden="1" customHeight="1"/>
    <row r="278" ht="13.5" hidden="1" customHeight="1"/>
    <row r="279" ht="13.5" hidden="1" customHeight="1"/>
    <row r="280" ht="13.5" hidden="1" customHeight="1"/>
    <row r="281" ht="13.5" hidden="1" customHeight="1"/>
    <row r="282" ht="13.5" hidden="1" customHeight="1"/>
    <row r="283" ht="13.5" hidden="1" customHeight="1"/>
    <row r="284" ht="13.5" hidden="1" customHeight="1"/>
    <row r="285" ht="13.5" hidden="1" customHeight="1"/>
    <row r="286" ht="13.5" hidden="1" customHeight="1"/>
    <row r="287" ht="13.5" hidden="1" customHeight="1"/>
    <row r="288" ht="13.5" hidden="1" customHeight="1"/>
    <row r="289" ht="13.5" hidden="1" customHeight="1"/>
    <row r="290" ht="13.5" hidden="1" customHeight="1"/>
    <row r="291" ht="13.5" hidden="1" customHeight="1"/>
    <row r="292" ht="13.5" hidden="1" customHeight="1"/>
    <row r="293" ht="13.5" hidden="1" customHeight="1"/>
    <row r="294" ht="13.5" hidden="1" customHeight="1"/>
    <row r="295" ht="13.5" hidden="1" customHeight="1"/>
    <row r="296" ht="13.5" hidden="1" customHeight="1"/>
    <row r="297" ht="13.5" hidden="1" customHeight="1"/>
    <row r="298" ht="13.5" hidden="1" customHeight="1"/>
    <row r="299" ht="13.5" hidden="1" customHeight="1"/>
    <row r="300" ht="13.5" hidden="1" customHeight="1"/>
    <row r="301" ht="13.5" hidden="1" customHeight="1"/>
    <row r="302" ht="13.5" hidden="1" customHeight="1"/>
    <row r="303" ht="13.5" hidden="1" customHeight="1"/>
    <row r="304" ht="13.5" hidden="1" customHeight="1"/>
    <row r="305" ht="13.5" hidden="1" customHeight="1"/>
    <row r="306" ht="13.5" hidden="1" customHeight="1"/>
    <row r="307" ht="13.5" hidden="1" customHeight="1"/>
    <row r="308" ht="13.5" hidden="1" customHeight="1"/>
    <row r="309" ht="13.5" hidden="1" customHeight="1"/>
    <row r="310" ht="13.5" hidden="1" customHeight="1"/>
    <row r="311" ht="13.5" hidden="1" customHeight="1"/>
    <row r="312" ht="13.5" hidden="1" customHeight="1"/>
    <row r="313" ht="13.5" hidden="1" customHeight="1"/>
    <row r="314" ht="13.5" hidden="1" customHeight="1"/>
    <row r="315" ht="13.5" hidden="1" customHeight="1"/>
    <row r="316" ht="13.5" hidden="1" customHeight="1"/>
    <row r="317" ht="13.5" hidden="1" customHeight="1"/>
    <row r="318" ht="13.5" hidden="1" customHeight="1"/>
    <row r="319" ht="13.5" hidden="1" customHeight="1"/>
    <row r="320" ht="13.5" hidden="1" customHeight="1"/>
    <row r="321" ht="13.5" hidden="1" customHeight="1"/>
    <row r="322" ht="13.5" hidden="1" customHeight="1"/>
    <row r="323" ht="13.5" hidden="1" customHeight="1"/>
    <row r="324" ht="13.5" hidden="1" customHeight="1"/>
    <row r="325" ht="13.5" hidden="1" customHeight="1"/>
    <row r="326" ht="13.5" hidden="1" customHeight="1"/>
    <row r="327" ht="13.5" hidden="1" customHeight="1"/>
  </sheetData>
  <phoneticPr fontId="0" type="noConversion"/>
  <pageMargins left="0.75" right="0.75" top="1" bottom="1" header="0.4921259845" footer="0.4921259845"/>
  <pageSetup paperSize="0" scale="65" orientation="landscape" horizontalDpi="4294967292" verticalDpi="4294967292"/>
  <headerFooter alignWithMargins="0">
    <oddFooter>&amp;LLe &amp;D&amp;CProfilés &amp;A du &amp;F&amp;RPage &amp;P sur &amp;N</oddFooter>
  </headerFooter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AJ336"/>
  <sheetViews>
    <sheetView workbookViewId="0">
      <selection activeCell="A16" sqref="A16"/>
    </sheetView>
  </sheetViews>
  <sheetFormatPr defaultColWidth="0" defaultRowHeight="0" customHeight="1" zeroHeight="1"/>
  <cols>
    <col min="1" max="1" width="15.85546875" style="5" customWidth="1"/>
    <col min="2" max="2" width="5.7109375" style="7" customWidth="1"/>
    <col min="3" max="6" width="5" style="7" customWidth="1"/>
    <col min="7" max="7" width="6.7109375" style="7" customWidth="1"/>
    <col min="8" max="9" width="6.42578125" style="7" customWidth="1"/>
    <col min="10" max="11" width="5.28515625" style="7" customWidth="1"/>
    <col min="12" max="13" width="6.85546875" style="7" customWidth="1"/>
    <col min="14" max="16" width="9" style="7" customWidth="1"/>
    <col min="17" max="21" width="7.42578125" style="7" customWidth="1"/>
    <col min="22" max="23" width="5.85546875" style="7" customWidth="1"/>
    <col min="24" max="24" width="2.5703125" style="236" customWidth="1"/>
    <col min="25" max="25" width="16.85546875" style="5" customWidth="1"/>
    <col min="26" max="26" width="5" style="7" customWidth="1"/>
    <col min="27" max="30" width="6" style="7" customWidth="1"/>
    <col min="31" max="31" width="7.7109375" style="7" customWidth="1"/>
    <col min="32" max="32" width="5.85546875" style="7" customWidth="1"/>
    <col min="33" max="34" width="8.7109375" style="7" customWidth="1"/>
    <col min="35" max="35" width="8.7109375" style="145" customWidth="1"/>
    <col min="36" max="36" width="2" style="7" customWidth="1"/>
    <col min="37" max="16384" width="10.85546875" style="7" hidden="1"/>
  </cols>
  <sheetData>
    <row r="1" spans="1:36" s="4" customFormat="1" ht="15.75" customHeight="1">
      <c r="A1" s="458"/>
      <c r="B1" s="500"/>
      <c r="C1" s="325"/>
      <c r="D1" s="325"/>
      <c r="E1" s="458"/>
      <c r="F1" s="459"/>
      <c r="G1" s="325"/>
      <c r="H1" s="459"/>
      <c r="I1" s="325"/>
      <c r="J1" s="458"/>
      <c r="K1" s="459"/>
      <c r="L1" s="419"/>
      <c r="M1" s="419"/>
      <c r="N1" s="419"/>
      <c r="O1" s="419"/>
      <c r="P1" s="419"/>
      <c r="Q1" s="419"/>
      <c r="R1" s="419"/>
      <c r="S1" s="419"/>
      <c r="T1" s="419"/>
      <c r="U1" s="419"/>
      <c r="V1" s="419"/>
      <c r="W1" s="419"/>
      <c r="X1" s="494"/>
      <c r="Y1" s="419"/>
      <c r="Z1" s="419"/>
      <c r="AA1" s="419"/>
      <c r="AB1" s="419"/>
      <c r="AC1" s="419"/>
      <c r="AD1" s="419"/>
      <c r="AE1" s="419"/>
      <c r="AF1" s="419"/>
      <c r="AG1" s="419"/>
      <c r="AH1" s="419"/>
      <c r="AI1" s="462"/>
      <c r="AJ1" s="419"/>
    </row>
    <row r="2" spans="1:36" s="4" customFormat="1" ht="23.25" customHeight="1">
      <c r="A2" s="423" t="s">
        <v>1837</v>
      </c>
      <c r="B2" s="500"/>
      <c r="C2" s="325"/>
      <c r="D2" s="325"/>
      <c r="E2" s="458"/>
      <c r="F2" s="459"/>
      <c r="G2" s="325"/>
      <c r="H2" s="459"/>
      <c r="I2" s="325"/>
      <c r="J2" s="458"/>
      <c r="K2" s="459"/>
      <c r="L2" s="419"/>
      <c r="M2" s="419"/>
      <c r="N2" s="419"/>
      <c r="O2" s="419"/>
      <c r="P2" s="419"/>
      <c r="Q2" s="419"/>
      <c r="R2" s="419"/>
      <c r="S2" s="419"/>
      <c r="T2" s="419"/>
      <c r="U2" s="419"/>
      <c r="V2" s="419"/>
      <c r="W2" s="419"/>
      <c r="X2" s="494"/>
      <c r="Y2" s="501"/>
      <c r="Z2" s="419"/>
      <c r="AA2" s="419"/>
      <c r="AB2" s="419"/>
      <c r="AC2" s="419"/>
      <c r="AD2" s="419"/>
      <c r="AE2" s="419"/>
      <c r="AF2" s="419"/>
      <c r="AG2" s="419"/>
      <c r="AH2" s="419"/>
      <c r="AI2" s="462"/>
      <c r="AJ2" s="419"/>
    </row>
    <row r="3" spans="1:36" s="4" customFormat="1" ht="20.25">
      <c r="A3" s="423" t="s">
        <v>1863</v>
      </c>
      <c r="B3" s="419"/>
      <c r="C3" s="419"/>
      <c r="D3" s="419"/>
      <c r="E3" s="419"/>
      <c r="F3" s="419"/>
      <c r="G3" s="419"/>
      <c r="H3" s="419"/>
      <c r="I3" s="419"/>
      <c r="J3" s="419"/>
      <c r="K3" s="459"/>
      <c r="L3" s="419"/>
      <c r="M3" s="419"/>
      <c r="N3" s="419"/>
      <c r="O3" s="419"/>
      <c r="P3" s="419"/>
      <c r="Q3" s="419"/>
      <c r="R3" s="419"/>
      <c r="S3" s="419"/>
      <c r="T3" s="419"/>
      <c r="U3" s="419"/>
      <c r="V3" s="419"/>
      <c r="W3" s="419"/>
      <c r="X3" s="494"/>
      <c r="Y3" s="419"/>
      <c r="Z3" s="419"/>
      <c r="AA3" s="419"/>
      <c r="AB3" s="419"/>
      <c r="AC3" s="419"/>
      <c r="AD3" s="419"/>
      <c r="AE3" s="419"/>
      <c r="AF3" s="419"/>
      <c r="AG3" s="419"/>
      <c r="AH3" s="419"/>
      <c r="AI3" s="462"/>
      <c r="AJ3" s="419"/>
    </row>
    <row r="4" spans="1:36" s="4" customFormat="1" ht="14.1" customHeight="1">
      <c r="A4" s="419"/>
      <c r="B4" s="419"/>
      <c r="C4" s="419"/>
      <c r="D4" s="419"/>
      <c r="E4" s="419"/>
      <c r="F4" s="419"/>
      <c r="G4" s="419"/>
      <c r="H4" s="419"/>
      <c r="I4" s="419"/>
      <c r="J4" s="419"/>
      <c r="K4" s="459"/>
      <c r="L4" s="419"/>
      <c r="M4" s="419"/>
      <c r="N4" s="419"/>
      <c r="O4" s="419"/>
      <c r="P4" s="419"/>
      <c r="Q4" s="419"/>
      <c r="R4" s="419"/>
      <c r="S4" s="419"/>
      <c r="T4" s="419"/>
      <c r="U4" s="419"/>
      <c r="V4" s="419"/>
      <c r="W4" s="419"/>
      <c r="X4" s="494"/>
      <c r="Y4" s="419"/>
      <c r="Z4" s="419"/>
      <c r="AA4" s="419"/>
      <c r="AB4" s="419"/>
      <c r="AC4" s="419"/>
      <c r="AD4" s="419"/>
      <c r="AE4" s="419"/>
      <c r="AF4" s="419"/>
      <c r="AG4" s="419"/>
      <c r="AH4" s="419"/>
      <c r="AI4" s="462"/>
      <c r="AJ4" s="419"/>
    </row>
    <row r="5" spans="1:36" s="4" customFormat="1" ht="14.1" customHeight="1">
      <c r="A5" s="419"/>
      <c r="B5" s="419"/>
      <c r="C5" s="419"/>
      <c r="D5" s="419"/>
      <c r="E5" s="419"/>
      <c r="F5" s="419"/>
      <c r="G5" s="419"/>
      <c r="H5" s="419"/>
      <c r="I5" s="419"/>
      <c r="J5" s="419"/>
      <c r="K5" s="419"/>
      <c r="L5" s="419"/>
      <c r="M5" s="419"/>
      <c r="N5" s="419"/>
      <c r="O5" s="419"/>
      <c r="P5" s="419"/>
      <c r="Q5" s="419"/>
      <c r="R5" s="419"/>
      <c r="S5" s="419"/>
      <c r="T5" s="419"/>
      <c r="U5" s="419"/>
      <c r="V5" s="419"/>
      <c r="W5" s="419"/>
      <c r="X5" s="494"/>
      <c r="Y5" s="419"/>
      <c r="Z5" s="419"/>
      <c r="AA5" s="419"/>
      <c r="AB5" s="419"/>
      <c r="AC5" s="419"/>
      <c r="AD5" s="419"/>
      <c r="AE5" s="419"/>
      <c r="AF5" s="419"/>
      <c r="AG5" s="419"/>
      <c r="AH5" s="419"/>
      <c r="AI5" s="462"/>
      <c r="AJ5" s="419"/>
    </row>
    <row r="6" spans="1:36" s="4" customFormat="1" ht="14.1" customHeight="1">
      <c r="A6" s="419"/>
      <c r="B6" s="419"/>
      <c r="C6" s="419"/>
      <c r="D6" s="419"/>
      <c r="E6" s="419"/>
      <c r="F6" s="419"/>
      <c r="G6" s="419"/>
      <c r="H6" s="419"/>
      <c r="I6" s="419"/>
      <c r="J6" s="419"/>
      <c r="K6" s="419"/>
      <c r="L6" s="419"/>
      <c r="M6" s="419"/>
      <c r="N6" s="419"/>
      <c r="O6" s="419"/>
      <c r="P6" s="419"/>
      <c r="Q6" s="419"/>
      <c r="R6" s="419"/>
      <c r="S6" s="419"/>
      <c r="T6" s="419"/>
      <c r="U6" s="419"/>
      <c r="V6" s="419"/>
      <c r="W6" s="419"/>
      <c r="X6" s="494"/>
      <c r="Y6" s="419"/>
      <c r="Z6" s="419"/>
      <c r="AA6" s="419"/>
      <c r="AB6" s="419"/>
      <c r="AC6" s="419"/>
      <c r="AD6" s="419"/>
      <c r="AE6" s="419"/>
      <c r="AF6" s="419"/>
      <c r="AG6" s="419"/>
      <c r="AH6" s="419"/>
      <c r="AI6" s="462"/>
      <c r="AJ6" s="419"/>
    </row>
    <row r="7" spans="1:36" s="4" customFormat="1" ht="14.1" customHeight="1">
      <c r="A7" s="419"/>
      <c r="B7" s="419"/>
      <c r="C7" s="419"/>
      <c r="D7" s="419"/>
      <c r="E7" s="419"/>
      <c r="F7" s="419"/>
      <c r="G7" s="419"/>
      <c r="H7" s="419"/>
      <c r="I7" s="419"/>
      <c r="J7" s="419"/>
      <c r="K7" s="419"/>
      <c r="L7" s="419"/>
      <c r="M7" s="419"/>
      <c r="N7" s="419"/>
      <c r="O7" s="502"/>
      <c r="P7" s="383"/>
      <c r="Q7" s="419"/>
      <c r="R7" s="419"/>
      <c r="S7" s="419"/>
      <c r="T7" s="419"/>
      <c r="U7" s="419"/>
      <c r="V7" s="419"/>
      <c r="W7" s="419"/>
      <c r="X7" s="494"/>
      <c r="Y7" s="419"/>
      <c r="Z7" s="419"/>
      <c r="AA7" s="419"/>
      <c r="AB7" s="419"/>
      <c r="AC7" s="419"/>
      <c r="AD7" s="419"/>
      <c r="AE7" s="419"/>
      <c r="AF7" s="419"/>
      <c r="AG7" s="419"/>
      <c r="AH7" s="419"/>
      <c r="AI7" s="462"/>
      <c r="AJ7" s="419"/>
    </row>
    <row r="8" spans="1:36" s="4" customFormat="1" ht="14.1" customHeight="1">
      <c r="A8" s="419"/>
      <c r="B8" s="419"/>
      <c r="C8" s="419"/>
      <c r="D8" s="419"/>
      <c r="E8" s="419"/>
      <c r="F8" s="419"/>
      <c r="G8" s="419"/>
      <c r="H8" s="419"/>
      <c r="I8" s="419"/>
      <c r="J8" s="419"/>
      <c r="K8" s="419"/>
      <c r="L8" s="419"/>
      <c r="M8" s="419"/>
      <c r="N8" s="419"/>
      <c r="O8" s="419"/>
      <c r="P8" s="419"/>
      <c r="Q8" s="419"/>
      <c r="R8" s="419"/>
      <c r="S8" s="419"/>
      <c r="T8" s="419"/>
      <c r="U8" s="419"/>
      <c r="V8" s="419"/>
      <c r="W8" s="419"/>
      <c r="X8" s="494"/>
      <c r="Y8" s="419"/>
      <c r="Z8" s="419"/>
      <c r="AA8" s="419"/>
      <c r="AB8" s="419"/>
      <c r="AC8" s="419"/>
      <c r="AD8" s="419"/>
      <c r="AE8" s="419"/>
      <c r="AF8" s="419"/>
      <c r="AG8" s="419"/>
      <c r="AH8" s="419"/>
      <c r="AI8" s="462"/>
      <c r="AJ8" s="419"/>
    </row>
    <row r="9" spans="1:36" s="4" customFormat="1" ht="14.1" customHeight="1" thickBot="1">
      <c r="A9" s="419"/>
      <c r="B9" s="419"/>
      <c r="C9" s="419"/>
      <c r="D9" s="419"/>
      <c r="E9" s="419"/>
      <c r="F9" s="419"/>
      <c r="G9" s="419"/>
      <c r="H9" s="419"/>
      <c r="I9" s="419"/>
      <c r="J9" s="419"/>
      <c r="K9" s="419"/>
      <c r="L9" s="419"/>
      <c r="M9" s="419"/>
      <c r="N9" s="419"/>
      <c r="O9" s="419"/>
      <c r="P9" s="419"/>
      <c r="Q9" s="419"/>
      <c r="R9" s="419"/>
      <c r="S9" s="419"/>
      <c r="T9" s="419"/>
      <c r="U9" s="419"/>
      <c r="V9" s="419"/>
      <c r="W9" s="419"/>
      <c r="X9" s="494"/>
      <c r="Y9" s="419"/>
      <c r="Z9" s="419"/>
      <c r="AA9" s="419"/>
      <c r="AB9" s="419"/>
      <c r="AC9" s="419"/>
      <c r="AD9" s="419"/>
      <c r="AE9" s="419"/>
      <c r="AF9" s="419"/>
      <c r="AG9" s="419"/>
      <c r="AH9" s="419"/>
      <c r="AI9" s="462"/>
      <c r="AJ9" s="419"/>
    </row>
    <row r="10" spans="1:36" s="100" customFormat="1" ht="13.5" customHeight="1" thickTop="1" thickBot="1">
      <c r="A10" s="327"/>
      <c r="B10" s="328"/>
      <c r="C10" s="363"/>
      <c r="D10" s="363"/>
      <c r="E10" s="363"/>
      <c r="F10" s="363"/>
      <c r="G10" s="366" t="s">
        <v>1799</v>
      </c>
      <c r="H10" s="327"/>
      <c r="I10" s="363"/>
      <c r="J10" s="363"/>
      <c r="K10" s="364"/>
      <c r="L10" s="327"/>
      <c r="M10" s="364"/>
      <c r="N10" s="362"/>
      <c r="O10" s="362"/>
      <c r="P10" s="362"/>
      <c r="Q10" s="362" t="s">
        <v>1804</v>
      </c>
      <c r="R10" s="362"/>
      <c r="S10" s="362"/>
      <c r="T10" s="362"/>
      <c r="U10" s="373"/>
      <c r="V10" s="375" t="s">
        <v>1806</v>
      </c>
      <c r="W10" s="375"/>
      <c r="X10" s="495"/>
      <c r="Y10" s="327"/>
      <c r="Z10" s="328"/>
      <c r="AA10" s="363"/>
      <c r="AB10" s="363"/>
      <c r="AC10" s="363"/>
      <c r="AD10" s="363"/>
      <c r="AE10" s="366" t="s">
        <v>1799</v>
      </c>
      <c r="AF10" s="327"/>
      <c r="AG10" s="363"/>
      <c r="AH10" s="363"/>
      <c r="AI10" s="364"/>
    </row>
    <row r="11" spans="1:36" s="100" customFormat="1" ht="13.5" customHeight="1" thickTop="1" thickBot="1">
      <c r="A11" s="329" t="s">
        <v>1799</v>
      </c>
      <c r="B11" s="330"/>
      <c r="C11" s="360"/>
      <c r="D11" s="360" t="s">
        <v>1800</v>
      </c>
      <c r="E11" s="360"/>
      <c r="F11" s="360"/>
      <c r="G11" s="367" t="s">
        <v>1801</v>
      </c>
      <c r="H11" s="329"/>
      <c r="I11" s="360" t="s">
        <v>1841</v>
      </c>
      <c r="J11" s="360"/>
      <c r="K11" s="365"/>
      <c r="L11" s="329" t="s">
        <v>1803</v>
      </c>
      <c r="M11" s="365"/>
      <c r="N11" s="362"/>
      <c r="O11" s="362" t="s">
        <v>1838</v>
      </c>
      <c r="P11" s="365"/>
      <c r="Q11" s="362" t="s">
        <v>1839</v>
      </c>
      <c r="R11" s="362"/>
      <c r="S11" s="362" t="s">
        <v>1840</v>
      </c>
      <c r="T11" s="362"/>
      <c r="U11" s="506"/>
      <c r="V11" s="378" t="s">
        <v>1807</v>
      </c>
      <c r="W11" s="378"/>
      <c r="X11" s="496"/>
      <c r="Y11" s="329" t="s">
        <v>1799</v>
      </c>
      <c r="Z11" s="330"/>
      <c r="AA11" s="360"/>
      <c r="AB11" s="360" t="s">
        <v>1800</v>
      </c>
      <c r="AC11" s="360"/>
      <c r="AD11" s="360"/>
      <c r="AE11" s="367" t="s">
        <v>1801</v>
      </c>
      <c r="AF11" s="329"/>
      <c r="AG11" s="360" t="s">
        <v>1802</v>
      </c>
      <c r="AH11" s="360"/>
      <c r="AI11" s="365"/>
    </row>
    <row r="12" spans="1:36" s="100" customFormat="1" ht="13.5" customHeight="1" thickTop="1">
      <c r="A12" s="226"/>
      <c r="B12" s="19" t="s">
        <v>78</v>
      </c>
      <c r="C12" s="10" t="s">
        <v>1506</v>
      </c>
      <c r="D12" s="10" t="s">
        <v>79</v>
      </c>
      <c r="E12" s="10" t="s">
        <v>96</v>
      </c>
      <c r="F12" s="19" t="s">
        <v>97</v>
      </c>
      <c r="G12" s="19" t="s">
        <v>80</v>
      </c>
      <c r="H12" s="10" t="s">
        <v>81</v>
      </c>
      <c r="I12" s="10" t="s">
        <v>82</v>
      </c>
      <c r="J12" s="10" t="s">
        <v>83</v>
      </c>
      <c r="K12" s="19" t="s">
        <v>84</v>
      </c>
      <c r="L12" s="10" t="s">
        <v>85</v>
      </c>
      <c r="M12" s="10" t="s">
        <v>86</v>
      </c>
      <c r="N12" s="10" t="s">
        <v>95</v>
      </c>
      <c r="O12" s="212" t="s">
        <v>87</v>
      </c>
      <c r="P12" s="19" t="s">
        <v>88</v>
      </c>
      <c r="Q12" s="10" t="s">
        <v>89</v>
      </c>
      <c r="R12" s="19" t="s">
        <v>90</v>
      </c>
      <c r="S12" s="10" t="s">
        <v>91</v>
      </c>
      <c r="T12" s="19" t="s">
        <v>92</v>
      </c>
      <c r="U12" s="20" t="s">
        <v>93</v>
      </c>
      <c r="V12" s="374"/>
      <c r="W12" s="376"/>
      <c r="X12" s="495"/>
      <c r="Y12" s="11"/>
      <c r="Z12" s="19" t="s">
        <v>572</v>
      </c>
      <c r="AA12" s="10" t="s">
        <v>1506</v>
      </c>
      <c r="AB12" s="10" t="s">
        <v>1507</v>
      </c>
      <c r="AC12" s="10" t="s">
        <v>1508</v>
      </c>
      <c r="AD12" s="19" t="s">
        <v>1509</v>
      </c>
      <c r="AE12" s="19" t="s">
        <v>578</v>
      </c>
      <c r="AF12" s="227" t="s">
        <v>1510</v>
      </c>
      <c r="AG12" s="10" t="s">
        <v>1511</v>
      </c>
      <c r="AH12" s="10" t="s">
        <v>1512</v>
      </c>
      <c r="AI12" s="10" t="s">
        <v>1513</v>
      </c>
    </row>
    <row r="13" spans="1:36" s="100" customFormat="1" ht="13.5" customHeight="1" thickBot="1">
      <c r="A13" s="226"/>
      <c r="B13" s="19" t="s">
        <v>599</v>
      </c>
      <c r="C13" s="10" t="s">
        <v>600</v>
      </c>
      <c r="D13" s="10" t="s">
        <v>601</v>
      </c>
      <c r="E13" s="10" t="s">
        <v>601</v>
      </c>
      <c r="F13" s="19" t="s">
        <v>601</v>
      </c>
      <c r="G13" s="19" t="s">
        <v>884</v>
      </c>
      <c r="H13" s="10" t="s">
        <v>607</v>
      </c>
      <c r="I13" s="10" t="s">
        <v>607</v>
      </c>
      <c r="J13" s="10" t="s">
        <v>607</v>
      </c>
      <c r="K13" s="19" t="s">
        <v>607</v>
      </c>
      <c r="L13" s="10" t="s">
        <v>880</v>
      </c>
      <c r="M13" s="10" t="s">
        <v>881</v>
      </c>
      <c r="N13" s="10" t="s">
        <v>1514</v>
      </c>
      <c r="O13" s="10" t="s">
        <v>885</v>
      </c>
      <c r="P13" s="19" t="s">
        <v>607</v>
      </c>
      <c r="Q13" s="10" t="s">
        <v>611</v>
      </c>
      <c r="R13" s="19" t="s">
        <v>607</v>
      </c>
      <c r="S13" s="10" t="s">
        <v>611</v>
      </c>
      <c r="T13" s="19" t="s">
        <v>607</v>
      </c>
      <c r="U13" s="20" t="s">
        <v>611</v>
      </c>
      <c r="V13" s="378" t="s">
        <v>1809</v>
      </c>
      <c r="W13" s="379"/>
      <c r="X13" s="495"/>
      <c r="Y13" s="226"/>
      <c r="Z13" s="19" t="s">
        <v>599</v>
      </c>
      <c r="AA13" s="10" t="s">
        <v>600</v>
      </c>
      <c r="AB13" s="10" t="s">
        <v>601</v>
      </c>
      <c r="AC13" s="10" t="s">
        <v>601</v>
      </c>
      <c r="AD13" s="19" t="s">
        <v>601</v>
      </c>
      <c r="AE13" s="19" t="s">
        <v>884</v>
      </c>
      <c r="AF13" s="10"/>
      <c r="AG13" s="10" t="s">
        <v>601</v>
      </c>
      <c r="AH13" s="10" t="s">
        <v>601</v>
      </c>
      <c r="AI13" s="10" t="s">
        <v>884</v>
      </c>
    </row>
    <row r="14" spans="1:36" s="100" customFormat="1" ht="13.5" customHeight="1" thickTop="1" thickBot="1">
      <c r="A14" s="228"/>
      <c r="B14" s="76"/>
      <c r="C14" s="75"/>
      <c r="D14" s="75"/>
      <c r="E14" s="75"/>
      <c r="F14" s="76"/>
      <c r="G14" s="76"/>
      <c r="H14" s="75"/>
      <c r="I14" s="75"/>
      <c r="J14" s="75"/>
      <c r="K14" s="76"/>
      <c r="L14" s="75"/>
      <c r="M14" s="75"/>
      <c r="N14" s="75"/>
      <c r="O14" s="75"/>
      <c r="P14" s="76"/>
      <c r="Q14" s="75"/>
      <c r="R14" s="76"/>
      <c r="S14" s="75"/>
      <c r="T14" s="76"/>
      <c r="U14" s="224"/>
      <c r="V14" s="229">
        <v>235</v>
      </c>
      <c r="W14" s="230">
        <v>355</v>
      </c>
      <c r="X14" s="497"/>
      <c r="Y14" s="228"/>
      <c r="Z14" s="76"/>
      <c r="AA14" s="75"/>
      <c r="AB14" s="75"/>
      <c r="AC14" s="75"/>
      <c r="AD14" s="76"/>
      <c r="AE14" s="76"/>
      <c r="AF14" s="75"/>
      <c r="AG14" s="75"/>
      <c r="AH14" s="75"/>
      <c r="AI14" s="75"/>
    </row>
    <row r="15" spans="1:36" s="32" customFormat="1" ht="13.5" customHeight="1" thickTop="1">
      <c r="A15" s="231" t="s">
        <v>94</v>
      </c>
      <c r="B15" s="19" t="s">
        <v>78</v>
      </c>
      <c r="C15" s="10" t="s">
        <v>1506</v>
      </c>
      <c r="D15" s="10" t="s">
        <v>79</v>
      </c>
      <c r="E15" s="10" t="s">
        <v>96</v>
      </c>
      <c r="F15" s="19" t="s">
        <v>97</v>
      </c>
      <c r="G15" s="19" t="s">
        <v>80</v>
      </c>
      <c r="H15" s="10" t="s">
        <v>81</v>
      </c>
      <c r="I15" s="10" t="s">
        <v>82</v>
      </c>
      <c r="J15" s="10" t="s">
        <v>83</v>
      </c>
      <c r="K15" s="19" t="s">
        <v>84</v>
      </c>
      <c r="L15" s="10" t="s">
        <v>85</v>
      </c>
      <c r="M15" s="10" t="s">
        <v>86</v>
      </c>
      <c r="N15" s="10" t="s">
        <v>95</v>
      </c>
      <c r="O15" s="212" t="s">
        <v>87</v>
      </c>
      <c r="P15" s="19" t="s">
        <v>88</v>
      </c>
      <c r="Q15" s="10" t="s">
        <v>89</v>
      </c>
      <c r="R15" s="19" t="s">
        <v>90</v>
      </c>
      <c r="S15" s="10" t="s">
        <v>91</v>
      </c>
      <c r="T15" s="19" t="s">
        <v>92</v>
      </c>
      <c r="U15" s="20" t="s">
        <v>93</v>
      </c>
      <c r="V15" s="46"/>
      <c r="W15" s="46"/>
      <c r="X15" s="498"/>
      <c r="Y15" s="231"/>
      <c r="Z15" s="46"/>
      <c r="AA15" s="46"/>
      <c r="AB15" s="46"/>
      <c r="AC15" s="46"/>
      <c r="AD15" s="46"/>
      <c r="AE15" s="46"/>
      <c r="AF15" s="46"/>
      <c r="AG15" s="46"/>
      <c r="AH15" s="46"/>
      <c r="AI15" s="46"/>
    </row>
    <row r="16" spans="1:36" s="435" customFormat="1" ht="13.5" customHeight="1">
      <c r="A16" s="404" t="s">
        <v>1515</v>
      </c>
      <c r="B16" s="405">
        <v>12.2</v>
      </c>
      <c r="C16" s="398">
        <v>100</v>
      </c>
      <c r="D16" s="398">
        <v>8</v>
      </c>
      <c r="E16" s="398">
        <v>12</v>
      </c>
      <c r="F16" s="399">
        <v>6</v>
      </c>
      <c r="G16" s="407">
        <v>15.51</v>
      </c>
      <c r="H16" s="411">
        <v>2.74</v>
      </c>
      <c r="I16" s="411">
        <v>7.07</v>
      </c>
      <c r="J16" s="411">
        <v>3.87</v>
      </c>
      <c r="K16" s="407">
        <v>3.52</v>
      </c>
      <c r="L16" s="410">
        <v>0.39</v>
      </c>
      <c r="M16" s="411">
        <v>32</v>
      </c>
      <c r="N16" s="406">
        <v>144.80000000000001</v>
      </c>
      <c r="O16" s="411">
        <v>19.940000000000001</v>
      </c>
      <c r="P16" s="407">
        <v>3.06</v>
      </c>
      <c r="Q16" s="406">
        <v>230.2</v>
      </c>
      <c r="R16" s="407">
        <v>3.85</v>
      </c>
      <c r="S16" s="411">
        <v>59.47</v>
      </c>
      <c r="T16" s="407">
        <v>1.96</v>
      </c>
      <c r="U16" s="503">
        <v>-85.37</v>
      </c>
      <c r="V16" s="399">
        <v>4</v>
      </c>
      <c r="W16" s="400">
        <v>4</v>
      </c>
      <c r="X16" s="498"/>
      <c r="Y16" s="404" t="s">
        <v>1515</v>
      </c>
      <c r="Z16" s="405">
        <v>12.2</v>
      </c>
      <c r="AA16" s="398">
        <v>100</v>
      </c>
      <c r="AB16" s="398">
        <v>8</v>
      </c>
      <c r="AC16" s="398">
        <v>12</v>
      </c>
      <c r="AD16" s="399">
        <v>6</v>
      </c>
      <c r="AE16" s="407">
        <v>15.51</v>
      </c>
      <c r="AF16" s="411" t="s">
        <v>667</v>
      </c>
      <c r="AG16" s="408">
        <v>48</v>
      </c>
      <c r="AH16" s="408">
        <v>53</v>
      </c>
      <c r="AI16" s="411">
        <v>13.11</v>
      </c>
    </row>
    <row r="17" spans="1:35" s="32" customFormat="1" ht="13.5" customHeight="1">
      <c r="A17" s="33" t="s">
        <v>1516</v>
      </c>
      <c r="B17" s="51">
        <v>15</v>
      </c>
      <c r="C17" s="21">
        <v>100</v>
      </c>
      <c r="D17" s="21">
        <v>10</v>
      </c>
      <c r="E17" s="21">
        <v>12</v>
      </c>
      <c r="F17" s="43">
        <v>6</v>
      </c>
      <c r="G17" s="41">
        <v>19.2</v>
      </c>
      <c r="H17" s="40">
        <v>2.82</v>
      </c>
      <c r="I17" s="40">
        <v>7.07</v>
      </c>
      <c r="J17" s="40">
        <v>3.99</v>
      </c>
      <c r="K17" s="41">
        <v>3.54</v>
      </c>
      <c r="L17" s="39">
        <v>0.39</v>
      </c>
      <c r="M17" s="40">
        <v>25.92</v>
      </c>
      <c r="N17" s="36">
        <v>176.7</v>
      </c>
      <c r="O17" s="40">
        <v>24.62</v>
      </c>
      <c r="P17" s="41">
        <v>3.04</v>
      </c>
      <c r="Q17" s="36">
        <v>280.7</v>
      </c>
      <c r="R17" s="41">
        <v>3.83</v>
      </c>
      <c r="S17" s="40">
        <v>72.650000000000006</v>
      </c>
      <c r="T17" s="41">
        <v>1.95</v>
      </c>
      <c r="U17" s="233">
        <v>-104</v>
      </c>
      <c r="V17" s="43">
        <v>1</v>
      </c>
      <c r="W17" s="42">
        <v>4</v>
      </c>
      <c r="X17" s="498"/>
      <c r="Y17" s="33" t="s">
        <v>1516</v>
      </c>
      <c r="Z17" s="51">
        <v>15</v>
      </c>
      <c r="AA17" s="21">
        <v>100</v>
      </c>
      <c r="AB17" s="21">
        <v>10</v>
      </c>
      <c r="AC17" s="21">
        <v>12</v>
      </c>
      <c r="AD17" s="43">
        <v>6</v>
      </c>
      <c r="AE17" s="41">
        <v>19.149999999999999</v>
      </c>
      <c r="AF17" s="40" t="s">
        <v>667</v>
      </c>
      <c r="AG17" s="35">
        <v>50</v>
      </c>
      <c r="AH17" s="35">
        <v>53</v>
      </c>
      <c r="AI17" s="40">
        <v>16.149999999999999</v>
      </c>
    </row>
    <row r="18" spans="1:35" s="435" customFormat="1" ht="13.5" customHeight="1">
      <c r="A18" s="404" t="s">
        <v>1517</v>
      </c>
      <c r="B18" s="405">
        <v>17.8</v>
      </c>
      <c r="C18" s="398">
        <v>100</v>
      </c>
      <c r="D18" s="398">
        <v>12</v>
      </c>
      <c r="E18" s="398">
        <v>12</v>
      </c>
      <c r="F18" s="399">
        <v>6</v>
      </c>
      <c r="G18" s="407">
        <v>22.71</v>
      </c>
      <c r="H18" s="411">
        <v>2.9</v>
      </c>
      <c r="I18" s="411">
        <v>7.07</v>
      </c>
      <c r="J18" s="411">
        <v>4.1100000000000003</v>
      </c>
      <c r="K18" s="407">
        <v>3.57</v>
      </c>
      <c r="L18" s="410">
        <v>0.39</v>
      </c>
      <c r="M18" s="411">
        <v>21.86</v>
      </c>
      <c r="N18" s="406">
        <v>206.7</v>
      </c>
      <c r="O18" s="411">
        <v>29.12</v>
      </c>
      <c r="P18" s="407">
        <v>3.02</v>
      </c>
      <c r="Q18" s="406">
        <v>328</v>
      </c>
      <c r="R18" s="407">
        <v>3.8</v>
      </c>
      <c r="S18" s="411">
        <v>85.42</v>
      </c>
      <c r="T18" s="407">
        <v>1.94</v>
      </c>
      <c r="U18" s="503">
        <v>-121.3</v>
      </c>
      <c r="V18" s="399">
        <v>1</v>
      </c>
      <c r="W18" s="400">
        <v>2</v>
      </c>
      <c r="X18" s="498"/>
      <c r="Y18" s="404" t="s">
        <v>1517</v>
      </c>
      <c r="Z18" s="405">
        <v>17.8</v>
      </c>
      <c r="AA18" s="398">
        <v>100</v>
      </c>
      <c r="AB18" s="398">
        <v>12</v>
      </c>
      <c r="AC18" s="398">
        <v>12</v>
      </c>
      <c r="AD18" s="399">
        <v>6</v>
      </c>
      <c r="AE18" s="407">
        <v>22.71</v>
      </c>
      <c r="AF18" s="411" t="s">
        <v>667</v>
      </c>
      <c r="AG18" s="408">
        <v>52</v>
      </c>
      <c r="AH18" s="408">
        <v>53</v>
      </c>
      <c r="AI18" s="411">
        <v>19.11</v>
      </c>
    </row>
    <row r="19" spans="1:35" s="32" customFormat="1" ht="13.5" customHeight="1">
      <c r="A19" s="33"/>
      <c r="B19" s="51"/>
      <c r="C19" s="21"/>
      <c r="D19" s="21"/>
      <c r="E19" s="21"/>
      <c r="F19" s="43"/>
      <c r="G19" s="41"/>
      <c r="H19" s="40"/>
      <c r="I19" s="40"/>
      <c r="J19" s="40"/>
      <c r="K19" s="41"/>
      <c r="L19" s="39"/>
      <c r="M19" s="40"/>
      <c r="N19" s="36"/>
      <c r="O19" s="40"/>
      <c r="P19" s="41"/>
      <c r="Q19" s="36"/>
      <c r="R19" s="41"/>
      <c r="S19" s="40"/>
      <c r="T19" s="41"/>
      <c r="U19" s="233"/>
      <c r="V19" s="43"/>
      <c r="W19" s="42"/>
      <c r="X19" s="498"/>
      <c r="Y19" s="33"/>
      <c r="Z19" s="51"/>
      <c r="AA19" s="21"/>
      <c r="AB19" s="21"/>
      <c r="AC19" s="21"/>
      <c r="AD19" s="43"/>
      <c r="AE19" s="41"/>
      <c r="AF19" s="40"/>
      <c r="AG19" s="35"/>
      <c r="AH19" s="35"/>
      <c r="AI19" s="40"/>
    </row>
    <row r="20" spans="1:35" s="435" customFormat="1" ht="13.5" customHeight="1">
      <c r="A20" s="404" t="s">
        <v>1518</v>
      </c>
      <c r="B20" s="405">
        <v>16.600000000000001</v>
      </c>
      <c r="C20" s="398">
        <v>110</v>
      </c>
      <c r="D20" s="398">
        <v>10</v>
      </c>
      <c r="E20" s="398">
        <v>13</v>
      </c>
      <c r="F20" s="399">
        <v>6.5</v>
      </c>
      <c r="G20" s="407">
        <v>21.18</v>
      </c>
      <c r="H20" s="411">
        <v>3.06</v>
      </c>
      <c r="I20" s="411">
        <v>7.78</v>
      </c>
      <c r="J20" s="411">
        <v>4.33</v>
      </c>
      <c r="K20" s="407">
        <v>3.88</v>
      </c>
      <c r="L20" s="410">
        <v>0.42899999999999999</v>
      </c>
      <c r="M20" s="411">
        <v>25.79</v>
      </c>
      <c r="N20" s="406">
        <v>238</v>
      </c>
      <c r="O20" s="411">
        <v>29.99</v>
      </c>
      <c r="P20" s="407">
        <v>3.35</v>
      </c>
      <c r="Q20" s="406">
        <v>378.2</v>
      </c>
      <c r="R20" s="407">
        <v>4.2300000000000004</v>
      </c>
      <c r="S20" s="411">
        <v>97.72</v>
      </c>
      <c r="T20" s="407">
        <v>2.15</v>
      </c>
      <c r="U20" s="503">
        <v>-140.30000000000001</v>
      </c>
      <c r="V20" s="399">
        <v>2</v>
      </c>
      <c r="W20" s="400">
        <v>4</v>
      </c>
      <c r="X20" s="498"/>
      <c r="Y20" s="404" t="s">
        <v>1518</v>
      </c>
      <c r="Z20" s="405">
        <v>16.600000000000001</v>
      </c>
      <c r="AA20" s="398">
        <v>110</v>
      </c>
      <c r="AB20" s="398">
        <v>10</v>
      </c>
      <c r="AC20" s="398">
        <v>13</v>
      </c>
      <c r="AD20" s="399">
        <v>6.5</v>
      </c>
      <c r="AE20" s="407">
        <v>21.18</v>
      </c>
      <c r="AF20" s="411" t="s">
        <v>667</v>
      </c>
      <c r="AG20" s="408">
        <v>50</v>
      </c>
      <c r="AH20" s="408">
        <v>62</v>
      </c>
      <c r="AI20" s="411">
        <v>18.18</v>
      </c>
    </row>
    <row r="21" spans="1:35" s="32" customFormat="1" ht="13.5" customHeight="1">
      <c r="A21" s="33" t="s">
        <v>1519</v>
      </c>
      <c r="B21" s="51">
        <v>19.7</v>
      </c>
      <c r="C21" s="21">
        <v>110</v>
      </c>
      <c r="D21" s="21">
        <v>12</v>
      </c>
      <c r="E21" s="21">
        <v>13</v>
      </c>
      <c r="F21" s="43">
        <v>6.5</v>
      </c>
      <c r="G21" s="41">
        <v>25.14</v>
      </c>
      <c r="H21" s="40">
        <v>3.15</v>
      </c>
      <c r="I21" s="40">
        <v>7.78</v>
      </c>
      <c r="J21" s="40">
        <v>4.45</v>
      </c>
      <c r="K21" s="41">
        <v>3.91</v>
      </c>
      <c r="L21" s="39">
        <v>0.42899999999999999</v>
      </c>
      <c r="M21" s="40">
        <v>21.73</v>
      </c>
      <c r="N21" s="36">
        <v>279.10000000000002</v>
      </c>
      <c r="O21" s="40">
        <v>35.54</v>
      </c>
      <c r="P21" s="41">
        <v>3.33</v>
      </c>
      <c r="Q21" s="36">
        <v>443.3</v>
      </c>
      <c r="R21" s="41">
        <v>4.2</v>
      </c>
      <c r="S21" s="36">
        <v>115</v>
      </c>
      <c r="T21" s="41">
        <v>2.14</v>
      </c>
      <c r="U21" s="233">
        <v>-164.1</v>
      </c>
      <c r="V21" s="43">
        <v>1</v>
      </c>
      <c r="W21" s="42">
        <v>3</v>
      </c>
      <c r="X21" s="498"/>
      <c r="Y21" s="33" t="s">
        <v>1519</v>
      </c>
      <c r="Z21" s="51">
        <v>19.7</v>
      </c>
      <c r="AA21" s="21">
        <v>110</v>
      </c>
      <c r="AB21" s="21">
        <v>12</v>
      </c>
      <c r="AC21" s="21">
        <v>13</v>
      </c>
      <c r="AD21" s="43">
        <v>6.5</v>
      </c>
      <c r="AE21" s="41">
        <v>25.14</v>
      </c>
      <c r="AF21" s="40" t="s">
        <v>667</v>
      </c>
      <c r="AG21" s="35">
        <v>52</v>
      </c>
      <c r="AH21" s="35">
        <v>62</v>
      </c>
      <c r="AI21" s="40">
        <v>21.54</v>
      </c>
    </row>
    <row r="22" spans="1:35" s="32" customFormat="1" ht="13.5" customHeight="1">
      <c r="A22" s="33"/>
      <c r="B22" s="51"/>
      <c r="C22" s="21"/>
      <c r="D22" s="21"/>
      <c r="E22" s="21"/>
      <c r="F22" s="43"/>
      <c r="G22" s="41"/>
      <c r="H22" s="40"/>
      <c r="I22" s="40"/>
      <c r="J22" s="40"/>
      <c r="K22" s="41"/>
      <c r="L22" s="39"/>
      <c r="M22" s="40"/>
      <c r="N22" s="36"/>
      <c r="O22" s="40"/>
      <c r="P22" s="41"/>
      <c r="Q22" s="36"/>
      <c r="R22" s="41"/>
      <c r="S22" s="36"/>
      <c r="T22" s="41"/>
      <c r="U22" s="233"/>
      <c r="V22" s="43"/>
      <c r="W22" s="42"/>
      <c r="X22" s="498"/>
      <c r="Y22" s="33"/>
      <c r="Z22" s="51"/>
      <c r="AA22" s="21"/>
      <c r="AB22" s="21"/>
      <c r="AC22" s="21"/>
      <c r="AD22" s="43"/>
      <c r="AE22" s="41"/>
      <c r="AF22" s="40"/>
      <c r="AG22" s="35"/>
      <c r="AH22" s="35"/>
      <c r="AI22" s="40"/>
    </row>
    <row r="23" spans="1:35" s="435" customFormat="1" ht="13.5" customHeight="1">
      <c r="A23" s="404" t="s">
        <v>1520</v>
      </c>
      <c r="B23" s="405">
        <v>18.2</v>
      </c>
      <c r="C23" s="398">
        <v>120</v>
      </c>
      <c r="D23" s="398">
        <v>10</v>
      </c>
      <c r="E23" s="398">
        <v>13</v>
      </c>
      <c r="F23" s="399">
        <v>6.5</v>
      </c>
      <c r="G23" s="407">
        <v>23.18</v>
      </c>
      <c r="H23" s="411">
        <v>3.31</v>
      </c>
      <c r="I23" s="411">
        <v>8.49</v>
      </c>
      <c r="J23" s="411">
        <v>4.6900000000000004</v>
      </c>
      <c r="K23" s="407">
        <v>4.24</v>
      </c>
      <c r="L23" s="410">
        <v>0.46899999999999997</v>
      </c>
      <c r="M23" s="411">
        <v>25.76</v>
      </c>
      <c r="N23" s="406">
        <v>312.89999999999998</v>
      </c>
      <c r="O23" s="411">
        <v>36.03</v>
      </c>
      <c r="P23" s="407">
        <v>3.67</v>
      </c>
      <c r="Q23" s="406">
        <v>497.6</v>
      </c>
      <c r="R23" s="407">
        <v>4.63</v>
      </c>
      <c r="S23" s="406">
        <v>128.30000000000001</v>
      </c>
      <c r="T23" s="407">
        <v>2.35</v>
      </c>
      <c r="U23" s="503">
        <v>-184.6</v>
      </c>
      <c r="V23" s="399">
        <v>4</v>
      </c>
      <c r="W23" s="400">
        <v>4</v>
      </c>
      <c r="X23" s="498"/>
      <c r="Y23" s="404" t="s">
        <v>1520</v>
      </c>
      <c r="Z23" s="405">
        <v>18.2</v>
      </c>
      <c r="AA23" s="398">
        <v>120</v>
      </c>
      <c r="AB23" s="398">
        <v>10</v>
      </c>
      <c r="AC23" s="398">
        <v>13</v>
      </c>
      <c r="AD23" s="399">
        <v>6.5</v>
      </c>
      <c r="AE23" s="407">
        <v>23.18</v>
      </c>
      <c r="AF23" s="411" t="s">
        <v>667</v>
      </c>
      <c r="AG23" s="408">
        <v>50</v>
      </c>
      <c r="AH23" s="408">
        <v>72</v>
      </c>
      <c r="AI23" s="411">
        <v>20.18</v>
      </c>
    </row>
    <row r="24" spans="1:35" s="32" customFormat="1" ht="13.5" customHeight="1">
      <c r="A24" s="33" t="s">
        <v>1521</v>
      </c>
      <c r="B24" s="51">
        <v>19.899999999999999</v>
      </c>
      <c r="C24" s="21">
        <v>120</v>
      </c>
      <c r="D24" s="21">
        <v>11</v>
      </c>
      <c r="E24" s="21">
        <v>13</v>
      </c>
      <c r="F24" s="43">
        <v>6.5</v>
      </c>
      <c r="G24" s="41">
        <v>25.37</v>
      </c>
      <c r="H24" s="40">
        <v>3.36</v>
      </c>
      <c r="I24" s="40">
        <v>8.49</v>
      </c>
      <c r="J24" s="40">
        <v>4.75</v>
      </c>
      <c r="K24" s="41">
        <v>4.25</v>
      </c>
      <c r="L24" s="39">
        <v>0.46899999999999997</v>
      </c>
      <c r="M24" s="40">
        <v>23.54</v>
      </c>
      <c r="N24" s="36">
        <v>340.6</v>
      </c>
      <c r="O24" s="40">
        <v>39.409999999999997</v>
      </c>
      <c r="P24" s="41">
        <v>3.66</v>
      </c>
      <c r="Q24" s="36">
        <v>541.5</v>
      </c>
      <c r="R24" s="41">
        <v>4.62</v>
      </c>
      <c r="S24" s="36">
        <v>139.80000000000001</v>
      </c>
      <c r="T24" s="41">
        <v>2.35</v>
      </c>
      <c r="U24" s="233">
        <v>-200.9</v>
      </c>
      <c r="V24" s="43">
        <v>2</v>
      </c>
      <c r="W24" s="42">
        <v>4</v>
      </c>
      <c r="X24" s="498"/>
      <c r="Y24" s="33" t="s">
        <v>1521</v>
      </c>
      <c r="Z24" s="51">
        <v>19.899999999999999</v>
      </c>
      <c r="AA24" s="21">
        <v>120</v>
      </c>
      <c r="AB24" s="21">
        <v>11</v>
      </c>
      <c r="AC24" s="21">
        <v>13</v>
      </c>
      <c r="AD24" s="43">
        <v>6.5</v>
      </c>
      <c r="AE24" s="41">
        <v>25.37</v>
      </c>
      <c r="AF24" s="40" t="s">
        <v>667</v>
      </c>
      <c r="AG24" s="35">
        <v>51</v>
      </c>
      <c r="AH24" s="35">
        <v>72</v>
      </c>
      <c r="AI24" s="40">
        <v>22.07</v>
      </c>
    </row>
    <row r="25" spans="1:35" s="435" customFormat="1" ht="13.5" customHeight="1">
      <c r="A25" s="404" t="s">
        <v>1522</v>
      </c>
      <c r="B25" s="405">
        <v>21.6</v>
      </c>
      <c r="C25" s="398">
        <v>120</v>
      </c>
      <c r="D25" s="398">
        <v>12</v>
      </c>
      <c r="E25" s="398">
        <v>13</v>
      </c>
      <c r="F25" s="399">
        <v>6.5</v>
      </c>
      <c r="G25" s="407">
        <v>27.54</v>
      </c>
      <c r="H25" s="411">
        <v>3.4</v>
      </c>
      <c r="I25" s="411">
        <v>8.49</v>
      </c>
      <c r="J25" s="411">
        <v>4.8</v>
      </c>
      <c r="K25" s="407">
        <v>4.26</v>
      </c>
      <c r="L25" s="410">
        <v>0.46899999999999997</v>
      </c>
      <c r="M25" s="411">
        <v>21.69</v>
      </c>
      <c r="N25" s="406">
        <v>367.7</v>
      </c>
      <c r="O25" s="411">
        <v>42.73</v>
      </c>
      <c r="P25" s="407">
        <v>3.65</v>
      </c>
      <c r="Q25" s="406">
        <v>584.29999999999995</v>
      </c>
      <c r="R25" s="407">
        <v>4.6100000000000003</v>
      </c>
      <c r="S25" s="406">
        <v>151</v>
      </c>
      <c r="T25" s="407">
        <v>2.34</v>
      </c>
      <c r="U25" s="503">
        <v>-216.6</v>
      </c>
      <c r="V25" s="399">
        <v>1</v>
      </c>
      <c r="W25" s="400">
        <v>4</v>
      </c>
      <c r="X25" s="498"/>
      <c r="Y25" s="404" t="s">
        <v>1522</v>
      </c>
      <c r="Z25" s="405">
        <v>21.6</v>
      </c>
      <c r="AA25" s="398">
        <v>120</v>
      </c>
      <c r="AB25" s="398">
        <v>12</v>
      </c>
      <c r="AC25" s="398">
        <v>13</v>
      </c>
      <c r="AD25" s="399">
        <v>6.5</v>
      </c>
      <c r="AE25" s="407">
        <v>27.54</v>
      </c>
      <c r="AF25" s="411" t="s">
        <v>667</v>
      </c>
      <c r="AG25" s="408">
        <v>52</v>
      </c>
      <c r="AH25" s="408">
        <v>72</v>
      </c>
      <c r="AI25" s="411">
        <v>23.94</v>
      </c>
    </row>
    <row r="26" spans="1:35" s="32" customFormat="1" ht="13.5" customHeight="1">
      <c r="A26" s="33" t="s">
        <v>1523</v>
      </c>
      <c r="B26" s="51">
        <v>23.3</v>
      </c>
      <c r="C26" s="21">
        <v>120</v>
      </c>
      <c r="D26" s="21">
        <v>13</v>
      </c>
      <c r="E26" s="21">
        <v>13</v>
      </c>
      <c r="F26" s="43">
        <v>6.5</v>
      </c>
      <c r="G26" s="41">
        <v>29.69</v>
      </c>
      <c r="H26" s="40">
        <v>3.44</v>
      </c>
      <c r="I26" s="40">
        <v>8.49</v>
      </c>
      <c r="J26" s="40">
        <v>4.8600000000000003</v>
      </c>
      <c r="K26" s="41">
        <v>4.28</v>
      </c>
      <c r="L26" s="39">
        <v>0.46899999999999997</v>
      </c>
      <c r="M26" s="40">
        <v>20.12</v>
      </c>
      <c r="N26" s="36">
        <v>394</v>
      </c>
      <c r="O26" s="40">
        <v>46.01</v>
      </c>
      <c r="P26" s="41">
        <v>3.64</v>
      </c>
      <c r="Q26" s="36">
        <v>625.9</v>
      </c>
      <c r="R26" s="41">
        <v>4.59</v>
      </c>
      <c r="S26" s="36">
        <v>162.19999999999999</v>
      </c>
      <c r="T26" s="41">
        <v>2.34</v>
      </c>
      <c r="U26" s="233">
        <v>-231.8</v>
      </c>
      <c r="V26" s="43">
        <v>1</v>
      </c>
      <c r="W26" s="42">
        <v>3</v>
      </c>
      <c r="X26" s="498"/>
      <c r="Y26" s="33" t="s">
        <v>1523</v>
      </c>
      <c r="Z26" s="51">
        <v>23.3</v>
      </c>
      <c r="AA26" s="21">
        <v>120</v>
      </c>
      <c r="AB26" s="21">
        <v>13</v>
      </c>
      <c r="AC26" s="21">
        <v>13</v>
      </c>
      <c r="AD26" s="43">
        <v>6.5</v>
      </c>
      <c r="AE26" s="41">
        <v>29.69</v>
      </c>
      <c r="AF26" s="40" t="s">
        <v>667</v>
      </c>
      <c r="AG26" s="35">
        <v>53</v>
      </c>
      <c r="AH26" s="35">
        <v>72</v>
      </c>
      <c r="AI26" s="40">
        <v>25.79</v>
      </c>
    </row>
    <row r="27" spans="1:35" s="435" customFormat="1" ht="13.5" customHeight="1">
      <c r="A27" s="404" t="s">
        <v>1524</v>
      </c>
      <c r="B27" s="405">
        <v>26.6</v>
      </c>
      <c r="C27" s="398">
        <v>120</v>
      </c>
      <c r="D27" s="398">
        <v>15</v>
      </c>
      <c r="E27" s="398">
        <v>13</v>
      </c>
      <c r="F27" s="399">
        <v>6.5</v>
      </c>
      <c r="G27" s="407">
        <v>33.93</v>
      </c>
      <c r="H27" s="411">
        <v>3.51</v>
      </c>
      <c r="I27" s="411">
        <v>8.49</v>
      </c>
      <c r="J27" s="411">
        <v>4.97</v>
      </c>
      <c r="K27" s="407">
        <v>4.3099999999999996</v>
      </c>
      <c r="L27" s="410">
        <v>0.46899999999999997</v>
      </c>
      <c r="M27" s="411">
        <v>17.600000000000001</v>
      </c>
      <c r="N27" s="406">
        <v>444.9</v>
      </c>
      <c r="O27" s="411">
        <v>52.43</v>
      </c>
      <c r="P27" s="407">
        <v>3.62</v>
      </c>
      <c r="Q27" s="406">
        <v>705.6</v>
      </c>
      <c r="R27" s="407">
        <v>4.5599999999999996</v>
      </c>
      <c r="S27" s="406">
        <v>184.2</v>
      </c>
      <c r="T27" s="407">
        <v>2.33</v>
      </c>
      <c r="U27" s="503">
        <v>-260.7</v>
      </c>
      <c r="V27" s="399">
        <v>1</v>
      </c>
      <c r="W27" s="400">
        <v>1</v>
      </c>
      <c r="X27" s="498"/>
      <c r="Y27" s="404" t="s">
        <v>1524</v>
      </c>
      <c r="Z27" s="405">
        <v>26.6</v>
      </c>
      <c r="AA27" s="398">
        <v>120</v>
      </c>
      <c r="AB27" s="398">
        <v>15</v>
      </c>
      <c r="AC27" s="398">
        <v>13</v>
      </c>
      <c r="AD27" s="399">
        <v>6.5</v>
      </c>
      <c r="AE27" s="407">
        <v>33.93</v>
      </c>
      <c r="AF27" s="411" t="s">
        <v>667</v>
      </c>
      <c r="AG27" s="408">
        <v>55</v>
      </c>
      <c r="AH27" s="408">
        <v>72</v>
      </c>
      <c r="AI27" s="411">
        <v>29.43</v>
      </c>
    </row>
    <row r="28" spans="1:35" s="32" customFormat="1" ht="13.5" customHeight="1">
      <c r="A28" s="33"/>
      <c r="B28" s="51"/>
      <c r="C28" s="21"/>
      <c r="D28" s="21"/>
      <c r="E28" s="21"/>
      <c r="F28" s="43"/>
      <c r="G28" s="41"/>
      <c r="H28" s="40"/>
      <c r="I28" s="40"/>
      <c r="J28" s="40"/>
      <c r="K28" s="41"/>
      <c r="L28" s="39"/>
      <c r="M28" s="40"/>
      <c r="N28" s="36"/>
      <c r="O28" s="40"/>
      <c r="P28" s="41"/>
      <c r="Q28" s="36"/>
      <c r="R28" s="41"/>
      <c r="S28" s="36"/>
      <c r="T28" s="41"/>
      <c r="U28" s="233"/>
      <c r="V28" s="43"/>
      <c r="W28" s="42"/>
      <c r="X28" s="498"/>
      <c r="Y28" s="33"/>
      <c r="Z28" s="51"/>
      <c r="AA28" s="21"/>
      <c r="AB28" s="21"/>
      <c r="AC28" s="21"/>
      <c r="AD28" s="43"/>
      <c r="AE28" s="41"/>
      <c r="AF28" s="40"/>
      <c r="AG28" s="35"/>
      <c r="AH28" s="35"/>
      <c r="AI28" s="40"/>
    </row>
    <row r="29" spans="1:35" s="435" customFormat="1" ht="13.5" customHeight="1">
      <c r="A29" s="404" t="s">
        <v>1525</v>
      </c>
      <c r="B29" s="405">
        <v>23.5</v>
      </c>
      <c r="C29" s="398">
        <v>130</v>
      </c>
      <c r="D29" s="398">
        <v>12</v>
      </c>
      <c r="E29" s="398">
        <v>14</v>
      </c>
      <c r="F29" s="399">
        <v>7</v>
      </c>
      <c r="G29" s="407">
        <v>30</v>
      </c>
      <c r="H29" s="411">
        <v>3.64</v>
      </c>
      <c r="I29" s="411">
        <v>9.19</v>
      </c>
      <c r="J29" s="411">
        <v>5.15</v>
      </c>
      <c r="K29" s="407">
        <v>4.5999999999999996</v>
      </c>
      <c r="L29" s="410">
        <v>0.50800000000000001</v>
      </c>
      <c r="M29" s="411">
        <v>21.59</v>
      </c>
      <c r="N29" s="406">
        <v>472.2</v>
      </c>
      <c r="O29" s="411">
        <v>50.44</v>
      </c>
      <c r="P29" s="407">
        <v>3.97</v>
      </c>
      <c r="Q29" s="406">
        <v>750.6</v>
      </c>
      <c r="R29" s="407">
        <v>5</v>
      </c>
      <c r="S29" s="406">
        <v>193.7</v>
      </c>
      <c r="T29" s="407">
        <v>2.54</v>
      </c>
      <c r="U29" s="503">
        <v>-278.5</v>
      </c>
      <c r="V29" s="399">
        <v>2</v>
      </c>
      <c r="W29" s="400">
        <v>4</v>
      </c>
      <c r="X29" s="498"/>
      <c r="Y29" s="404" t="s">
        <v>1525</v>
      </c>
      <c r="Z29" s="405">
        <v>23.5</v>
      </c>
      <c r="AA29" s="398">
        <v>130</v>
      </c>
      <c r="AB29" s="398">
        <v>12</v>
      </c>
      <c r="AC29" s="398">
        <v>14</v>
      </c>
      <c r="AD29" s="399">
        <v>7</v>
      </c>
      <c r="AE29" s="407">
        <v>29.97</v>
      </c>
      <c r="AF29" s="411" t="s">
        <v>667</v>
      </c>
      <c r="AG29" s="408">
        <v>52</v>
      </c>
      <c r="AH29" s="408">
        <v>82</v>
      </c>
      <c r="AI29" s="411">
        <v>26.37</v>
      </c>
    </row>
    <row r="30" spans="1:35" s="32" customFormat="1" ht="13.5" customHeight="1">
      <c r="A30" s="33"/>
      <c r="B30" s="51"/>
      <c r="C30" s="21"/>
      <c r="D30" s="21"/>
      <c r="E30" s="21"/>
      <c r="F30" s="43"/>
      <c r="G30" s="41"/>
      <c r="H30" s="40"/>
      <c r="I30" s="40"/>
      <c r="J30" s="40"/>
      <c r="K30" s="41"/>
      <c r="L30" s="39"/>
      <c r="M30" s="40"/>
      <c r="N30" s="36"/>
      <c r="O30" s="40"/>
      <c r="P30" s="41"/>
      <c r="Q30" s="36"/>
      <c r="R30" s="41"/>
      <c r="S30" s="36"/>
      <c r="T30" s="41"/>
      <c r="U30" s="233"/>
      <c r="V30" s="43"/>
      <c r="W30" s="42"/>
      <c r="X30" s="498"/>
      <c r="Y30" s="33"/>
      <c r="Z30" s="51"/>
      <c r="AA30" s="21"/>
      <c r="AB30" s="21"/>
      <c r="AC30" s="21"/>
      <c r="AD30" s="43"/>
      <c r="AE30" s="41"/>
      <c r="AF30" s="40"/>
      <c r="AG30" s="35"/>
      <c r="AH30" s="35"/>
      <c r="AI30" s="40"/>
    </row>
    <row r="31" spans="1:35" s="435" customFormat="1" ht="13.5" customHeight="1">
      <c r="A31" s="404" t="s">
        <v>1526</v>
      </c>
      <c r="B31" s="405">
        <v>21.4</v>
      </c>
      <c r="C31" s="398">
        <v>140</v>
      </c>
      <c r="D31" s="398">
        <v>10</v>
      </c>
      <c r="E31" s="398">
        <v>15</v>
      </c>
      <c r="F31" s="399">
        <v>7.5</v>
      </c>
      <c r="G31" s="407">
        <v>27.24</v>
      </c>
      <c r="H31" s="411">
        <v>3.79</v>
      </c>
      <c r="I31" s="411">
        <v>9.9</v>
      </c>
      <c r="J31" s="411">
        <v>5.37</v>
      </c>
      <c r="K31" s="407">
        <v>4.93</v>
      </c>
      <c r="L31" s="410">
        <v>0.54700000000000004</v>
      </c>
      <c r="M31" s="411">
        <v>25.59</v>
      </c>
      <c r="N31" s="406">
        <v>504.4</v>
      </c>
      <c r="O31" s="411">
        <v>49.43</v>
      </c>
      <c r="P31" s="407">
        <v>4.3</v>
      </c>
      <c r="Q31" s="408">
        <v>802</v>
      </c>
      <c r="R31" s="407">
        <v>5.43</v>
      </c>
      <c r="S31" s="406">
        <v>206.8</v>
      </c>
      <c r="T31" s="407">
        <v>2.76</v>
      </c>
      <c r="U31" s="503">
        <v>-297.60000000000002</v>
      </c>
      <c r="V31" s="399">
        <v>4</v>
      </c>
      <c r="W31" s="400">
        <v>4</v>
      </c>
      <c r="X31" s="498"/>
      <c r="Y31" s="404" t="s">
        <v>1526</v>
      </c>
      <c r="Z31" s="405">
        <v>21.4</v>
      </c>
      <c r="AA31" s="398">
        <v>140</v>
      </c>
      <c r="AB31" s="398">
        <v>10</v>
      </c>
      <c r="AC31" s="398">
        <v>15</v>
      </c>
      <c r="AD31" s="399">
        <v>7.5</v>
      </c>
      <c r="AE31" s="407">
        <v>27.24</v>
      </c>
      <c r="AF31" s="411" t="s">
        <v>667</v>
      </c>
      <c r="AG31" s="408">
        <v>51</v>
      </c>
      <c r="AH31" s="408">
        <v>92</v>
      </c>
      <c r="AI31" s="411">
        <v>24.24</v>
      </c>
    </row>
    <row r="32" spans="1:35" s="32" customFormat="1" ht="13.5" customHeight="1">
      <c r="A32" s="33" t="s">
        <v>1527</v>
      </c>
      <c r="B32" s="51">
        <v>27.4</v>
      </c>
      <c r="C32" s="21">
        <v>140</v>
      </c>
      <c r="D32" s="21">
        <v>13</v>
      </c>
      <c r="E32" s="21">
        <v>15</v>
      </c>
      <c r="F32" s="43">
        <v>7.5</v>
      </c>
      <c r="G32" s="41">
        <v>34.950000000000003</v>
      </c>
      <c r="H32" s="40">
        <v>3.92</v>
      </c>
      <c r="I32" s="40">
        <v>9.9</v>
      </c>
      <c r="J32" s="40">
        <v>5.55</v>
      </c>
      <c r="K32" s="41">
        <v>4.96</v>
      </c>
      <c r="L32" s="39">
        <v>0.54700000000000004</v>
      </c>
      <c r="M32" s="40">
        <v>19.940000000000001</v>
      </c>
      <c r="N32" s="36">
        <v>638.5</v>
      </c>
      <c r="O32" s="40">
        <v>63.37</v>
      </c>
      <c r="P32" s="41">
        <v>4.2699999999999996</v>
      </c>
      <c r="Q32" s="35">
        <v>1015</v>
      </c>
      <c r="R32" s="41">
        <v>5.39</v>
      </c>
      <c r="S32" s="36">
        <v>262</v>
      </c>
      <c r="T32" s="41">
        <v>2.74</v>
      </c>
      <c r="U32" s="233">
        <v>-376.6</v>
      </c>
      <c r="V32" s="43">
        <v>2</v>
      </c>
      <c r="W32" s="42">
        <v>4</v>
      </c>
      <c r="X32" s="498"/>
      <c r="Y32" s="33" t="s">
        <v>1527</v>
      </c>
      <c r="Z32" s="51">
        <v>27.4</v>
      </c>
      <c r="AA32" s="21">
        <v>140</v>
      </c>
      <c r="AB32" s="21">
        <v>13</v>
      </c>
      <c r="AC32" s="21">
        <v>15</v>
      </c>
      <c r="AD32" s="43">
        <v>7.5</v>
      </c>
      <c r="AE32" s="41">
        <v>34.950000000000003</v>
      </c>
      <c r="AF32" s="40" t="s">
        <v>667</v>
      </c>
      <c r="AG32" s="35">
        <v>54</v>
      </c>
      <c r="AH32" s="35">
        <v>92</v>
      </c>
      <c r="AI32" s="40">
        <v>31.05</v>
      </c>
    </row>
    <row r="33" spans="1:35" s="32" customFormat="1" ht="13.5" customHeight="1">
      <c r="A33" s="33"/>
      <c r="B33" s="51"/>
      <c r="C33" s="21"/>
      <c r="D33" s="21"/>
      <c r="E33" s="21"/>
      <c r="F33" s="43"/>
      <c r="G33" s="41"/>
      <c r="H33" s="40"/>
      <c r="I33" s="40"/>
      <c r="J33" s="40"/>
      <c r="K33" s="41"/>
      <c r="L33" s="39"/>
      <c r="M33" s="40"/>
      <c r="N33" s="36"/>
      <c r="O33" s="40"/>
      <c r="P33" s="41"/>
      <c r="Q33" s="35"/>
      <c r="R33" s="41"/>
      <c r="S33" s="36"/>
      <c r="T33" s="41"/>
      <c r="U33" s="233"/>
      <c r="V33" s="43"/>
      <c r="W33" s="42"/>
      <c r="X33" s="498"/>
      <c r="Y33" s="33"/>
      <c r="Z33" s="51"/>
      <c r="AA33" s="21"/>
      <c r="AB33" s="21"/>
      <c r="AC33" s="21"/>
      <c r="AD33" s="43"/>
      <c r="AE33" s="41"/>
      <c r="AF33" s="40"/>
      <c r="AG33" s="35"/>
      <c r="AH33" s="35"/>
      <c r="AI33" s="40"/>
    </row>
    <row r="34" spans="1:35" s="435" customFormat="1" ht="13.5" customHeight="1">
      <c r="A34" s="404" t="s">
        <v>1528</v>
      </c>
      <c r="B34" s="405">
        <v>23</v>
      </c>
      <c r="C34" s="398">
        <v>150</v>
      </c>
      <c r="D34" s="398">
        <v>10</v>
      </c>
      <c r="E34" s="398">
        <v>16</v>
      </c>
      <c r="F34" s="399">
        <v>8</v>
      </c>
      <c r="G34" s="407">
        <v>29.27</v>
      </c>
      <c r="H34" s="411">
        <v>4.03</v>
      </c>
      <c r="I34" s="411">
        <v>10.61</v>
      </c>
      <c r="J34" s="411">
        <v>5.71</v>
      </c>
      <c r="K34" s="407">
        <v>5.28</v>
      </c>
      <c r="L34" s="410">
        <v>0.58599999999999997</v>
      </c>
      <c r="M34" s="411">
        <v>25.51</v>
      </c>
      <c r="N34" s="406">
        <v>624</v>
      </c>
      <c r="O34" s="411">
        <v>56.91</v>
      </c>
      <c r="P34" s="407">
        <v>4.62</v>
      </c>
      <c r="Q34" s="408">
        <v>992</v>
      </c>
      <c r="R34" s="407">
        <v>5.82</v>
      </c>
      <c r="S34" s="406">
        <v>256</v>
      </c>
      <c r="T34" s="407">
        <v>2.96</v>
      </c>
      <c r="U34" s="503">
        <v>-368</v>
      </c>
      <c r="V34" s="399">
        <v>4</v>
      </c>
      <c r="W34" s="400">
        <v>4</v>
      </c>
      <c r="X34" s="498"/>
      <c r="Y34" s="404" t="s">
        <v>1528</v>
      </c>
      <c r="Z34" s="405">
        <v>23</v>
      </c>
      <c r="AA34" s="398">
        <v>150</v>
      </c>
      <c r="AB34" s="398">
        <v>10</v>
      </c>
      <c r="AC34" s="398">
        <v>16</v>
      </c>
      <c r="AD34" s="399">
        <v>8</v>
      </c>
      <c r="AE34" s="407">
        <v>29.27</v>
      </c>
      <c r="AF34" s="411" t="s">
        <v>667</v>
      </c>
      <c r="AG34" s="408">
        <v>52</v>
      </c>
      <c r="AH34" s="408">
        <v>102</v>
      </c>
      <c r="AI34" s="411">
        <v>26.27</v>
      </c>
    </row>
    <row r="35" spans="1:35" s="32" customFormat="1" ht="13.5" customHeight="1">
      <c r="A35" s="33" t="s">
        <v>1529</v>
      </c>
      <c r="B35" s="51">
        <v>27.3</v>
      </c>
      <c r="C35" s="21">
        <v>150</v>
      </c>
      <c r="D35" s="21">
        <v>12</v>
      </c>
      <c r="E35" s="21">
        <v>16</v>
      </c>
      <c r="F35" s="43">
        <v>8</v>
      </c>
      <c r="G35" s="41">
        <v>34.83</v>
      </c>
      <c r="H35" s="40">
        <v>4.12</v>
      </c>
      <c r="I35" s="40">
        <v>10.61</v>
      </c>
      <c r="J35" s="40">
        <v>5.83</v>
      </c>
      <c r="K35" s="41">
        <v>5.29</v>
      </c>
      <c r="L35" s="39">
        <v>0.58599999999999997</v>
      </c>
      <c r="M35" s="40">
        <v>21.44</v>
      </c>
      <c r="N35" s="36">
        <v>736.9</v>
      </c>
      <c r="O35" s="40">
        <v>67.75</v>
      </c>
      <c r="P35" s="41">
        <v>4.5999999999999996</v>
      </c>
      <c r="Q35" s="35">
        <v>1172</v>
      </c>
      <c r="R35" s="41">
        <v>5.8</v>
      </c>
      <c r="S35" s="36">
        <v>302</v>
      </c>
      <c r="T35" s="41">
        <v>2.94</v>
      </c>
      <c r="U35" s="233">
        <v>-434.9</v>
      </c>
      <c r="V35" s="43">
        <v>4</v>
      </c>
      <c r="W35" s="42">
        <v>4</v>
      </c>
      <c r="X35" s="498"/>
      <c r="Y35" s="33" t="s">
        <v>1529</v>
      </c>
      <c r="Z35" s="51">
        <v>27.3</v>
      </c>
      <c r="AA35" s="21">
        <v>150</v>
      </c>
      <c r="AB35" s="21">
        <v>12</v>
      </c>
      <c r="AC35" s="21">
        <v>16</v>
      </c>
      <c r="AD35" s="43">
        <v>8</v>
      </c>
      <c r="AE35" s="41">
        <v>34.83</v>
      </c>
      <c r="AF35" s="40" t="s">
        <v>667</v>
      </c>
      <c r="AG35" s="35">
        <v>54</v>
      </c>
      <c r="AH35" s="35">
        <v>102</v>
      </c>
      <c r="AI35" s="40">
        <v>31.23</v>
      </c>
    </row>
    <row r="36" spans="1:35" s="435" customFormat="1" ht="13.5" customHeight="1">
      <c r="A36" s="404" t="s">
        <v>1530</v>
      </c>
      <c r="B36" s="405">
        <v>31.6</v>
      </c>
      <c r="C36" s="398">
        <v>150</v>
      </c>
      <c r="D36" s="398">
        <v>14</v>
      </c>
      <c r="E36" s="398">
        <v>16</v>
      </c>
      <c r="F36" s="399">
        <v>8</v>
      </c>
      <c r="G36" s="407">
        <v>40.31</v>
      </c>
      <c r="H36" s="411">
        <v>4.21</v>
      </c>
      <c r="I36" s="411">
        <v>10.61</v>
      </c>
      <c r="J36" s="411">
        <v>5.95</v>
      </c>
      <c r="K36" s="407">
        <v>5.32</v>
      </c>
      <c r="L36" s="410">
        <v>0.58599999999999997</v>
      </c>
      <c r="M36" s="411">
        <v>18.53</v>
      </c>
      <c r="N36" s="406">
        <v>845.4</v>
      </c>
      <c r="O36" s="411">
        <v>78.33</v>
      </c>
      <c r="P36" s="407">
        <v>4.58</v>
      </c>
      <c r="Q36" s="408">
        <v>1344</v>
      </c>
      <c r="R36" s="407">
        <v>5.77</v>
      </c>
      <c r="S36" s="406">
        <v>346.9</v>
      </c>
      <c r="T36" s="407">
        <v>2.93</v>
      </c>
      <c r="U36" s="503">
        <v>-498.5</v>
      </c>
      <c r="V36" s="399">
        <v>2</v>
      </c>
      <c r="W36" s="400">
        <v>4</v>
      </c>
      <c r="X36" s="498"/>
      <c r="Y36" s="404" t="s">
        <v>1530</v>
      </c>
      <c r="Z36" s="405">
        <v>31.6</v>
      </c>
      <c r="AA36" s="398">
        <v>150</v>
      </c>
      <c r="AB36" s="398">
        <v>14</v>
      </c>
      <c r="AC36" s="398">
        <v>16</v>
      </c>
      <c r="AD36" s="399">
        <v>8</v>
      </c>
      <c r="AE36" s="407">
        <v>40.31</v>
      </c>
      <c r="AF36" s="411" t="s">
        <v>667</v>
      </c>
      <c r="AG36" s="408">
        <v>56</v>
      </c>
      <c r="AH36" s="408">
        <v>102</v>
      </c>
      <c r="AI36" s="411">
        <v>36.11</v>
      </c>
    </row>
    <row r="37" spans="1:35" s="32" customFormat="1" ht="13.5" customHeight="1">
      <c r="A37" s="33" t="s">
        <v>1531</v>
      </c>
      <c r="B37" s="51">
        <v>33.799999999999997</v>
      </c>
      <c r="C37" s="21">
        <v>150</v>
      </c>
      <c r="D37" s="21">
        <v>15</v>
      </c>
      <c r="E37" s="21">
        <v>16</v>
      </c>
      <c r="F37" s="43">
        <v>8</v>
      </c>
      <c r="G37" s="41">
        <v>43.02</v>
      </c>
      <c r="H37" s="40">
        <v>4.25</v>
      </c>
      <c r="I37" s="40">
        <v>10.61</v>
      </c>
      <c r="J37" s="40">
        <v>6.01</v>
      </c>
      <c r="K37" s="41">
        <v>5.33</v>
      </c>
      <c r="L37" s="39">
        <v>0.58599999999999997</v>
      </c>
      <c r="M37" s="40">
        <v>17.36</v>
      </c>
      <c r="N37" s="36">
        <v>898.1</v>
      </c>
      <c r="O37" s="40">
        <v>83.52</v>
      </c>
      <c r="P37" s="41">
        <v>4.57</v>
      </c>
      <c r="Q37" s="35">
        <v>1427</v>
      </c>
      <c r="R37" s="41">
        <v>5.76</v>
      </c>
      <c r="S37" s="36">
        <v>368.9</v>
      </c>
      <c r="T37" s="41">
        <v>2.93</v>
      </c>
      <c r="U37" s="233">
        <v>-529.1</v>
      </c>
      <c r="V37" s="43">
        <v>1</v>
      </c>
      <c r="W37" s="42">
        <v>4</v>
      </c>
      <c r="X37" s="498"/>
      <c r="Y37" s="33" t="s">
        <v>1531</v>
      </c>
      <c r="Z37" s="51">
        <v>33.799999999999997</v>
      </c>
      <c r="AA37" s="21">
        <v>150</v>
      </c>
      <c r="AB37" s="21">
        <v>15</v>
      </c>
      <c r="AC37" s="21">
        <v>16</v>
      </c>
      <c r="AD37" s="43">
        <v>8</v>
      </c>
      <c r="AE37" s="41">
        <v>43.02</v>
      </c>
      <c r="AF37" s="40" t="s">
        <v>667</v>
      </c>
      <c r="AG37" s="35">
        <v>57</v>
      </c>
      <c r="AH37" s="35">
        <v>102</v>
      </c>
      <c r="AI37" s="40">
        <v>38.520000000000003</v>
      </c>
    </row>
    <row r="38" spans="1:35" s="435" customFormat="1" ht="13.5" customHeight="1">
      <c r="A38" s="404" t="s">
        <v>1532</v>
      </c>
      <c r="B38" s="405">
        <v>40.1</v>
      </c>
      <c r="C38" s="398">
        <v>150</v>
      </c>
      <c r="D38" s="398">
        <v>18</v>
      </c>
      <c r="E38" s="398">
        <v>16</v>
      </c>
      <c r="F38" s="399">
        <v>8</v>
      </c>
      <c r="G38" s="407">
        <v>51.03</v>
      </c>
      <c r="H38" s="411">
        <v>4.37</v>
      </c>
      <c r="I38" s="411">
        <v>10.61</v>
      </c>
      <c r="J38" s="411">
        <v>6.17</v>
      </c>
      <c r="K38" s="407">
        <v>5.37</v>
      </c>
      <c r="L38" s="410">
        <v>0.58599999999999997</v>
      </c>
      <c r="M38" s="411">
        <v>14.63</v>
      </c>
      <c r="N38" s="408">
        <v>1050</v>
      </c>
      <c r="O38" s="411">
        <v>98.74</v>
      </c>
      <c r="P38" s="407">
        <v>4.54</v>
      </c>
      <c r="Q38" s="408">
        <v>1666</v>
      </c>
      <c r="R38" s="407">
        <v>5.71</v>
      </c>
      <c r="S38" s="406">
        <v>433.8</v>
      </c>
      <c r="T38" s="407">
        <v>2.92</v>
      </c>
      <c r="U38" s="503">
        <v>-616.20000000000005</v>
      </c>
      <c r="V38" s="399">
        <v>1</v>
      </c>
      <c r="W38" s="400">
        <v>2</v>
      </c>
      <c r="X38" s="498"/>
      <c r="Y38" s="404" t="s">
        <v>1532</v>
      </c>
      <c r="Z38" s="405">
        <v>40.1</v>
      </c>
      <c r="AA38" s="398">
        <v>150</v>
      </c>
      <c r="AB38" s="398">
        <v>18</v>
      </c>
      <c r="AC38" s="398">
        <v>16</v>
      </c>
      <c r="AD38" s="399">
        <v>8</v>
      </c>
      <c r="AE38" s="407">
        <v>51.03</v>
      </c>
      <c r="AF38" s="411" t="s">
        <v>667</v>
      </c>
      <c r="AG38" s="408">
        <v>61</v>
      </c>
      <c r="AH38" s="408">
        <v>102</v>
      </c>
      <c r="AI38" s="411">
        <v>45.63</v>
      </c>
    </row>
    <row r="39" spans="1:35" s="32" customFormat="1" ht="13.5" customHeight="1">
      <c r="A39" s="33"/>
      <c r="B39" s="51"/>
      <c r="C39" s="21"/>
      <c r="D39" s="21"/>
      <c r="E39" s="21"/>
      <c r="F39" s="43"/>
      <c r="G39" s="41"/>
      <c r="H39" s="40"/>
      <c r="I39" s="40"/>
      <c r="J39" s="40"/>
      <c r="K39" s="41"/>
      <c r="L39" s="39"/>
      <c r="M39" s="40"/>
      <c r="N39" s="35"/>
      <c r="O39" s="40"/>
      <c r="P39" s="41"/>
      <c r="Q39" s="35"/>
      <c r="R39" s="41"/>
      <c r="S39" s="36"/>
      <c r="T39" s="41"/>
      <c r="U39" s="233"/>
      <c r="V39" s="43"/>
      <c r="W39" s="42"/>
      <c r="X39" s="498"/>
      <c r="Y39" s="33"/>
      <c r="Z39" s="51"/>
      <c r="AA39" s="21"/>
      <c r="AB39" s="21"/>
      <c r="AC39" s="21"/>
      <c r="AD39" s="43"/>
      <c r="AE39" s="41"/>
      <c r="AF39" s="40"/>
      <c r="AG39" s="35"/>
      <c r="AH39" s="35"/>
      <c r="AI39" s="40"/>
    </row>
    <row r="40" spans="1:35" s="435" customFormat="1" ht="13.5" customHeight="1">
      <c r="A40" s="404" t="s">
        <v>1533</v>
      </c>
      <c r="B40" s="405">
        <v>33.9</v>
      </c>
      <c r="C40" s="398">
        <v>160</v>
      </c>
      <c r="D40" s="398">
        <v>14</v>
      </c>
      <c r="E40" s="398">
        <v>17</v>
      </c>
      <c r="F40" s="399">
        <v>8.5</v>
      </c>
      <c r="G40" s="407">
        <v>43.15</v>
      </c>
      <c r="H40" s="411">
        <v>4.45</v>
      </c>
      <c r="I40" s="411">
        <v>11.31</v>
      </c>
      <c r="J40" s="411">
        <v>6.29</v>
      </c>
      <c r="K40" s="407">
        <v>5.66</v>
      </c>
      <c r="L40" s="410">
        <v>0.625</v>
      </c>
      <c r="M40" s="411">
        <v>18.46</v>
      </c>
      <c r="N40" s="408">
        <v>1034</v>
      </c>
      <c r="O40" s="411">
        <v>89.5</v>
      </c>
      <c r="P40" s="407">
        <v>4.8899999999999997</v>
      </c>
      <c r="Q40" s="408">
        <v>1644</v>
      </c>
      <c r="R40" s="407">
        <v>6.17</v>
      </c>
      <c r="S40" s="406">
        <v>423.8</v>
      </c>
      <c r="T40" s="407">
        <v>3.13</v>
      </c>
      <c r="U40" s="503">
        <v>-610</v>
      </c>
      <c r="V40" s="399">
        <v>3</v>
      </c>
      <c r="W40" s="400">
        <v>4</v>
      </c>
      <c r="X40" s="498"/>
      <c r="Y40" s="404" t="s">
        <v>1533</v>
      </c>
      <c r="Z40" s="405">
        <v>33.9</v>
      </c>
      <c r="AA40" s="398">
        <v>160</v>
      </c>
      <c r="AB40" s="398">
        <v>14</v>
      </c>
      <c r="AC40" s="398">
        <v>17</v>
      </c>
      <c r="AD40" s="399">
        <v>8.5</v>
      </c>
      <c r="AE40" s="407">
        <v>43.15</v>
      </c>
      <c r="AF40" s="411" t="s">
        <v>667</v>
      </c>
      <c r="AG40" s="408">
        <v>57</v>
      </c>
      <c r="AH40" s="408">
        <v>111</v>
      </c>
      <c r="AI40" s="411">
        <v>38.950000000000003</v>
      </c>
    </row>
    <row r="41" spans="1:35" s="32" customFormat="1" ht="13.5" customHeight="1">
      <c r="A41" s="33" t="s">
        <v>1534</v>
      </c>
      <c r="B41" s="51">
        <v>36.200000000000003</v>
      </c>
      <c r="C41" s="21">
        <v>160</v>
      </c>
      <c r="D41" s="21">
        <v>15</v>
      </c>
      <c r="E41" s="21">
        <v>17</v>
      </c>
      <c r="F41" s="43">
        <v>8.5</v>
      </c>
      <c r="G41" s="41">
        <v>46.06</v>
      </c>
      <c r="H41" s="40">
        <v>4.49</v>
      </c>
      <c r="I41" s="40">
        <v>11.31</v>
      </c>
      <c r="J41" s="40">
        <v>6.35</v>
      </c>
      <c r="K41" s="41">
        <v>5.67</v>
      </c>
      <c r="L41" s="39">
        <v>0.625</v>
      </c>
      <c r="M41" s="40">
        <v>17.3</v>
      </c>
      <c r="N41" s="35">
        <v>1099</v>
      </c>
      <c r="O41" s="36">
        <v>95.5</v>
      </c>
      <c r="P41" s="41">
        <v>4.88</v>
      </c>
      <c r="Q41" s="35">
        <v>1747</v>
      </c>
      <c r="R41" s="41">
        <v>6.16</v>
      </c>
      <c r="S41" s="36">
        <v>450.8</v>
      </c>
      <c r="T41" s="41">
        <v>3.13</v>
      </c>
      <c r="U41" s="233">
        <v>-648</v>
      </c>
      <c r="V41" s="43">
        <v>2</v>
      </c>
      <c r="W41" s="42">
        <v>4</v>
      </c>
      <c r="X41" s="498"/>
      <c r="Y41" s="33" t="s">
        <v>1534</v>
      </c>
      <c r="Z41" s="51">
        <v>36.200000000000003</v>
      </c>
      <c r="AA41" s="21">
        <v>160</v>
      </c>
      <c r="AB41" s="21">
        <v>15</v>
      </c>
      <c r="AC41" s="21">
        <v>17</v>
      </c>
      <c r="AD41" s="43">
        <v>8.5</v>
      </c>
      <c r="AE41" s="41">
        <v>46.06</v>
      </c>
      <c r="AF41" s="40" t="s">
        <v>667</v>
      </c>
      <c r="AG41" s="35">
        <v>58</v>
      </c>
      <c r="AH41" s="35">
        <v>111</v>
      </c>
      <c r="AI41" s="40">
        <v>41.56</v>
      </c>
    </row>
    <row r="42" spans="1:35" s="435" customFormat="1" ht="13.5" customHeight="1">
      <c r="A42" s="404" t="s">
        <v>1535</v>
      </c>
      <c r="B42" s="405">
        <v>38.4</v>
      </c>
      <c r="C42" s="398">
        <v>160</v>
      </c>
      <c r="D42" s="398">
        <v>16</v>
      </c>
      <c r="E42" s="398">
        <v>17</v>
      </c>
      <c r="F42" s="399">
        <v>8.5</v>
      </c>
      <c r="G42" s="407">
        <v>48.95</v>
      </c>
      <c r="H42" s="411">
        <v>4.53</v>
      </c>
      <c r="I42" s="411">
        <v>11.31</v>
      </c>
      <c r="J42" s="411">
        <v>6.41</v>
      </c>
      <c r="K42" s="407">
        <v>5.69</v>
      </c>
      <c r="L42" s="410">
        <v>0.625</v>
      </c>
      <c r="M42" s="411">
        <v>16.28</v>
      </c>
      <c r="N42" s="408">
        <v>1163</v>
      </c>
      <c r="O42" s="406">
        <v>101.4</v>
      </c>
      <c r="P42" s="407">
        <v>4.87</v>
      </c>
      <c r="Q42" s="408">
        <v>1848</v>
      </c>
      <c r="R42" s="407">
        <v>6.14</v>
      </c>
      <c r="S42" s="406">
        <v>477.6</v>
      </c>
      <c r="T42" s="407">
        <v>3.12</v>
      </c>
      <c r="U42" s="503">
        <v>-685.1</v>
      </c>
      <c r="V42" s="399">
        <v>1</v>
      </c>
      <c r="W42" s="400">
        <v>4</v>
      </c>
      <c r="X42" s="498"/>
      <c r="Y42" s="404" t="s">
        <v>1535</v>
      </c>
      <c r="Z42" s="405">
        <v>38.4</v>
      </c>
      <c r="AA42" s="398">
        <v>160</v>
      </c>
      <c r="AB42" s="398">
        <v>16</v>
      </c>
      <c r="AC42" s="398">
        <v>17</v>
      </c>
      <c r="AD42" s="399">
        <v>8.5</v>
      </c>
      <c r="AE42" s="407">
        <v>48.95</v>
      </c>
      <c r="AF42" s="411" t="s">
        <v>667</v>
      </c>
      <c r="AG42" s="408">
        <v>60</v>
      </c>
      <c r="AH42" s="408">
        <v>111</v>
      </c>
      <c r="AI42" s="411">
        <v>44.15</v>
      </c>
    </row>
    <row r="43" spans="1:35" s="32" customFormat="1" ht="13.5" customHeight="1">
      <c r="A43" s="33" t="s">
        <v>1536</v>
      </c>
      <c r="B43" s="51">
        <v>40.700000000000003</v>
      </c>
      <c r="C43" s="21">
        <v>160</v>
      </c>
      <c r="D43" s="21">
        <v>17</v>
      </c>
      <c r="E43" s="21">
        <v>17</v>
      </c>
      <c r="F43" s="43">
        <v>8.5</v>
      </c>
      <c r="G43" s="41">
        <v>51.82</v>
      </c>
      <c r="H43" s="40">
        <v>4.57</v>
      </c>
      <c r="I43" s="40">
        <v>11.31</v>
      </c>
      <c r="J43" s="40">
        <v>6.46</v>
      </c>
      <c r="K43" s="41">
        <v>5.7</v>
      </c>
      <c r="L43" s="39">
        <v>0.625</v>
      </c>
      <c r="M43" s="40">
        <v>15.37</v>
      </c>
      <c r="N43" s="35">
        <v>1225</v>
      </c>
      <c r="O43" s="36">
        <v>107.2</v>
      </c>
      <c r="P43" s="41">
        <v>4.8600000000000003</v>
      </c>
      <c r="Q43" s="35">
        <v>1947</v>
      </c>
      <c r="R43" s="41">
        <v>6.13</v>
      </c>
      <c r="S43" s="36">
        <v>504.1</v>
      </c>
      <c r="T43" s="41">
        <v>3.12</v>
      </c>
      <c r="U43" s="233">
        <v>-721.3</v>
      </c>
      <c r="V43" s="43">
        <v>1</v>
      </c>
      <c r="W43" s="42">
        <v>4</v>
      </c>
      <c r="X43" s="498"/>
      <c r="Y43" s="33" t="s">
        <v>1536</v>
      </c>
      <c r="Z43" s="51">
        <v>40.700000000000003</v>
      </c>
      <c r="AA43" s="21">
        <v>160</v>
      </c>
      <c r="AB43" s="21">
        <v>17</v>
      </c>
      <c r="AC43" s="21">
        <v>17</v>
      </c>
      <c r="AD43" s="43">
        <v>8.5</v>
      </c>
      <c r="AE43" s="41">
        <v>51.82</v>
      </c>
      <c r="AF43" s="40" t="s">
        <v>667</v>
      </c>
      <c r="AG43" s="35">
        <v>61</v>
      </c>
      <c r="AH43" s="35">
        <v>111</v>
      </c>
      <c r="AI43" s="40">
        <v>46.72</v>
      </c>
    </row>
    <row r="44" spans="1:35" s="32" customFormat="1" ht="13.5" customHeight="1">
      <c r="A44" s="33"/>
      <c r="B44" s="51"/>
      <c r="C44" s="21"/>
      <c r="D44" s="21"/>
      <c r="E44" s="21"/>
      <c r="F44" s="43"/>
      <c r="G44" s="41"/>
      <c r="H44" s="40"/>
      <c r="I44" s="40"/>
      <c r="J44" s="40"/>
      <c r="K44" s="41"/>
      <c r="L44" s="39"/>
      <c r="M44" s="40"/>
      <c r="N44" s="35"/>
      <c r="O44" s="36"/>
      <c r="P44" s="41"/>
      <c r="Q44" s="35"/>
      <c r="R44" s="41"/>
      <c r="S44" s="36"/>
      <c r="T44" s="41"/>
      <c r="U44" s="233"/>
      <c r="V44" s="43"/>
      <c r="W44" s="42"/>
      <c r="X44" s="498"/>
      <c r="Y44" s="33"/>
      <c r="Z44" s="51"/>
      <c r="AA44" s="21"/>
      <c r="AB44" s="21"/>
      <c r="AC44" s="21"/>
      <c r="AD44" s="43"/>
      <c r="AE44" s="41"/>
      <c r="AF44" s="40"/>
      <c r="AG44" s="35"/>
      <c r="AH44" s="35"/>
      <c r="AI44" s="40"/>
    </row>
    <row r="45" spans="1:35" s="435" customFormat="1" ht="13.5" customHeight="1">
      <c r="A45" s="404" t="s">
        <v>1537</v>
      </c>
      <c r="B45" s="405">
        <v>35.700000000000003</v>
      </c>
      <c r="C45" s="398">
        <v>180</v>
      </c>
      <c r="D45" s="398">
        <v>13</v>
      </c>
      <c r="E45" s="398">
        <v>18</v>
      </c>
      <c r="F45" s="399">
        <v>9</v>
      </c>
      <c r="G45" s="407">
        <v>45.46</v>
      </c>
      <c r="H45" s="411">
        <v>4.9000000000000004</v>
      </c>
      <c r="I45" s="411">
        <v>12.73</v>
      </c>
      <c r="J45" s="411">
        <v>6.93</v>
      </c>
      <c r="K45" s="407">
        <v>6.35</v>
      </c>
      <c r="L45" s="410">
        <v>0.70499999999999996</v>
      </c>
      <c r="M45" s="411">
        <v>19.739999999999998</v>
      </c>
      <c r="N45" s="408">
        <v>1396</v>
      </c>
      <c r="O45" s="406">
        <v>106.5</v>
      </c>
      <c r="P45" s="407">
        <v>5.54</v>
      </c>
      <c r="Q45" s="408">
        <v>2221</v>
      </c>
      <c r="R45" s="407">
        <v>6.99</v>
      </c>
      <c r="S45" s="406">
        <v>571.6</v>
      </c>
      <c r="T45" s="407">
        <v>3.55</v>
      </c>
      <c r="U45" s="503">
        <v>-824.5</v>
      </c>
      <c r="V45" s="399">
        <v>4</v>
      </c>
      <c r="W45" s="400">
        <v>4</v>
      </c>
      <c r="X45" s="498"/>
      <c r="Y45" s="404" t="s">
        <v>1537</v>
      </c>
      <c r="Z45" s="405">
        <v>35.700000000000003</v>
      </c>
      <c r="AA45" s="398">
        <v>180</v>
      </c>
      <c r="AB45" s="398">
        <v>13</v>
      </c>
      <c r="AC45" s="398">
        <v>18</v>
      </c>
      <c r="AD45" s="399">
        <v>9</v>
      </c>
      <c r="AE45" s="407">
        <v>45.46</v>
      </c>
      <c r="AF45" s="411" t="s">
        <v>667</v>
      </c>
      <c r="AG45" s="408">
        <v>57</v>
      </c>
      <c r="AH45" s="408">
        <v>131</v>
      </c>
      <c r="AI45" s="411">
        <v>41.56</v>
      </c>
    </row>
    <row r="46" spans="1:35" s="32" customFormat="1" ht="13.5" customHeight="1">
      <c r="A46" s="33" t="s">
        <v>1538</v>
      </c>
      <c r="B46" s="51">
        <v>38.299999999999997</v>
      </c>
      <c r="C46" s="21">
        <v>180</v>
      </c>
      <c r="D46" s="21">
        <v>14</v>
      </c>
      <c r="E46" s="21">
        <v>18</v>
      </c>
      <c r="F46" s="43">
        <v>9</v>
      </c>
      <c r="G46" s="41">
        <v>48.79</v>
      </c>
      <c r="H46" s="40">
        <v>4.9400000000000004</v>
      </c>
      <c r="I46" s="40">
        <v>12.73</v>
      </c>
      <c r="J46" s="40">
        <v>6.99</v>
      </c>
      <c r="K46" s="41">
        <v>6.36</v>
      </c>
      <c r="L46" s="39">
        <v>0.70499999999999996</v>
      </c>
      <c r="M46" s="40">
        <v>18.399999999999999</v>
      </c>
      <c r="N46" s="35">
        <v>1493</v>
      </c>
      <c r="O46" s="36">
        <v>114.3</v>
      </c>
      <c r="P46" s="41">
        <v>5.53</v>
      </c>
      <c r="Q46" s="35">
        <v>2375</v>
      </c>
      <c r="R46" s="41">
        <v>6.98</v>
      </c>
      <c r="S46" s="36">
        <v>611.29999999999995</v>
      </c>
      <c r="T46" s="41">
        <v>3.54</v>
      </c>
      <c r="U46" s="233">
        <v>-882</v>
      </c>
      <c r="V46" s="43">
        <v>4</v>
      </c>
      <c r="W46" s="42">
        <v>4</v>
      </c>
      <c r="X46" s="498"/>
      <c r="Y46" s="33" t="s">
        <v>1538</v>
      </c>
      <c r="Z46" s="51">
        <v>38.299999999999997</v>
      </c>
      <c r="AA46" s="21">
        <v>180</v>
      </c>
      <c r="AB46" s="21">
        <v>14</v>
      </c>
      <c r="AC46" s="21">
        <v>18</v>
      </c>
      <c r="AD46" s="43">
        <v>9</v>
      </c>
      <c r="AE46" s="41">
        <v>48.79</v>
      </c>
      <c r="AF46" s="40" t="s">
        <v>667</v>
      </c>
      <c r="AG46" s="35">
        <v>58</v>
      </c>
      <c r="AH46" s="35">
        <v>131</v>
      </c>
      <c r="AI46" s="40">
        <v>44.59</v>
      </c>
    </row>
    <row r="47" spans="1:35" s="435" customFormat="1" ht="13.5" customHeight="1">
      <c r="A47" s="404" t="s">
        <v>1539</v>
      </c>
      <c r="B47" s="405">
        <v>40.9</v>
      </c>
      <c r="C47" s="398">
        <v>180</v>
      </c>
      <c r="D47" s="398">
        <v>15</v>
      </c>
      <c r="E47" s="398">
        <v>18</v>
      </c>
      <c r="F47" s="399">
        <v>9</v>
      </c>
      <c r="G47" s="407">
        <v>52.1</v>
      </c>
      <c r="H47" s="411">
        <v>4.9800000000000004</v>
      </c>
      <c r="I47" s="411">
        <v>12.73</v>
      </c>
      <c r="J47" s="411">
        <v>7.05</v>
      </c>
      <c r="K47" s="407">
        <v>6.37</v>
      </c>
      <c r="L47" s="410">
        <v>0.70499999999999996</v>
      </c>
      <c r="M47" s="411">
        <v>17.23</v>
      </c>
      <c r="N47" s="408">
        <v>1589</v>
      </c>
      <c r="O47" s="406">
        <v>122</v>
      </c>
      <c r="P47" s="407">
        <v>5.52</v>
      </c>
      <c r="Q47" s="408">
        <v>2527</v>
      </c>
      <c r="R47" s="407">
        <v>6.96</v>
      </c>
      <c r="S47" s="406">
        <v>650.5</v>
      </c>
      <c r="T47" s="407">
        <v>3.53</v>
      </c>
      <c r="U47" s="503">
        <v>-938</v>
      </c>
      <c r="V47" s="399">
        <v>4</v>
      </c>
      <c r="W47" s="400">
        <v>4</v>
      </c>
      <c r="X47" s="498"/>
      <c r="Y47" s="404" t="s">
        <v>1539</v>
      </c>
      <c r="Z47" s="405">
        <v>40.9</v>
      </c>
      <c r="AA47" s="398">
        <v>180</v>
      </c>
      <c r="AB47" s="398">
        <v>15</v>
      </c>
      <c r="AC47" s="398">
        <v>18</v>
      </c>
      <c r="AD47" s="399">
        <v>9</v>
      </c>
      <c r="AE47" s="407">
        <v>52.1</v>
      </c>
      <c r="AF47" s="411" t="s">
        <v>667</v>
      </c>
      <c r="AG47" s="408">
        <v>59</v>
      </c>
      <c r="AH47" s="408">
        <v>131</v>
      </c>
      <c r="AI47" s="411">
        <v>47.6</v>
      </c>
    </row>
    <row r="48" spans="1:35" s="32" customFormat="1" ht="13.5" customHeight="1">
      <c r="A48" s="33" t="s">
        <v>1540</v>
      </c>
      <c r="B48" s="51">
        <v>43.5</v>
      </c>
      <c r="C48" s="21">
        <v>180</v>
      </c>
      <c r="D48" s="21">
        <v>16</v>
      </c>
      <c r="E48" s="21">
        <v>18</v>
      </c>
      <c r="F48" s="43">
        <v>9</v>
      </c>
      <c r="G48" s="41">
        <v>55.39</v>
      </c>
      <c r="H48" s="40">
        <v>5.0199999999999996</v>
      </c>
      <c r="I48" s="40">
        <v>12.73</v>
      </c>
      <c r="J48" s="40">
        <v>7.1</v>
      </c>
      <c r="K48" s="41">
        <v>6.38</v>
      </c>
      <c r="L48" s="39">
        <v>0.70499999999999996</v>
      </c>
      <c r="M48" s="40">
        <v>16.2</v>
      </c>
      <c r="N48" s="35">
        <v>1682</v>
      </c>
      <c r="O48" s="36">
        <v>129.69999999999999</v>
      </c>
      <c r="P48" s="41">
        <v>5.51</v>
      </c>
      <c r="Q48" s="35">
        <v>2675</v>
      </c>
      <c r="R48" s="41">
        <v>6.95</v>
      </c>
      <c r="S48" s="36">
        <v>689.4</v>
      </c>
      <c r="T48" s="41">
        <v>3.53</v>
      </c>
      <c r="U48" s="233">
        <v>-993</v>
      </c>
      <c r="V48" s="43">
        <v>3</v>
      </c>
      <c r="W48" s="42">
        <v>4</v>
      </c>
      <c r="X48" s="498"/>
      <c r="Y48" s="33" t="s">
        <v>1540</v>
      </c>
      <c r="Z48" s="51">
        <v>43.5</v>
      </c>
      <c r="AA48" s="21">
        <v>180</v>
      </c>
      <c r="AB48" s="21">
        <v>16</v>
      </c>
      <c r="AC48" s="21">
        <v>18</v>
      </c>
      <c r="AD48" s="43">
        <v>9</v>
      </c>
      <c r="AE48" s="41">
        <v>55.39</v>
      </c>
      <c r="AF48" s="40" t="s">
        <v>667</v>
      </c>
      <c r="AG48" s="35">
        <v>61</v>
      </c>
      <c r="AH48" s="35">
        <v>131</v>
      </c>
      <c r="AI48" s="40">
        <v>50.59</v>
      </c>
    </row>
    <row r="49" spans="1:35" s="435" customFormat="1" ht="13.5" customHeight="1">
      <c r="A49" s="404" t="s">
        <v>1541</v>
      </c>
      <c r="B49" s="405">
        <v>46</v>
      </c>
      <c r="C49" s="398">
        <v>180</v>
      </c>
      <c r="D49" s="398">
        <v>17</v>
      </c>
      <c r="E49" s="398">
        <v>18</v>
      </c>
      <c r="F49" s="399">
        <v>9</v>
      </c>
      <c r="G49" s="407">
        <v>58.66</v>
      </c>
      <c r="H49" s="411">
        <v>5.0599999999999996</v>
      </c>
      <c r="I49" s="411">
        <v>12.73</v>
      </c>
      <c r="J49" s="411">
        <v>7.16</v>
      </c>
      <c r="K49" s="407">
        <v>6.4</v>
      </c>
      <c r="L49" s="410">
        <v>0.70499999999999996</v>
      </c>
      <c r="M49" s="411">
        <v>15.3</v>
      </c>
      <c r="N49" s="408">
        <v>1775</v>
      </c>
      <c r="O49" s="406">
        <v>137.19999999999999</v>
      </c>
      <c r="P49" s="407">
        <v>5.5</v>
      </c>
      <c r="Q49" s="408">
        <v>2822</v>
      </c>
      <c r="R49" s="407">
        <v>6.94</v>
      </c>
      <c r="S49" s="406">
        <v>727.8</v>
      </c>
      <c r="T49" s="407">
        <v>3.52</v>
      </c>
      <c r="U49" s="503">
        <v>-1047</v>
      </c>
      <c r="V49" s="399">
        <v>2</v>
      </c>
      <c r="W49" s="400">
        <v>4</v>
      </c>
      <c r="X49" s="498"/>
      <c r="Y49" s="404" t="s">
        <v>1541</v>
      </c>
      <c r="Z49" s="405">
        <v>46</v>
      </c>
      <c r="AA49" s="398">
        <v>180</v>
      </c>
      <c r="AB49" s="398">
        <v>17</v>
      </c>
      <c r="AC49" s="398">
        <v>18</v>
      </c>
      <c r="AD49" s="399">
        <v>9</v>
      </c>
      <c r="AE49" s="407">
        <v>58.66</v>
      </c>
      <c r="AF49" s="411" t="s">
        <v>667</v>
      </c>
      <c r="AG49" s="408">
        <v>62</v>
      </c>
      <c r="AH49" s="408">
        <v>131</v>
      </c>
      <c r="AI49" s="411">
        <v>53.56</v>
      </c>
    </row>
    <row r="50" spans="1:35" s="32" customFormat="1" ht="13.5" customHeight="1">
      <c r="A50" s="33" t="s">
        <v>1542</v>
      </c>
      <c r="B50" s="51">
        <v>48.6</v>
      </c>
      <c r="C50" s="21">
        <v>180</v>
      </c>
      <c r="D50" s="21">
        <v>18</v>
      </c>
      <c r="E50" s="21">
        <v>18</v>
      </c>
      <c r="F50" s="43">
        <v>9</v>
      </c>
      <c r="G50" s="41">
        <v>61.91</v>
      </c>
      <c r="H50" s="40">
        <v>5.0999999999999996</v>
      </c>
      <c r="I50" s="40">
        <v>12.73</v>
      </c>
      <c r="J50" s="40">
        <v>7.22</v>
      </c>
      <c r="K50" s="41">
        <v>6.41</v>
      </c>
      <c r="L50" s="39">
        <v>0.70499999999999996</v>
      </c>
      <c r="M50" s="40">
        <v>14.5</v>
      </c>
      <c r="N50" s="35">
        <v>1866</v>
      </c>
      <c r="O50" s="36">
        <v>144.69999999999999</v>
      </c>
      <c r="P50" s="41">
        <v>5.49</v>
      </c>
      <c r="Q50" s="35">
        <v>2965</v>
      </c>
      <c r="R50" s="41">
        <v>6.92</v>
      </c>
      <c r="S50" s="36">
        <v>766</v>
      </c>
      <c r="T50" s="41">
        <v>3.52</v>
      </c>
      <c r="U50" s="233">
        <v>-1100</v>
      </c>
      <c r="V50" s="43">
        <v>1</v>
      </c>
      <c r="W50" s="42">
        <v>4</v>
      </c>
      <c r="X50" s="498"/>
      <c r="Y50" s="33" t="s">
        <v>1542</v>
      </c>
      <c r="Z50" s="51">
        <v>48.6</v>
      </c>
      <c r="AA50" s="21">
        <v>180</v>
      </c>
      <c r="AB50" s="21">
        <v>18</v>
      </c>
      <c r="AC50" s="21">
        <v>18</v>
      </c>
      <c r="AD50" s="43">
        <v>9</v>
      </c>
      <c r="AE50" s="41">
        <v>61.91</v>
      </c>
      <c r="AF50" s="40" t="s">
        <v>667</v>
      </c>
      <c r="AG50" s="35">
        <v>63</v>
      </c>
      <c r="AH50" s="35">
        <v>131</v>
      </c>
      <c r="AI50" s="40">
        <v>56.51</v>
      </c>
    </row>
    <row r="51" spans="1:35" s="435" customFormat="1" ht="13.5" customHeight="1">
      <c r="A51" s="404" t="s">
        <v>1543</v>
      </c>
      <c r="B51" s="405">
        <v>51.1</v>
      </c>
      <c r="C51" s="398">
        <v>180</v>
      </c>
      <c r="D51" s="398">
        <v>19</v>
      </c>
      <c r="E51" s="398">
        <v>18</v>
      </c>
      <c r="F51" s="399">
        <v>9</v>
      </c>
      <c r="G51" s="407">
        <v>65.14</v>
      </c>
      <c r="H51" s="411">
        <v>5.14</v>
      </c>
      <c r="I51" s="411">
        <v>12.73</v>
      </c>
      <c r="J51" s="411">
        <v>7.27</v>
      </c>
      <c r="K51" s="407">
        <v>6.42</v>
      </c>
      <c r="L51" s="410">
        <v>0.70499999999999996</v>
      </c>
      <c r="M51" s="411">
        <v>13.78</v>
      </c>
      <c r="N51" s="408">
        <v>1955</v>
      </c>
      <c r="O51" s="406">
        <v>152.1</v>
      </c>
      <c r="P51" s="407">
        <v>5.48</v>
      </c>
      <c r="Q51" s="408">
        <v>3106</v>
      </c>
      <c r="R51" s="407">
        <v>6.91</v>
      </c>
      <c r="S51" s="406">
        <v>803.8</v>
      </c>
      <c r="T51" s="407">
        <v>3.51</v>
      </c>
      <c r="U51" s="503">
        <v>-1151</v>
      </c>
      <c r="V51" s="399">
        <v>1</v>
      </c>
      <c r="W51" s="400">
        <v>4</v>
      </c>
      <c r="X51" s="498"/>
      <c r="Y51" s="404" t="s">
        <v>1543</v>
      </c>
      <c r="Z51" s="405">
        <v>51.1</v>
      </c>
      <c r="AA51" s="398">
        <v>180</v>
      </c>
      <c r="AB51" s="398">
        <v>19</v>
      </c>
      <c r="AC51" s="398">
        <v>18</v>
      </c>
      <c r="AD51" s="399">
        <v>9</v>
      </c>
      <c r="AE51" s="407">
        <v>65.14</v>
      </c>
      <c r="AF51" s="411" t="s">
        <v>667</v>
      </c>
      <c r="AG51" s="408">
        <v>64</v>
      </c>
      <c r="AH51" s="408">
        <v>131</v>
      </c>
      <c r="AI51" s="411">
        <v>59.44</v>
      </c>
    </row>
    <row r="52" spans="1:35" s="32" customFormat="1" ht="13.5" customHeight="1">
      <c r="A52" s="33" t="s">
        <v>1544</v>
      </c>
      <c r="B52" s="51">
        <v>53.7</v>
      </c>
      <c r="C52" s="21">
        <v>180</v>
      </c>
      <c r="D52" s="21">
        <v>20</v>
      </c>
      <c r="E52" s="21">
        <v>18</v>
      </c>
      <c r="F52" s="43">
        <v>9</v>
      </c>
      <c r="G52" s="41">
        <v>68.349999999999994</v>
      </c>
      <c r="H52" s="40">
        <v>5.18</v>
      </c>
      <c r="I52" s="40">
        <v>12.73</v>
      </c>
      <c r="J52" s="40">
        <v>7.33</v>
      </c>
      <c r="K52" s="41">
        <v>6.44</v>
      </c>
      <c r="L52" s="39">
        <v>0.70499999999999996</v>
      </c>
      <c r="M52" s="40">
        <v>13.13</v>
      </c>
      <c r="N52" s="35">
        <v>2043</v>
      </c>
      <c r="O52" s="36">
        <v>159.4</v>
      </c>
      <c r="P52" s="41">
        <v>5.47</v>
      </c>
      <c r="Q52" s="35">
        <v>3244</v>
      </c>
      <c r="R52" s="41">
        <v>6.89</v>
      </c>
      <c r="S52" s="36">
        <v>841.3</v>
      </c>
      <c r="T52" s="41">
        <v>3.51</v>
      </c>
      <c r="U52" s="233">
        <v>-1202</v>
      </c>
      <c r="V52" s="43">
        <v>1</v>
      </c>
      <c r="W52" s="42">
        <v>3</v>
      </c>
      <c r="X52" s="498"/>
      <c r="Y52" s="33" t="s">
        <v>1544</v>
      </c>
      <c r="Z52" s="51">
        <v>53.7</v>
      </c>
      <c r="AA52" s="21">
        <v>180</v>
      </c>
      <c r="AB52" s="21">
        <v>20</v>
      </c>
      <c r="AC52" s="21">
        <v>18</v>
      </c>
      <c r="AD52" s="43">
        <v>9</v>
      </c>
      <c r="AE52" s="41">
        <v>68.349999999999994</v>
      </c>
      <c r="AF52" s="40" t="s">
        <v>667</v>
      </c>
      <c r="AG52" s="35">
        <v>65</v>
      </c>
      <c r="AH52" s="35">
        <v>131</v>
      </c>
      <c r="AI52" s="40">
        <v>62.35</v>
      </c>
    </row>
    <row r="53" spans="1:35" s="32" customFormat="1" ht="13.5" customHeight="1">
      <c r="A53" s="33"/>
      <c r="B53" s="51"/>
      <c r="C53" s="21"/>
      <c r="D53" s="21"/>
      <c r="E53" s="21"/>
      <c r="F53" s="43"/>
      <c r="G53" s="41"/>
      <c r="H53" s="40"/>
      <c r="I53" s="40"/>
      <c r="J53" s="40"/>
      <c r="K53" s="41"/>
      <c r="L53" s="39"/>
      <c r="M53" s="40"/>
      <c r="N53" s="35"/>
      <c r="O53" s="36"/>
      <c r="P53" s="41"/>
      <c r="Q53" s="35"/>
      <c r="R53" s="41"/>
      <c r="S53" s="36"/>
      <c r="T53" s="41"/>
      <c r="U53" s="233"/>
      <c r="V53" s="43"/>
      <c r="W53" s="42"/>
      <c r="X53" s="498"/>
      <c r="Y53" s="33"/>
      <c r="Z53" s="51"/>
      <c r="AA53" s="21"/>
      <c r="AB53" s="21"/>
      <c r="AC53" s="21"/>
      <c r="AD53" s="43"/>
      <c r="AE53" s="41"/>
      <c r="AF53" s="40"/>
      <c r="AG53" s="35"/>
      <c r="AH53" s="35"/>
      <c r="AI53" s="40"/>
    </row>
    <row r="54" spans="1:35" s="435" customFormat="1" ht="13.5" customHeight="1">
      <c r="A54" s="404" t="s">
        <v>1545</v>
      </c>
      <c r="B54" s="405">
        <v>45.6</v>
      </c>
      <c r="C54" s="398">
        <v>200</v>
      </c>
      <c r="D54" s="398">
        <v>15</v>
      </c>
      <c r="E54" s="398">
        <v>18</v>
      </c>
      <c r="F54" s="399">
        <v>9</v>
      </c>
      <c r="G54" s="407">
        <v>58.1</v>
      </c>
      <c r="H54" s="411">
        <v>5.48</v>
      </c>
      <c r="I54" s="411">
        <v>14.14</v>
      </c>
      <c r="J54" s="411">
        <v>7.75</v>
      </c>
      <c r="K54" s="407">
        <v>7.08</v>
      </c>
      <c r="L54" s="410">
        <v>0.78500000000000003</v>
      </c>
      <c r="M54" s="411">
        <v>17.2</v>
      </c>
      <c r="N54" s="408">
        <v>2209</v>
      </c>
      <c r="O54" s="406">
        <v>152.19999999999999</v>
      </c>
      <c r="P54" s="407">
        <v>6.17</v>
      </c>
      <c r="Q54" s="408">
        <v>3516</v>
      </c>
      <c r="R54" s="407">
        <v>7.78</v>
      </c>
      <c r="S54" s="408">
        <v>903</v>
      </c>
      <c r="T54" s="407">
        <v>3.94</v>
      </c>
      <c r="U54" s="503">
        <v>-1306</v>
      </c>
      <c r="V54" s="399">
        <v>4</v>
      </c>
      <c r="W54" s="400">
        <v>4</v>
      </c>
      <c r="X54" s="498"/>
      <c r="Y54" s="404" t="s">
        <v>1545</v>
      </c>
      <c r="Z54" s="405">
        <v>45.6</v>
      </c>
      <c r="AA54" s="398">
        <v>200</v>
      </c>
      <c r="AB54" s="398">
        <v>15</v>
      </c>
      <c r="AC54" s="398">
        <v>18</v>
      </c>
      <c r="AD54" s="399">
        <v>9</v>
      </c>
      <c r="AE54" s="407">
        <v>58.1</v>
      </c>
      <c r="AF54" s="411" t="s">
        <v>667</v>
      </c>
      <c r="AG54" s="408">
        <v>59</v>
      </c>
      <c r="AH54" s="408">
        <v>151</v>
      </c>
      <c r="AI54" s="411">
        <v>53.6</v>
      </c>
    </row>
    <row r="55" spans="1:35" s="32" customFormat="1" ht="13.5" customHeight="1">
      <c r="A55" s="33" t="s">
        <v>1546</v>
      </c>
      <c r="B55" s="51">
        <v>48.5</v>
      </c>
      <c r="C55" s="21">
        <v>200</v>
      </c>
      <c r="D55" s="21">
        <v>16</v>
      </c>
      <c r="E55" s="21">
        <v>18</v>
      </c>
      <c r="F55" s="43">
        <v>9</v>
      </c>
      <c r="G55" s="41">
        <v>61.79</v>
      </c>
      <c r="H55" s="40">
        <v>5.52</v>
      </c>
      <c r="I55" s="40">
        <v>14.14</v>
      </c>
      <c r="J55" s="40">
        <v>7.81</v>
      </c>
      <c r="K55" s="41">
        <v>7.09</v>
      </c>
      <c r="L55" s="39">
        <v>0.78500000000000003</v>
      </c>
      <c r="M55" s="40">
        <v>16.18</v>
      </c>
      <c r="N55" s="35">
        <v>2341</v>
      </c>
      <c r="O55" s="36">
        <v>161.69999999999999</v>
      </c>
      <c r="P55" s="41">
        <v>6.16</v>
      </c>
      <c r="Q55" s="35">
        <v>3726</v>
      </c>
      <c r="R55" s="41">
        <v>7.77</v>
      </c>
      <c r="S55" s="35">
        <v>957</v>
      </c>
      <c r="T55" s="41">
        <v>3.94</v>
      </c>
      <c r="U55" s="233">
        <v>-1384</v>
      </c>
      <c r="V55" s="43">
        <v>4</v>
      </c>
      <c r="W55" s="42">
        <v>4</v>
      </c>
      <c r="X55" s="498"/>
      <c r="Y55" s="33" t="s">
        <v>1546</v>
      </c>
      <c r="Z55" s="51">
        <v>48.5</v>
      </c>
      <c r="AA55" s="21">
        <v>200</v>
      </c>
      <c r="AB55" s="21">
        <v>16</v>
      </c>
      <c r="AC55" s="21">
        <v>18</v>
      </c>
      <c r="AD55" s="43">
        <v>9</v>
      </c>
      <c r="AE55" s="41">
        <v>61.79</v>
      </c>
      <c r="AF55" s="40" t="s">
        <v>667</v>
      </c>
      <c r="AG55" s="35">
        <v>61</v>
      </c>
      <c r="AH55" s="35">
        <v>151</v>
      </c>
      <c r="AI55" s="40">
        <v>56.99</v>
      </c>
    </row>
    <row r="56" spans="1:35" s="435" customFormat="1" ht="13.5" customHeight="1">
      <c r="A56" s="404" t="s">
        <v>1547</v>
      </c>
      <c r="B56" s="405">
        <v>51.4</v>
      </c>
      <c r="C56" s="398">
        <v>200</v>
      </c>
      <c r="D56" s="398">
        <v>17</v>
      </c>
      <c r="E56" s="398">
        <v>18</v>
      </c>
      <c r="F56" s="399">
        <v>9</v>
      </c>
      <c r="G56" s="407">
        <v>65.459999999999994</v>
      </c>
      <c r="H56" s="411">
        <v>5.56</v>
      </c>
      <c r="I56" s="411">
        <v>14.14</v>
      </c>
      <c r="J56" s="411">
        <v>7.87</v>
      </c>
      <c r="K56" s="407">
        <v>7.1</v>
      </c>
      <c r="L56" s="410">
        <v>0.78500000000000003</v>
      </c>
      <c r="M56" s="411">
        <v>15.27</v>
      </c>
      <c r="N56" s="408">
        <v>2472</v>
      </c>
      <c r="O56" s="406">
        <v>171.2</v>
      </c>
      <c r="P56" s="407">
        <v>6.14</v>
      </c>
      <c r="Q56" s="408">
        <v>3932</v>
      </c>
      <c r="R56" s="407">
        <v>7.75</v>
      </c>
      <c r="S56" s="408">
        <v>1011</v>
      </c>
      <c r="T56" s="407">
        <v>3.93</v>
      </c>
      <c r="U56" s="503">
        <v>-1461</v>
      </c>
      <c r="V56" s="399">
        <v>4</v>
      </c>
      <c r="W56" s="400">
        <v>4</v>
      </c>
      <c r="X56" s="498"/>
      <c r="Y56" s="404" t="s">
        <v>1547</v>
      </c>
      <c r="Z56" s="405">
        <v>51.4</v>
      </c>
      <c r="AA56" s="398">
        <v>200</v>
      </c>
      <c r="AB56" s="398">
        <v>17</v>
      </c>
      <c r="AC56" s="398">
        <v>18</v>
      </c>
      <c r="AD56" s="399">
        <v>9</v>
      </c>
      <c r="AE56" s="407">
        <v>65.459999999999994</v>
      </c>
      <c r="AF56" s="411" t="s">
        <v>667</v>
      </c>
      <c r="AG56" s="408">
        <v>62</v>
      </c>
      <c r="AH56" s="408">
        <v>151</v>
      </c>
      <c r="AI56" s="411">
        <v>60.36</v>
      </c>
    </row>
    <row r="57" spans="1:35" s="32" customFormat="1" ht="13.5" customHeight="1">
      <c r="A57" s="33" t="s">
        <v>1548</v>
      </c>
      <c r="B57" s="51">
        <v>54.3</v>
      </c>
      <c r="C57" s="21">
        <v>200</v>
      </c>
      <c r="D57" s="21">
        <v>18</v>
      </c>
      <c r="E57" s="21">
        <v>18</v>
      </c>
      <c r="F57" s="43">
        <v>9</v>
      </c>
      <c r="G57" s="41">
        <v>69.11</v>
      </c>
      <c r="H57" s="40">
        <v>5.6</v>
      </c>
      <c r="I57" s="40">
        <v>14.14</v>
      </c>
      <c r="J57" s="40">
        <v>7.93</v>
      </c>
      <c r="K57" s="41">
        <v>7.12</v>
      </c>
      <c r="L57" s="39">
        <v>0.78500000000000003</v>
      </c>
      <c r="M57" s="40">
        <v>14.46</v>
      </c>
      <c r="N57" s="35">
        <v>2600</v>
      </c>
      <c r="O57" s="36">
        <v>180.6</v>
      </c>
      <c r="P57" s="41">
        <v>6.13</v>
      </c>
      <c r="Q57" s="35">
        <v>4135</v>
      </c>
      <c r="R57" s="41">
        <v>7.74</v>
      </c>
      <c r="S57" s="35">
        <v>1064</v>
      </c>
      <c r="T57" s="41">
        <v>3.92</v>
      </c>
      <c r="U57" s="233">
        <v>-1536</v>
      </c>
      <c r="V57" s="43">
        <v>3</v>
      </c>
      <c r="W57" s="42">
        <v>4</v>
      </c>
      <c r="X57" s="498"/>
      <c r="Y57" s="33" t="s">
        <v>1548</v>
      </c>
      <c r="Z57" s="51">
        <v>54.3</v>
      </c>
      <c r="AA57" s="21">
        <v>200</v>
      </c>
      <c r="AB57" s="21">
        <v>18</v>
      </c>
      <c r="AC57" s="21">
        <v>18</v>
      </c>
      <c r="AD57" s="43">
        <v>9</v>
      </c>
      <c r="AE57" s="41">
        <v>69.11</v>
      </c>
      <c r="AF57" s="40" t="s">
        <v>667</v>
      </c>
      <c r="AG57" s="35">
        <v>63</v>
      </c>
      <c r="AH57" s="35">
        <v>151</v>
      </c>
      <c r="AI57" s="40">
        <v>63.71</v>
      </c>
    </row>
    <row r="58" spans="1:35" s="435" customFormat="1" ht="13.5" customHeight="1">
      <c r="A58" s="404" t="s">
        <v>1549</v>
      </c>
      <c r="B58" s="405">
        <v>57.1</v>
      </c>
      <c r="C58" s="398">
        <v>200</v>
      </c>
      <c r="D58" s="398">
        <v>19</v>
      </c>
      <c r="E58" s="398">
        <v>18</v>
      </c>
      <c r="F58" s="399">
        <v>9</v>
      </c>
      <c r="G58" s="407">
        <v>72.739999999999995</v>
      </c>
      <c r="H58" s="411">
        <v>5.64</v>
      </c>
      <c r="I58" s="411">
        <v>14.14</v>
      </c>
      <c r="J58" s="411">
        <v>7.98</v>
      </c>
      <c r="K58" s="407">
        <v>7.13</v>
      </c>
      <c r="L58" s="410">
        <v>0.78500000000000003</v>
      </c>
      <c r="M58" s="411">
        <v>13.74</v>
      </c>
      <c r="N58" s="408">
        <v>2726</v>
      </c>
      <c r="O58" s="406">
        <v>189.9</v>
      </c>
      <c r="P58" s="407">
        <v>6.12</v>
      </c>
      <c r="Q58" s="408">
        <v>4335</v>
      </c>
      <c r="R58" s="407">
        <v>7.72</v>
      </c>
      <c r="S58" s="408">
        <v>1117</v>
      </c>
      <c r="T58" s="407">
        <v>3.92</v>
      </c>
      <c r="U58" s="503">
        <v>-1609</v>
      </c>
      <c r="V58" s="399">
        <v>2</v>
      </c>
      <c r="W58" s="400">
        <v>4</v>
      </c>
      <c r="X58" s="498"/>
      <c r="Y58" s="404" t="s">
        <v>1549</v>
      </c>
      <c r="Z58" s="405">
        <v>57.1</v>
      </c>
      <c r="AA58" s="398">
        <v>200</v>
      </c>
      <c r="AB58" s="398">
        <v>19</v>
      </c>
      <c r="AC58" s="398">
        <v>18</v>
      </c>
      <c r="AD58" s="399">
        <v>9</v>
      </c>
      <c r="AE58" s="407">
        <v>72.739999999999995</v>
      </c>
      <c r="AF58" s="411" t="s">
        <v>667</v>
      </c>
      <c r="AG58" s="408">
        <v>64</v>
      </c>
      <c r="AH58" s="408">
        <v>151</v>
      </c>
      <c r="AI58" s="411">
        <v>67.040000000000006</v>
      </c>
    </row>
    <row r="59" spans="1:35" s="32" customFormat="1" ht="13.5" customHeight="1">
      <c r="A59" s="33" t="s">
        <v>1550</v>
      </c>
      <c r="B59" s="51">
        <v>59.9</v>
      </c>
      <c r="C59" s="21">
        <v>200</v>
      </c>
      <c r="D59" s="21">
        <v>20</v>
      </c>
      <c r="E59" s="21">
        <v>18</v>
      </c>
      <c r="F59" s="43">
        <v>9</v>
      </c>
      <c r="G59" s="41">
        <v>76.349999999999994</v>
      </c>
      <c r="H59" s="40">
        <v>5.68</v>
      </c>
      <c r="I59" s="40">
        <v>14.14</v>
      </c>
      <c r="J59" s="40">
        <v>8.0399999999999991</v>
      </c>
      <c r="K59" s="41">
        <v>7.15</v>
      </c>
      <c r="L59" s="39">
        <v>0.78500000000000003</v>
      </c>
      <c r="M59" s="40">
        <v>13.09</v>
      </c>
      <c r="N59" s="35">
        <v>2851</v>
      </c>
      <c r="O59" s="36">
        <v>199.1</v>
      </c>
      <c r="P59" s="41">
        <v>6.11</v>
      </c>
      <c r="Q59" s="35">
        <v>4532</v>
      </c>
      <c r="R59" s="41">
        <v>7.7</v>
      </c>
      <c r="S59" s="35">
        <v>1169</v>
      </c>
      <c r="T59" s="41">
        <v>3.91</v>
      </c>
      <c r="U59" s="233">
        <v>-1681</v>
      </c>
      <c r="V59" s="43">
        <v>1</v>
      </c>
      <c r="W59" s="42">
        <v>4</v>
      </c>
      <c r="X59" s="498"/>
      <c r="Y59" s="33" t="s">
        <v>1550</v>
      </c>
      <c r="Z59" s="51">
        <v>59.9</v>
      </c>
      <c r="AA59" s="21">
        <v>200</v>
      </c>
      <c r="AB59" s="21">
        <v>20</v>
      </c>
      <c r="AC59" s="21">
        <v>18</v>
      </c>
      <c r="AD59" s="43">
        <v>9</v>
      </c>
      <c r="AE59" s="41">
        <v>76.349999999999994</v>
      </c>
      <c r="AF59" s="40" t="s">
        <v>667</v>
      </c>
      <c r="AG59" s="35">
        <v>65</v>
      </c>
      <c r="AH59" s="35">
        <v>151</v>
      </c>
      <c r="AI59" s="40">
        <v>70.349999999999994</v>
      </c>
    </row>
    <row r="60" spans="1:35" s="435" customFormat="1" ht="13.5" customHeight="1">
      <c r="A60" s="404" t="s">
        <v>1551</v>
      </c>
      <c r="B60" s="405">
        <v>62.8</v>
      </c>
      <c r="C60" s="398">
        <v>200</v>
      </c>
      <c r="D60" s="398">
        <v>21</v>
      </c>
      <c r="E60" s="398">
        <v>18</v>
      </c>
      <c r="F60" s="399">
        <v>9</v>
      </c>
      <c r="G60" s="407">
        <v>79.94</v>
      </c>
      <c r="H60" s="411">
        <v>5.72</v>
      </c>
      <c r="I60" s="411">
        <v>14.14</v>
      </c>
      <c r="J60" s="411">
        <v>8.09</v>
      </c>
      <c r="K60" s="407">
        <v>7.16</v>
      </c>
      <c r="L60" s="410">
        <v>0.78500000000000003</v>
      </c>
      <c r="M60" s="411">
        <v>12.5</v>
      </c>
      <c r="N60" s="408">
        <v>2973</v>
      </c>
      <c r="O60" s="406">
        <v>208.2</v>
      </c>
      <c r="P60" s="407">
        <v>6.1</v>
      </c>
      <c r="Q60" s="408">
        <v>4725</v>
      </c>
      <c r="R60" s="407">
        <v>7.69</v>
      </c>
      <c r="S60" s="408">
        <v>1221</v>
      </c>
      <c r="T60" s="407">
        <v>3.91</v>
      </c>
      <c r="U60" s="503">
        <v>-1752</v>
      </c>
      <c r="V60" s="399">
        <v>1</v>
      </c>
      <c r="W60" s="400">
        <v>4</v>
      </c>
      <c r="X60" s="498"/>
      <c r="Y60" s="404" t="s">
        <v>1551</v>
      </c>
      <c r="Z60" s="405">
        <v>62.8</v>
      </c>
      <c r="AA60" s="398">
        <v>200</v>
      </c>
      <c r="AB60" s="398">
        <v>21</v>
      </c>
      <c r="AC60" s="398">
        <v>18</v>
      </c>
      <c r="AD60" s="399">
        <v>9</v>
      </c>
      <c r="AE60" s="407">
        <v>79.94</v>
      </c>
      <c r="AF60" s="411" t="s">
        <v>667</v>
      </c>
      <c r="AG60" s="408">
        <v>66</v>
      </c>
      <c r="AH60" s="408">
        <v>151</v>
      </c>
      <c r="AI60" s="411">
        <v>73.64</v>
      </c>
    </row>
    <row r="61" spans="1:35" s="32" customFormat="1" ht="13.5" customHeight="1">
      <c r="A61" s="33" t="s">
        <v>1552</v>
      </c>
      <c r="B61" s="51">
        <v>65.599999999999994</v>
      </c>
      <c r="C61" s="21">
        <v>200</v>
      </c>
      <c r="D61" s="21">
        <v>22</v>
      </c>
      <c r="E61" s="21">
        <v>18</v>
      </c>
      <c r="F61" s="43">
        <v>9</v>
      </c>
      <c r="G61" s="41">
        <v>83.51</v>
      </c>
      <c r="H61" s="40">
        <v>5.76</v>
      </c>
      <c r="I61" s="40">
        <v>14.14</v>
      </c>
      <c r="J61" s="40">
        <v>8.15</v>
      </c>
      <c r="K61" s="41">
        <v>7.18</v>
      </c>
      <c r="L61" s="39">
        <v>0.78500000000000003</v>
      </c>
      <c r="M61" s="40">
        <v>11.97</v>
      </c>
      <c r="N61" s="35">
        <v>3094</v>
      </c>
      <c r="O61" s="36">
        <v>217.3</v>
      </c>
      <c r="P61" s="41">
        <v>6.09</v>
      </c>
      <c r="Q61" s="35">
        <v>4915</v>
      </c>
      <c r="R61" s="41">
        <v>7.67</v>
      </c>
      <c r="S61" s="35">
        <v>1273</v>
      </c>
      <c r="T61" s="41">
        <v>3.9</v>
      </c>
      <c r="U61" s="233">
        <v>-1821</v>
      </c>
      <c r="V61" s="43">
        <v>1</v>
      </c>
      <c r="W61" s="42">
        <v>3</v>
      </c>
      <c r="X61" s="498"/>
      <c r="Y61" s="33" t="s">
        <v>1552</v>
      </c>
      <c r="Z61" s="51">
        <v>65.599999999999994</v>
      </c>
      <c r="AA61" s="21">
        <v>200</v>
      </c>
      <c r="AB61" s="21">
        <v>22</v>
      </c>
      <c r="AC61" s="21">
        <v>18</v>
      </c>
      <c r="AD61" s="43">
        <v>9</v>
      </c>
      <c r="AE61" s="41">
        <v>83.51</v>
      </c>
      <c r="AF61" s="40" t="s">
        <v>667</v>
      </c>
      <c r="AG61" s="35">
        <v>67</v>
      </c>
      <c r="AH61" s="35">
        <v>151</v>
      </c>
      <c r="AI61" s="40">
        <v>76.91</v>
      </c>
    </row>
    <row r="62" spans="1:35" s="435" customFormat="1" ht="13.5" customHeight="1">
      <c r="A62" s="404" t="s">
        <v>1553</v>
      </c>
      <c r="B62" s="405">
        <v>68.3</v>
      </c>
      <c r="C62" s="398">
        <v>200</v>
      </c>
      <c r="D62" s="398">
        <v>23</v>
      </c>
      <c r="E62" s="398">
        <v>18</v>
      </c>
      <c r="F62" s="399">
        <v>9</v>
      </c>
      <c r="G62" s="407">
        <v>87.06</v>
      </c>
      <c r="H62" s="411">
        <v>5.8</v>
      </c>
      <c r="I62" s="411">
        <v>14.14</v>
      </c>
      <c r="J62" s="411">
        <v>8.1999999999999993</v>
      </c>
      <c r="K62" s="407">
        <v>7.19</v>
      </c>
      <c r="L62" s="410">
        <v>0.78500000000000003</v>
      </c>
      <c r="M62" s="411">
        <v>11.48</v>
      </c>
      <c r="N62" s="408">
        <v>3213</v>
      </c>
      <c r="O62" s="406">
        <v>226.3</v>
      </c>
      <c r="P62" s="407">
        <v>6.08</v>
      </c>
      <c r="Q62" s="408">
        <v>5102</v>
      </c>
      <c r="R62" s="407">
        <v>7.66</v>
      </c>
      <c r="S62" s="408">
        <v>1324</v>
      </c>
      <c r="T62" s="407">
        <v>3.9</v>
      </c>
      <c r="U62" s="503">
        <v>-1889</v>
      </c>
      <c r="V62" s="399">
        <v>1</v>
      </c>
      <c r="W62" s="400">
        <v>2</v>
      </c>
      <c r="X62" s="498"/>
      <c r="Y62" s="404" t="s">
        <v>1553</v>
      </c>
      <c r="Z62" s="405">
        <v>68.3</v>
      </c>
      <c r="AA62" s="398">
        <v>200</v>
      </c>
      <c r="AB62" s="398">
        <v>23</v>
      </c>
      <c r="AC62" s="398">
        <v>18</v>
      </c>
      <c r="AD62" s="399">
        <v>9</v>
      </c>
      <c r="AE62" s="407">
        <v>87.06</v>
      </c>
      <c r="AF62" s="411" t="s">
        <v>667</v>
      </c>
      <c r="AG62" s="408">
        <v>68</v>
      </c>
      <c r="AH62" s="408">
        <v>151</v>
      </c>
      <c r="AI62" s="411">
        <v>80.16</v>
      </c>
    </row>
    <row r="63" spans="1:35" s="32" customFormat="1" ht="13.5" customHeight="1">
      <c r="A63" s="33" t="s">
        <v>1554</v>
      </c>
      <c r="B63" s="51">
        <v>71.099999999999994</v>
      </c>
      <c r="C63" s="21">
        <v>200</v>
      </c>
      <c r="D63" s="21">
        <v>24</v>
      </c>
      <c r="E63" s="21">
        <v>18</v>
      </c>
      <c r="F63" s="43">
        <v>9</v>
      </c>
      <c r="G63" s="41">
        <v>90.59</v>
      </c>
      <c r="H63" s="40">
        <v>5.84</v>
      </c>
      <c r="I63" s="40">
        <v>14.14</v>
      </c>
      <c r="J63" s="40">
        <v>8.26</v>
      </c>
      <c r="K63" s="41">
        <v>7.21</v>
      </c>
      <c r="L63" s="39">
        <v>0.78500000000000003</v>
      </c>
      <c r="M63" s="40">
        <v>11.03</v>
      </c>
      <c r="N63" s="35">
        <v>3331</v>
      </c>
      <c r="O63" s="36">
        <v>235.2</v>
      </c>
      <c r="P63" s="41">
        <v>6.06</v>
      </c>
      <c r="Q63" s="35">
        <v>5286</v>
      </c>
      <c r="R63" s="41">
        <v>7.64</v>
      </c>
      <c r="S63" s="35">
        <v>1375</v>
      </c>
      <c r="T63" s="41">
        <v>3.9</v>
      </c>
      <c r="U63" s="233">
        <v>-1955</v>
      </c>
      <c r="V63" s="43">
        <v>1</v>
      </c>
      <c r="W63" s="42">
        <v>2</v>
      </c>
      <c r="X63" s="498"/>
      <c r="Y63" s="33" t="s">
        <v>1554</v>
      </c>
      <c r="Z63" s="51">
        <v>71.099999999999994</v>
      </c>
      <c r="AA63" s="21">
        <v>200</v>
      </c>
      <c r="AB63" s="21">
        <v>24</v>
      </c>
      <c r="AC63" s="21">
        <v>18</v>
      </c>
      <c r="AD63" s="43">
        <v>9</v>
      </c>
      <c r="AE63" s="41">
        <v>90.59</v>
      </c>
      <c r="AF63" s="40" t="s">
        <v>667</v>
      </c>
      <c r="AG63" s="35">
        <v>69</v>
      </c>
      <c r="AH63" s="35">
        <v>151</v>
      </c>
      <c r="AI63" s="40">
        <v>83.39</v>
      </c>
    </row>
    <row r="64" spans="1:35" s="435" customFormat="1" ht="13.5" customHeight="1">
      <c r="A64" s="404" t="s">
        <v>1555</v>
      </c>
      <c r="B64" s="405">
        <v>73.900000000000006</v>
      </c>
      <c r="C64" s="398">
        <v>200</v>
      </c>
      <c r="D64" s="398">
        <v>25</v>
      </c>
      <c r="E64" s="398">
        <v>18</v>
      </c>
      <c r="F64" s="399">
        <v>9</v>
      </c>
      <c r="G64" s="407">
        <v>94.1</v>
      </c>
      <c r="H64" s="411">
        <v>5.88</v>
      </c>
      <c r="I64" s="411">
        <v>14.14</v>
      </c>
      <c r="J64" s="411">
        <v>8.31</v>
      </c>
      <c r="K64" s="407">
        <v>7.23</v>
      </c>
      <c r="L64" s="410">
        <v>0.78500000000000003</v>
      </c>
      <c r="M64" s="411">
        <v>10.62</v>
      </c>
      <c r="N64" s="408">
        <v>3446</v>
      </c>
      <c r="O64" s="406">
        <v>244</v>
      </c>
      <c r="P64" s="407">
        <v>6.05</v>
      </c>
      <c r="Q64" s="408">
        <v>5467</v>
      </c>
      <c r="R64" s="407">
        <v>7.62</v>
      </c>
      <c r="S64" s="408">
        <v>1426</v>
      </c>
      <c r="T64" s="407">
        <v>3.89</v>
      </c>
      <c r="U64" s="503">
        <v>-2020</v>
      </c>
      <c r="V64" s="399">
        <v>1</v>
      </c>
      <c r="W64" s="400">
        <v>1</v>
      </c>
      <c r="X64" s="498"/>
      <c r="Y64" s="404" t="s">
        <v>1555</v>
      </c>
      <c r="Z64" s="405">
        <v>73.900000000000006</v>
      </c>
      <c r="AA64" s="398">
        <v>200</v>
      </c>
      <c r="AB64" s="398">
        <v>25</v>
      </c>
      <c r="AC64" s="398">
        <v>18</v>
      </c>
      <c r="AD64" s="399">
        <v>9</v>
      </c>
      <c r="AE64" s="407">
        <v>94.1</v>
      </c>
      <c r="AF64" s="411" t="s">
        <v>667</v>
      </c>
      <c r="AG64" s="408">
        <v>70</v>
      </c>
      <c r="AH64" s="408">
        <v>151</v>
      </c>
      <c r="AI64" s="411">
        <v>86.6</v>
      </c>
    </row>
    <row r="65" spans="1:35" s="32" customFormat="1" ht="13.5" customHeight="1">
      <c r="A65" s="33" t="s">
        <v>1556</v>
      </c>
      <c r="B65" s="51">
        <v>76.599999999999994</v>
      </c>
      <c r="C65" s="21">
        <v>200</v>
      </c>
      <c r="D65" s="21">
        <v>26</v>
      </c>
      <c r="E65" s="21">
        <v>18</v>
      </c>
      <c r="F65" s="43">
        <v>9</v>
      </c>
      <c r="G65" s="41">
        <v>97.59</v>
      </c>
      <c r="H65" s="40">
        <v>5.91</v>
      </c>
      <c r="I65" s="40">
        <v>14.14</v>
      </c>
      <c r="J65" s="40">
        <v>8.36</v>
      </c>
      <c r="K65" s="41">
        <v>7.25</v>
      </c>
      <c r="L65" s="39">
        <v>0.78500000000000003</v>
      </c>
      <c r="M65" s="40">
        <v>10.24</v>
      </c>
      <c r="N65" s="35">
        <v>3560</v>
      </c>
      <c r="O65" s="36">
        <v>252.7</v>
      </c>
      <c r="P65" s="41">
        <v>6.04</v>
      </c>
      <c r="Q65" s="35">
        <v>5645</v>
      </c>
      <c r="R65" s="41">
        <v>7.61</v>
      </c>
      <c r="S65" s="35">
        <v>1476</v>
      </c>
      <c r="T65" s="41">
        <v>3.89</v>
      </c>
      <c r="U65" s="233">
        <v>-2084</v>
      </c>
      <c r="V65" s="43">
        <v>1</v>
      </c>
      <c r="W65" s="42">
        <v>1</v>
      </c>
      <c r="X65" s="498"/>
      <c r="Y65" s="33" t="s">
        <v>1556</v>
      </c>
      <c r="Z65" s="51">
        <v>76.599999999999994</v>
      </c>
      <c r="AA65" s="21">
        <v>200</v>
      </c>
      <c r="AB65" s="21">
        <v>26</v>
      </c>
      <c r="AC65" s="21">
        <v>18</v>
      </c>
      <c r="AD65" s="43">
        <v>9</v>
      </c>
      <c r="AE65" s="41">
        <v>97.59</v>
      </c>
      <c r="AF65" s="40" t="s">
        <v>667</v>
      </c>
      <c r="AG65" s="35">
        <v>71</v>
      </c>
      <c r="AH65" s="35">
        <v>151</v>
      </c>
      <c r="AI65" s="40">
        <v>89.79</v>
      </c>
    </row>
    <row r="66" spans="1:35" s="32" customFormat="1" ht="13.5" customHeight="1">
      <c r="A66" s="33"/>
      <c r="B66" s="51"/>
      <c r="C66" s="21"/>
      <c r="D66" s="21"/>
      <c r="E66" s="21"/>
      <c r="F66" s="43"/>
      <c r="G66" s="41"/>
      <c r="H66" s="40"/>
      <c r="I66" s="40"/>
      <c r="J66" s="40"/>
      <c r="K66" s="41"/>
      <c r="L66" s="39"/>
      <c r="M66" s="40"/>
      <c r="N66" s="35"/>
      <c r="O66" s="36"/>
      <c r="P66" s="41"/>
      <c r="Q66" s="35"/>
      <c r="R66" s="41"/>
      <c r="S66" s="35"/>
      <c r="T66" s="41"/>
      <c r="U66" s="233"/>
      <c r="V66" s="43"/>
      <c r="W66" s="42"/>
      <c r="X66" s="498"/>
      <c r="Y66" s="33"/>
      <c r="Z66" s="51"/>
      <c r="AA66" s="21"/>
      <c r="AB66" s="21"/>
      <c r="AC66" s="21"/>
      <c r="AD66" s="43"/>
      <c r="AE66" s="41"/>
      <c r="AF66" s="40"/>
      <c r="AG66" s="35"/>
      <c r="AH66" s="35"/>
      <c r="AI66" s="40"/>
    </row>
    <row r="67" spans="1:35" s="435" customFormat="1" ht="13.5" customHeight="1">
      <c r="A67" s="404" t="s">
        <v>1557</v>
      </c>
      <c r="B67" s="405">
        <v>75.599999999999994</v>
      </c>
      <c r="C67" s="398">
        <v>250</v>
      </c>
      <c r="D67" s="398">
        <v>20</v>
      </c>
      <c r="E67" s="398">
        <v>18</v>
      </c>
      <c r="F67" s="399">
        <v>9</v>
      </c>
      <c r="G67" s="407">
        <v>96.35</v>
      </c>
      <c r="H67" s="411">
        <v>6.93</v>
      </c>
      <c r="I67" s="411">
        <v>17.68</v>
      </c>
      <c r="J67" s="411">
        <v>9.81</v>
      </c>
      <c r="K67" s="407">
        <v>8.91</v>
      </c>
      <c r="L67" s="410">
        <v>0.98499999999999999</v>
      </c>
      <c r="M67" s="411">
        <v>13.02</v>
      </c>
      <c r="N67" s="406">
        <v>5743</v>
      </c>
      <c r="O67" s="411">
        <v>317.89999999999998</v>
      </c>
      <c r="P67" s="407">
        <v>7.72</v>
      </c>
      <c r="Q67" s="408">
        <v>9144</v>
      </c>
      <c r="R67" s="407">
        <v>9.74</v>
      </c>
      <c r="S67" s="408">
        <v>2341</v>
      </c>
      <c r="T67" s="407">
        <v>4.93</v>
      </c>
      <c r="U67" s="503">
        <v>-3401</v>
      </c>
      <c r="V67" s="399">
        <v>4</v>
      </c>
      <c r="W67" s="400">
        <v>4</v>
      </c>
      <c r="X67" s="498"/>
      <c r="Y67" s="404" t="s">
        <v>1557</v>
      </c>
      <c r="Z67" s="405">
        <v>75.599999999999994</v>
      </c>
      <c r="AA67" s="398">
        <v>250</v>
      </c>
      <c r="AB67" s="398">
        <v>20</v>
      </c>
      <c r="AC67" s="398">
        <v>18</v>
      </c>
      <c r="AD67" s="399">
        <v>9</v>
      </c>
      <c r="AE67" s="407">
        <v>96.35</v>
      </c>
      <c r="AF67" s="411" t="s">
        <v>667</v>
      </c>
      <c r="AG67" s="408">
        <v>40</v>
      </c>
      <c r="AH67" s="408">
        <v>240</v>
      </c>
      <c r="AI67" s="411">
        <v>96.35</v>
      </c>
    </row>
    <row r="68" spans="1:35" s="32" customFormat="1" ht="13.5" customHeight="1">
      <c r="A68" s="33" t="s">
        <v>1558</v>
      </c>
      <c r="B68" s="51">
        <v>79.2</v>
      </c>
      <c r="C68" s="21">
        <v>250</v>
      </c>
      <c r="D68" s="21">
        <v>21</v>
      </c>
      <c r="E68" s="21">
        <v>18</v>
      </c>
      <c r="F68" s="43">
        <v>9</v>
      </c>
      <c r="G68" s="41">
        <v>100.94</v>
      </c>
      <c r="H68" s="40">
        <v>6.97</v>
      </c>
      <c r="I68" s="40">
        <v>17.68</v>
      </c>
      <c r="J68" s="40">
        <v>9.86</v>
      </c>
      <c r="K68" s="41">
        <v>8.93</v>
      </c>
      <c r="L68" s="39">
        <v>0.98499999999999999</v>
      </c>
      <c r="M68" s="40">
        <v>12.43</v>
      </c>
      <c r="N68" s="36">
        <v>5997</v>
      </c>
      <c r="O68" s="40">
        <v>332.7</v>
      </c>
      <c r="P68" s="41">
        <v>7.71</v>
      </c>
      <c r="Q68" s="35">
        <v>9548</v>
      </c>
      <c r="R68" s="41">
        <v>9.73</v>
      </c>
      <c r="S68" s="35">
        <v>2447</v>
      </c>
      <c r="T68" s="41">
        <v>4.92</v>
      </c>
      <c r="U68" s="233">
        <v>-3550</v>
      </c>
      <c r="V68" s="43">
        <v>4</v>
      </c>
      <c r="W68" s="42">
        <v>4</v>
      </c>
      <c r="X68" s="498"/>
      <c r="Y68" s="33" t="s">
        <v>1558</v>
      </c>
      <c r="Z68" s="51">
        <v>79.2</v>
      </c>
      <c r="AA68" s="21">
        <v>250</v>
      </c>
      <c r="AB68" s="21">
        <v>21</v>
      </c>
      <c r="AC68" s="21">
        <v>18</v>
      </c>
      <c r="AD68" s="43">
        <v>9</v>
      </c>
      <c r="AE68" s="41">
        <v>100.94</v>
      </c>
      <c r="AF68" s="40" t="s">
        <v>667</v>
      </c>
      <c r="AG68" s="35">
        <v>41</v>
      </c>
      <c r="AH68" s="35">
        <v>246</v>
      </c>
      <c r="AI68" s="40">
        <v>100.94</v>
      </c>
    </row>
    <row r="69" spans="1:35" s="435" customFormat="1" ht="13.5" customHeight="1">
      <c r="A69" s="404" t="s">
        <v>1559</v>
      </c>
      <c r="B69" s="405">
        <v>82.8</v>
      </c>
      <c r="C69" s="398">
        <v>250</v>
      </c>
      <c r="D69" s="398">
        <v>22</v>
      </c>
      <c r="E69" s="398">
        <v>18</v>
      </c>
      <c r="F69" s="399">
        <v>9</v>
      </c>
      <c r="G69" s="407">
        <v>105.51</v>
      </c>
      <c r="H69" s="411">
        <v>7.01</v>
      </c>
      <c r="I69" s="411">
        <v>17.68</v>
      </c>
      <c r="J69" s="411">
        <v>9.92</v>
      </c>
      <c r="K69" s="407">
        <v>8.94</v>
      </c>
      <c r="L69" s="410">
        <v>0.98499999999999999</v>
      </c>
      <c r="M69" s="411">
        <v>11.89</v>
      </c>
      <c r="N69" s="406">
        <v>6249</v>
      </c>
      <c r="O69" s="411">
        <v>347.4</v>
      </c>
      <c r="P69" s="407">
        <v>7.7</v>
      </c>
      <c r="Q69" s="408">
        <v>9946</v>
      </c>
      <c r="R69" s="407">
        <v>9.7100000000000009</v>
      </c>
      <c r="S69" s="408">
        <v>2551</v>
      </c>
      <c r="T69" s="407">
        <v>4.92</v>
      </c>
      <c r="U69" s="503">
        <v>-3697</v>
      </c>
      <c r="V69" s="399">
        <v>3</v>
      </c>
      <c r="W69" s="400">
        <v>4</v>
      </c>
      <c r="X69" s="498"/>
      <c r="Y69" s="404" t="s">
        <v>1559</v>
      </c>
      <c r="Z69" s="405">
        <v>82.8</v>
      </c>
      <c r="AA69" s="398">
        <v>250</v>
      </c>
      <c r="AB69" s="398">
        <v>22</v>
      </c>
      <c r="AC69" s="398">
        <v>18</v>
      </c>
      <c r="AD69" s="399">
        <v>9</v>
      </c>
      <c r="AE69" s="407">
        <v>105.51</v>
      </c>
      <c r="AF69" s="411" t="s">
        <v>667</v>
      </c>
      <c r="AG69" s="408">
        <v>42</v>
      </c>
      <c r="AH69" s="408">
        <v>246</v>
      </c>
      <c r="AI69" s="411">
        <v>105.51</v>
      </c>
    </row>
    <row r="70" spans="1:35" s="32" customFormat="1" ht="13.5" customHeight="1">
      <c r="A70" s="33" t="s">
        <v>1560</v>
      </c>
      <c r="B70" s="51">
        <v>86.4</v>
      </c>
      <c r="C70" s="21">
        <v>250</v>
      </c>
      <c r="D70" s="21">
        <v>23</v>
      </c>
      <c r="E70" s="21">
        <v>18</v>
      </c>
      <c r="F70" s="43">
        <v>9</v>
      </c>
      <c r="G70" s="41">
        <v>110.06</v>
      </c>
      <c r="H70" s="40">
        <v>7.05</v>
      </c>
      <c r="I70" s="40">
        <v>17.68</v>
      </c>
      <c r="J70" s="40">
        <v>9.9700000000000006</v>
      </c>
      <c r="K70" s="41">
        <v>8.9600000000000009</v>
      </c>
      <c r="L70" s="39">
        <v>0.98499999999999999</v>
      </c>
      <c r="M70" s="40">
        <v>11.4</v>
      </c>
      <c r="N70" s="36">
        <v>6497</v>
      </c>
      <c r="O70" s="40">
        <v>362</v>
      </c>
      <c r="P70" s="41">
        <v>7.68</v>
      </c>
      <c r="Q70" s="35">
        <v>10339</v>
      </c>
      <c r="R70" s="41">
        <v>9.69</v>
      </c>
      <c r="S70" s="35">
        <v>2655</v>
      </c>
      <c r="T70" s="41">
        <v>4.91</v>
      </c>
      <c r="U70" s="233">
        <v>-3842</v>
      </c>
      <c r="V70" s="43">
        <v>2</v>
      </c>
      <c r="W70" s="42">
        <v>4</v>
      </c>
      <c r="X70" s="498"/>
      <c r="Y70" s="33" t="s">
        <v>1560</v>
      </c>
      <c r="Z70" s="51">
        <v>86.4</v>
      </c>
      <c r="AA70" s="21">
        <v>250</v>
      </c>
      <c r="AB70" s="21">
        <v>23</v>
      </c>
      <c r="AC70" s="21">
        <v>18</v>
      </c>
      <c r="AD70" s="43">
        <v>9</v>
      </c>
      <c r="AE70" s="41">
        <v>110.06</v>
      </c>
      <c r="AF70" s="40" t="s">
        <v>667</v>
      </c>
      <c r="AG70" s="35">
        <v>43</v>
      </c>
      <c r="AH70" s="35">
        <v>246</v>
      </c>
      <c r="AI70" s="40">
        <v>110.06</v>
      </c>
    </row>
    <row r="71" spans="1:35" s="435" customFormat="1" ht="13.5" customHeight="1">
      <c r="A71" s="404" t="s">
        <v>1561</v>
      </c>
      <c r="B71" s="405">
        <v>90</v>
      </c>
      <c r="C71" s="398">
        <v>250</v>
      </c>
      <c r="D71" s="398">
        <v>24</v>
      </c>
      <c r="E71" s="398">
        <v>18</v>
      </c>
      <c r="F71" s="399">
        <v>9</v>
      </c>
      <c r="G71" s="407">
        <v>114.59</v>
      </c>
      <c r="H71" s="411">
        <v>7.09</v>
      </c>
      <c r="I71" s="411">
        <v>17.68</v>
      </c>
      <c r="J71" s="411">
        <v>10.029999999999999</v>
      </c>
      <c r="K71" s="407">
        <v>8.98</v>
      </c>
      <c r="L71" s="410">
        <v>0.98499999999999999</v>
      </c>
      <c r="M71" s="411">
        <v>10.95</v>
      </c>
      <c r="N71" s="408">
        <v>6743</v>
      </c>
      <c r="O71" s="411">
        <v>376.5</v>
      </c>
      <c r="P71" s="407">
        <v>7.67</v>
      </c>
      <c r="Q71" s="408">
        <v>10727</v>
      </c>
      <c r="R71" s="407">
        <v>9.68</v>
      </c>
      <c r="S71" s="408">
        <v>2759</v>
      </c>
      <c r="T71" s="407">
        <v>4.91</v>
      </c>
      <c r="U71" s="503">
        <v>-3984</v>
      </c>
      <c r="V71" s="399">
        <v>2</v>
      </c>
      <c r="W71" s="400">
        <v>4</v>
      </c>
      <c r="X71" s="498"/>
      <c r="Y71" s="404" t="s">
        <v>1561</v>
      </c>
      <c r="Z71" s="405">
        <v>90</v>
      </c>
      <c r="AA71" s="398">
        <v>250</v>
      </c>
      <c r="AB71" s="398">
        <v>24</v>
      </c>
      <c r="AC71" s="398">
        <v>18</v>
      </c>
      <c r="AD71" s="399">
        <v>9</v>
      </c>
      <c r="AE71" s="407">
        <v>114.59</v>
      </c>
      <c r="AF71" s="411" t="s">
        <v>667</v>
      </c>
      <c r="AG71" s="408">
        <v>44</v>
      </c>
      <c r="AH71" s="408">
        <v>246</v>
      </c>
      <c r="AI71" s="411">
        <v>114.59</v>
      </c>
    </row>
    <row r="72" spans="1:35" s="32" customFormat="1" ht="13.5" customHeight="1">
      <c r="A72" s="33" t="s">
        <v>1562</v>
      </c>
      <c r="B72" s="51">
        <v>93.5</v>
      </c>
      <c r="C72" s="21">
        <v>250</v>
      </c>
      <c r="D72" s="21">
        <v>25</v>
      </c>
      <c r="E72" s="21">
        <v>18</v>
      </c>
      <c r="F72" s="43">
        <v>9</v>
      </c>
      <c r="G72" s="41">
        <v>119.1</v>
      </c>
      <c r="H72" s="40">
        <v>7.13</v>
      </c>
      <c r="I72" s="40">
        <v>17.68</v>
      </c>
      <c r="J72" s="40">
        <v>10.08</v>
      </c>
      <c r="K72" s="41">
        <v>8.99</v>
      </c>
      <c r="L72" s="39">
        <v>0.98499999999999999</v>
      </c>
      <c r="M72" s="40">
        <v>10.53</v>
      </c>
      <c r="N72" s="35">
        <v>6986</v>
      </c>
      <c r="O72" s="40">
        <v>390.9</v>
      </c>
      <c r="P72" s="41">
        <v>7.66</v>
      </c>
      <c r="Q72" s="35">
        <v>11110</v>
      </c>
      <c r="R72" s="41">
        <v>9.66</v>
      </c>
      <c r="S72" s="35">
        <v>2861</v>
      </c>
      <c r="T72" s="41">
        <v>4.9000000000000004</v>
      </c>
      <c r="U72" s="233">
        <v>-4124</v>
      </c>
      <c r="V72" s="43">
        <v>1</v>
      </c>
      <c r="W72" s="42">
        <v>4</v>
      </c>
      <c r="X72" s="498"/>
      <c r="Y72" s="33" t="s">
        <v>1562</v>
      </c>
      <c r="Z72" s="51">
        <v>93.5</v>
      </c>
      <c r="AA72" s="21">
        <v>250</v>
      </c>
      <c r="AB72" s="21">
        <v>25</v>
      </c>
      <c r="AC72" s="21">
        <v>18</v>
      </c>
      <c r="AD72" s="43">
        <v>9</v>
      </c>
      <c r="AE72" s="41">
        <v>119.1</v>
      </c>
      <c r="AF72" s="40" t="s">
        <v>667</v>
      </c>
      <c r="AG72" s="35">
        <v>45</v>
      </c>
      <c r="AH72" s="35">
        <v>246</v>
      </c>
      <c r="AI72" s="40">
        <v>119.1</v>
      </c>
    </row>
    <row r="73" spans="1:35" s="435" customFormat="1" ht="13.5" customHeight="1">
      <c r="A73" s="404" t="s">
        <v>1563</v>
      </c>
      <c r="B73" s="405">
        <v>97</v>
      </c>
      <c r="C73" s="398">
        <v>250</v>
      </c>
      <c r="D73" s="398">
        <v>26</v>
      </c>
      <c r="E73" s="398">
        <v>18</v>
      </c>
      <c r="F73" s="399">
        <v>9</v>
      </c>
      <c r="G73" s="407">
        <v>123.59</v>
      </c>
      <c r="H73" s="411">
        <v>7.17</v>
      </c>
      <c r="I73" s="411">
        <v>17.68</v>
      </c>
      <c r="J73" s="411">
        <v>10.130000000000001</v>
      </c>
      <c r="K73" s="407">
        <v>9.01</v>
      </c>
      <c r="L73" s="410">
        <v>0.98499999999999999</v>
      </c>
      <c r="M73" s="411">
        <v>10.15</v>
      </c>
      <c r="N73" s="408">
        <v>7226</v>
      </c>
      <c r="O73" s="406">
        <v>405.2</v>
      </c>
      <c r="P73" s="407">
        <v>7.65</v>
      </c>
      <c r="Q73" s="408">
        <v>11488</v>
      </c>
      <c r="R73" s="407">
        <v>9.64</v>
      </c>
      <c r="S73" s="408">
        <v>2963</v>
      </c>
      <c r="T73" s="407">
        <v>4.9000000000000004</v>
      </c>
      <c r="U73" s="503">
        <v>-4262</v>
      </c>
      <c r="V73" s="399">
        <v>1</v>
      </c>
      <c r="W73" s="400">
        <v>4</v>
      </c>
      <c r="X73" s="498"/>
      <c r="Y73" s="404" t="s">
        <v>1563</v>
      </c>
      <c r="Z73" s="405">
        <v>97</v>
      </c>
      <c r="AA73" s="398">
        <v>250</v>
      </c>
      <c r="AB73" s="398">
        <v>26</v>
      </c>
      <c r="AC73" s="398">
        <v>18</v>
      </c>
      <c r="AD73" s="399">
        <v>9</v>
      </c>
      <c r="AE73" s="407">
        <v>123.59</v>
      </c>
      <c r="AF73" s="411" t="s">
        <v>667</v>
      </c>
      <c r="AG73" s="408">
        <v>46</v>
      </c>
      <c r="AH73" s="408">
        <v>246</v>
      </c>
      <c r="AI73" s="411">
        <v>123.59</v>
      </c>
    </row>
    <row r="74" spans="1:35" s="32" customFormat="1" ht="13.5" customHeight="1">
      <c r="A74" s="33" t="s">
        <v>1564</v>
      </c>
      <c r="B74" s="51">
        <v>100.5</v>
      </c>
      <c r="C74" s="21">
        <v>250</v>
      </c>
      <c r="D74" s="21">
        <v>27</v>
      </c>
      <c r="E74" s="21">
        <v>18</v>
      </c>
      <c r="F74" s="43">
        <v>9</v>
      </c>
      <c r="G74" s="41">
        <v>128.06</v>
      </c>
      <c r="H74" s="40">
        <v>7.2</v>
      </c>
      <c r="I74" s="40">
        <v>17.68</v>
      </c>
      <c r="J74" s="40">
        <v>10.19</v>
      </c>
      <c r="K74" s="41">
        <v>9.0299999999999994</v>
      </c>
      <c r="L74" s="39">
        <v>0.98499999999999999</v>
      </c>
      <c r="M74" s="40">
        <v>9.7899999999999991</v>
      </c>
      <c r="N74" s="35">
        <v>7463</v>
      </c>
      <c r="O74" s="36">
        <v>419.3</v>
      </c>
      <c r="P74" s="41">
        <v>7.63</v>
      </c>
      <c r="Q74" s="35">
        <v>11861</v>
      </c>
      <c r="R74" s="41">
        <v>9.6199999999999992</v>
      </c>
      <c r="S74" s="35">
        <v>3065</v>
      </c>
      <c r="T74" s="41">
        <v>4.8899999999999997</v>
      </c>
      <c r="U74" s="233">
        <v>-4398</v>
      </c>
      <c r="V74" s="43">
        <v>1</v>
      </c>
      <c r="W74" s="42">
        <v>3</v>
      </c>
      <c r="X74" s="498"/>
      <c r="Y74" s="33" t="s">
        <v>1564</v>
      </c>
      <c r="Z74" s="51">
        <v>100.5</v>
      </c>
      <c r="AA74" s="21">
        <v>250</v>
      </c>
      <c r="AB74" s="21">
        <v>27</v>
      </c>
      <c r="AC74" s="21">
        <v>18</v>
      </c>
      <c r="AD74" s="43">
        <v>9</v>
      </c>
      <c r="AE74" s="41">
        <v>128.06</v>
      </c>
      <c r="AF74" s="40" t="s">
        <v>667</v>
      </c>
      <c r="AG74" s="35">
        <v>47</v>
      </c>
      <c r="AH74" s="35">
        <v>246</v>
      </c>
      <c r="AI74" s="40">
        <v>128.06</v>
      </c>
    </row>
    <row r="75" spans="1:35" s="435" customFormat="1" ht="13.5" customHeight="1">
      <c r="A75" s="404" t="s">
        <v>1565</v>
      </c>
      <c r="B75" s="405">
        <v>104</v>
      </c>
      <c r="C75" s="398">
        <v>250</v>
      </c>
      <c r="D75" s="398">
        <v>28</v>
      </c>
      <c r="E75" s="398">
        <v>18</v>
      </c>
      <c r="F75" s="399">
        <v>9</v>
      </c>
      <c r="G75" s="407">
        <v>132.51</v>
      </c>
      <c r="H75" s="411">
        <v>7.24</v>
      </c>
      <c r="I75" s="411">
        <v>17.68</v>
      </c>
      <c r="J75" s="411">
        <v>10.24</v>
      </c>
      <c r="K75" s="407">
        <v>9.0399999999999991</v>
      </c>
      <c r="L75" s="410">
        <v>0.98499999999999999</v>
      </c>
      <c r="M75" s="411">
        <v>9.4700000000000006</v>
      </c>
      <c r="N75" s="408">
        <v>7697</v>
      </c>
      <c r="O75" s="406">
        <v>433.4</v>
      </c>
      <c r="P75" s="407">
        <v>7.62</v>
      </c>
      <c r="Q75" s="408">
        <v>12229</v>
      </c>
      <c r="R75" s="407">
        <v>9.61</v>
      </c>
      <c r="S75" s="408">
        <v>3166</v>
      </c>
      <c r="T75" s="407">
        <v>4.8899999999999997</v>
      </c>
      <c r="U75" s="503">
        <v>-4532</v>
      </c>
      <c r="V75" s="399">
        <v>1</v>
      </c>
      <c r="W75" s="400">
        <v>2</v>
      </c>
      <c r="X75" s="498"/>
      <c r="Y75" s="404" t="s">
        <v>1565</v>
      </c>
      <c r="Z75" s="405">
        <v>104</v>
      </c>
      <c r="AA75" s="398">
        <v>250</v>
      </c>
      <c r="AB75" s="398">
        <v>28</v>
      </c>
      <c r="AC75" s="398">
        <v>18</v>
      </c>
      <c r="AD75" s="399">
        <v>9</v>
      </c>
      <c r="AE75" s="407">
        <v>132.51</v>
      </c>
      <c r="AF75" s="411" t="s">
        <v>667</v>
      </c>
      <c r="AG75" s="408">
        <v>48</v>
      </c>
      <c r="AH75" s="408">
        <v>246</v>
      </c>
      <c r="AI75" s="411">
        <v>132.51</v>
      </c>
    </row>
    <row r="76" spans="1:35" s="32" customFormat="1" ht="13.5" customHeight="1">
      <c r="A76" s="33"/>
      <c r="B76" s="51"/>
      <c r="C76" s="21"/>
      <c r="D76" s="21"/>
      <c r="E76" s="21"/>
      <c r="F76" s="43"/>
      <c r="G76" s="41"/>
      <c r="H76" s="40"/>
      <c r="I76" s="40"/>
      <c r="J76" s="40"/>
      <c r="K76" s="41"/>
      <c r="L76" s="39"/>
      <c r="M76" s="40"/>
      <c r="N76" s="35"/>
      <c r="O76" s="36"/>
      <c r="P76" s="41"/>
      <c r="Q76" s="35"/>
      <c r="R76" s="41"/>
      <c r="S76" s="35"/>
      <c r="T76" s="41"/>
      <c r="U76" s="233"/>
      <c r="V76" s="43"/>
      <c r="W76" s="42"/>
      <c r="X76" s="498"/>
      <c r="Y76" s="33"/>
      <c r="Z76" s="51"/>
      <c r="AA76" s="21"/>
      <c r="AB76" s="21"/>
      <c r="AC76" s="21"/>
      <c r="AD76" s="43"/>
      <c r="AE76" s="41"/>
      <c r="AF76" s="40"/>
      <c r="AG76" s="35"/>
      <c r="AH76" s="35"/>
      <c r="AI76" s="40"/>
    </row>
    <row r="77" spans="1:35" s="32" customFormat="1" ht="13.5" customHeight="1">
      <c r="A77" s="33"/>
      <c r="B77" s="51"/>
      <c r="C77" s="21"/>
      <c r="D77" s="21"/>
      <c r="E77" s="21"/>
      <c r="F77" s="43"/>
      <c r="G77" s="41"/>
      <c r="H77" s="40"/>
      <c r="I77" s="40"/>
      <c r="J77" s="40"/>
      <c r="K77" s="41"/>
      <c r="L77" s="39"/>
      <c r="M77" s="40"/>
      <c r="N77" s="35"/>
      <c r="O77" s="36"/>
      <c r="P77" s="234"/>
      <c r="Q77" s="35"/>
      <c r="R77" s="41"/>
      <c r="S77" s="35"/>
      <c r="T77" s="41"/>
      <c r="U77" s="233"/>
      <c r="V77" s="232"/>
      <c r="W77" s="235"/>
      <c r="X77" s="498"/>
      <c r="Y77" s="33"/>
      <c r="Z77" s="51"/>
      <c r="AA77" s="21"/>
      <c r="AB77" s="21"/>
      <c r="AC77" s="21"/>
      <c r="AD77" s="43"/>
      <c r="AE77" s="41"/>
      <c r="AF77" s="40"/>
      <c r="AG77" s="35"/>
      <c r="AH77" s="35"/>
      <c r="AI77" s="40"/>
    </row>
    <row r="78" spans="1:35" s="32" customFormat="1" ht="13.5" customHeight="1">
      <c r="A78" s="33"/>
      <c r="B78" s="51"/>
      <c r="C78" s="21"/>
      <c r="D78" s="21"/>
      <c r="E78" s="21"/>
      <c r="F78" s="43"/>
      <c r="G78" s="41"/>
      <c r="H78" s="40"/>
      <c r="I78" s="40"/>
      <c r="J78" s="40"/>
      <c r="K78" s="41"/>
      <c r="L78" s="39"/>
      <c r="M78" s="40"/>
      <c r="N78" s="35"/>
      <c r="O78" s="36"/>
      <c r="P78" s="41"/>
      <c r="Q78" s="35"/>
      <c r="R78" s="41"/>
      <c r="S78" s="35"/>
      <c r="T78" s="41"/>
      <c r="U78" s="233"/>
      <c r="V78" s="232"/>
      <c r="W78" s="235"/>
      <c r="X78" s="498"/>
      <c r="Y78" s="33"/>
      <c r="Z78" s="51"/>
      <c r="AA78" s="21"/>
      <c r="AB78" s="21"/>
      <c r="AC78" s="21"/>
      <c r="AD78" s="43"/>
      <c r="AE78" s="41"/>
      <c r="AF78" s="40"/>
      <c r="AG78" s="35"/>
      <c r="AH78" s="35"/>
      <c r="AI78" s="40"/>
    </row>
    <row r="79" spans="1:35" s="435" customFormat="1" ht="13.5" customHeight="1">
      <c r="A79" s="404" t="s">
        <v>1566</v>
      </c>
      <c r="B79" s="405">
        <v>57.9</v>
      </c>
      <c r="C79" s="398">
        <v>203</v>
      </c>
      <c r="D79" s="398">
        <v>19</v>
      </c>
      <c r="E79" s="398">
        <v>8</v>
      </c>
      <c r="F79" s="399">
        <v>4</v>
      </c>
      <c r="G79" s="407">
        <v>73.599999999999994</v>
      </c>
      <c r="H79" s="411">
        <v>5.76</v>
      </c>
      <c r="I79" s="411">
        <v>14.35</v>
      </c>
      <c r="J79" s="411">
        <v>8.15</v>
      </c>
      <c r="K79" s="407">
        <v>7.38</v>
      </c>
      <c r="L79" s="410">
        <v>0.80500000000000005</v>
      </c>
      <c r="M79" s="411">
        <v>13.94</v>
      </c>
      <c r="N79" s="408">
        <v>2881</v>
      </c>
      <c r="O79" s="406">
        <v>198.2</v>
      </c>
      <c r="P79" s="407">
        <v>6.26</v>
      </c>
      <c r="Q79" s="408">
        <v>4588</v>
      </c>
      <c r="R79" s="407">
        <v>7.9</v>
      </c>
      <c r="S79" s="408">
        <v>1174</v>
      </c>
      <c r="T79" s="407">
        <v>3.99</v>
      </c>
      <c r="U79" s="503">
        <v>-1707</v>
      </c>
      <c r="V79" s="504">
        <v>2</v>
      </c>
      <c r="W79" s="505">
        <v>4</v>
      </c>
      <c r="X79" s="498"/>
      <c r="Y79" s="404" t="s">
        <v>1566</v>
      </c>
      <c r="Z79" s="405">
        <v>57.9</v>
      </c>
      <c r="AA79" s="398">
        <v>203</v>
      </c>
      <c r="AB79" s="398">
        <v>19</v>
      </c>
      <c r="AC79" s="398">
        <v>8</v>
      </c>
      <c r="AD79" s="399">
        <v>4</v>
      </c>
      <c r="AE79" s="407">
        <v>73.599999999999994</v>
      </c>
      <c r="AF79" s="411" t="s">
        <v>667</v>
      </c>
      <c r="AG79" s="408">
        <v>64</v>
      </c>
      <c r="AH79" s="408">
        <v>155</v>
      </c>
      <c r="AI79" s="411">
        <v>67.900000000000006</v>
      </c>
    </row>
    <row r="80" spans="1:35" s="32" customFormat="1" ht="13.5" customHeight="1">
      <c r="A80" s="33" t="s">
        <v>1567</v>
      </c>
      <c r="B80" s="51">
        <v>67</v>
      </c>
      <c r="C80" s="21">
        <v>203</v>
      </c>
      <c r="D80" s="21">
        <v>22.2</v>
      </c>
      <c r="E80" s="21">
        <v>8</v>
      </c>
      <c r="F80" s="43">
        <v>4</v>
      </c>
      <c r="G80" s="41">
        <v>85.27</v>
      </c>
      <c r="H80" s="40">
        <v>5.88</v>
      </c>
      <c r="I80" s="40">
        <v>14.35</v>
      </c>
      <c r="J80" s="40">
        <v>8.32</v>
      </c>
      <c r="K80" s="41">
        <v>7.44</v>
      </c>
      <c r="L80" s="39">
        <v>0.80500000000000005</v>
      </c>
      <c r="M80" s="40">
        <v>12.03</v>
      </c>
      <c r="N80" s="35">
        <v>3293</v>
      </c>
      <c r="O80" s="36">
        <v>228.4</v>
      </c>
      <c r="P80" s="41">
        <v>6.21</v>
      </c>
      <c r="Q80" s="35">
        <v>5236</v>
      </c>
      <c r="R80" s="41">
        <v>7.84</v>
      </c>
      <c r="S80" s="35">
        <v>1350</v>
      </c>
      <c r="T80" s="41">
        <v>3.98</v>
      </c>
      <c r="U80" s="233">
        <v>-1943</v>
      </c>
      <c r="V80" s="232">
        <v>1</v>
      </c>
      <c r="W80" s="235">
        <v>3</v>
      </c>
      <c r="X80" s="498"/>
      <c r="Y80" s="33" t="s">
        <v>1567</v>
      </c>
      <c r="Z80" s="51">
        <v>67</v>
      </c>
      <c r="AA80" s="21">
        <v>203</v>
      </c>
      <c r="AB80" s="21">
        <v>22.2</v>
      </c>
      <c r="AC80" s="21">
        <v>8</v>
      </c>
      <c r="AD80" s="43">
        <v>4</v>
      </c>
      <c r="AE80" s="41">
        <v>85.27</v>
      </c>
      <c r="AF80" s="40" t="s">
        <v>667</v>
      </c>
      <c r="AG80" s="35">
        <v>67</v>
      </c>
      <c r="AH80" s="35">
        <v>155</v>
      </c>
      <c r="AI80" s="40">
        <v>78.61</v>
      </c>
    </row>
    <row r="81" spans="1:35" s="435" customFormat="1" ht="13.5" customHeight="1">
      <c r="A81" s="404" t="s">
        <v>1568</v>
      </c>
      <c r="B81" s="405">
        <v>75.900000000000006</v>
      </c>
      <c r="C81" s="398">
        <v>203</v>
      </c>
      <c r="D81" s="398">
        <v>25.4</v>
      </c>
      <c r="E81" s="398">
        <v>8</v>
      </c>
      <c r="F81" s="399">
        <v>4</v>
      </c>
      <c r="G81" s="407">
        <v>96.74</v>
      </c>
      <c r="H81" s="411">
        <v>6</v>
      </c>
      <c r="I81" s="411">
        <v>14.35</v>
      </c>
      <c r="J81" s="411">
        <v>8.48</v>
      </c>
      <c r="K81" s="407">
        <v>7.5</v>
      </c>
      <c r="L81" s="410">
        <v>0.80500000000000005</v>
      </c>
      <c r="M81" s="411">
        <v>10.6</v>
      </c>
      <c r="N81" s="408">
        <v>3686</v>
      </c>
      <c r="O81" s="406">
        <v>257.7</v>
      </c>
      <c r="P81" s="407">
        <v>6.17</v>
      </c>
      <c r="Q81" s="408">
        <v>5850</v>
      </c>
      <c r="R81" s="407">
        <v>7.78</v>
      </c>
      <c r="S81" s="408">
        <v>1522</v>
      </c>
      <c r="T81" s="407">
        <v>3.97</v>
      </c>
      <c r="U81" s="503">
        <v>-2164</v>
      </c>
      <c r="V81" s="504">
        <v>1</v>
      </c>
      <c r="W81" s="505">
        <v>1</v>
      </c>
      <c r="X81" s="498"/>
      <c r="Y81" s="404" t="s">
        <v>1568</v>
      </c>
      <c r="Z81" s="405">
        <v>75.900000000000006</v>
      </c>
      <c r="AA81" s="398">
        <v>203</v>
      </c>
      <c r="AB81" s="398">
        <v>25.4</v>
      </c>
      <c r="AC81" s="398">
        <v>8</v>
      </c>
      <c r="AD81" s="399">
        <v>4</v>
      </c>
      <c r="AE81" s="407">
        <v>96.74</v>
      </c>
      <c r="AF81" s="411" t="s">
        <v>667</v>
      </c>
      <c r="AG81" s="408">
        <v>70</v>
      </c>
      <c r="AH81" s="408">
        <v>155</v>
      </c>
      <c r="AI81" s="411">
        <v>89.12</v>
      </c>
    </row>
    <row r="82" spans="1:35" s="32" customFormat="1" ht="13.5" customHeight="1">
      <c r="A82" s="33" t="s">
        <v>1569</v>
      </c>
      <c r="B82" s="51">
        <v>84.7</v>
      </c>
      <c r="C82" s="21">
        <v>203</v>
      </c>
      <c r="D82" s="21">
        <v>28.6</v>
      </c>
      <c r="E82" s="21">
        <v>8</v>
      </c>
      <c r="F82" s="43">
        <v>4</v>
      </c>
      <c r="G82" s="41">
        <v>108.01</v>
      </c>
      <c r="H82" s="40">
        <v>6.11</v>
      </c>
      <c r="I82" s="40">
        <v>14.35</v>
      </c>
      <c r="J82" s="40">
        <v>8.65</v>
      </c>
      <c r="K82" s="41">
        <v>7.57</v>
      </c>
      <c r="L82" s="39">
        <v>0.80500000000000005</v>
      </c>
      <c r="M82" s="40">
        <v>9.5</v>
      </c>
      <c r="N82" s="35">
        <v>4062</v>
      </c>
      <c r="O82" s="36">
        <v>286.3</v>
      </c>
      <c r="P82" s="41">
        <v>6.13</v>
      </c>
      <c r="Q82" s="35">
        <v>6432</v>
      </c>
      <c r="R82" s="41">
        <v>7.72</v>
      </c>
      <c r="S82" s="35">
        <v>1692</v>
      </c>
      <c r="T82" s="41">
        <v>3.96</v>
      </c>
      <c r="U82" s="233">
        <v>-2370</v>
      </c>
      <c r="V82" s="232">
        <v>1</v>
      </c>
      <c r="W82" s="235">
        <v>1</v>
      </c>
      <c r="X82" s="498"/>
      <c r="Y82" s="33" t="s">
        <v>1569</v>
      </c>
      <c r="Z82" s="51">
        <v>84.7</v>
      </c>
      <c r="AA82" s="21">
        <v>203</v>
      </c>
      <c r="AB82" s="21">
        <v>28.6</v>
      </c>
      <c r="AC82" s="21">
        <v>8</v>
      </c>
      <c r="AD82" s="43">
        <v>4</v>
      </c>
      <c r="AE82" s="41">
        <v>108.01</v>
      </c>
      <c r="AF82" s="40" t="s">
        <v>667</v>
      </c>
      <c r="AG82" s="35">
        <v>73</v>
      </c>
      <c r="AH82" s="35">
        <v>155</v>
      </c>
      <c r="AI82" s="40">
        <v>99.43</v>
      </c>
    </row>
    <row r="83" spans="1:35" s="32" customFormat="1" ht="13.5" customHeight="1">
      <c r="A83" s="33"/>
      <c r="B83" s="51"/>
      <c r="C83" s="21"/>
      <c r="D83" s="21"/>
      <c r="E83" s="21"/>
      <c r="F83" s="43"/>
      <c r="G83" s="41"/>
      <c r="H83" s="40"/>
      <c r="I83" s="40"/>
      <c r="J83" s="40"/>
      <c r="K83" s="41"/>
      <c r="L83" s="39"/>
      <c r="M83" s="40"/>
      <c r="N83" s="35"/>
      <c r="O83" s="36"/>
      <c r="P83" s="41"/>
      <c r="Q83" s="35"/>
      <c r="R83" s="41"/>
      <c r="S83" s="35"/>
      <c r="T83" s="41"/>
      <c r="U83" s="233"/>
      <c r="V83" s="232"/>
      <c r="W83" s="235"/>
      <c r="X83" s="498"/>
      <c r="Y83" s="33"/>
      <c r="Z83" s="51"/>
      <c r="AA83" s="21"/>
      <c r="AB83" s="21"/>
      <c r="AC83" s="21"/>
      <c r="AD83" s="43"/>
      <c r="AE83" s="41"/>
      <c r="AF83" s="40"/>
      <c r="AG83" s="35"/>
      <c r="AH83" s="35"/>
      <c r="AI83" s="40"/>
    </row>
    <row r="84" spans="1:35" ht="13.5" customHeight="1" thickBot="1">
      <c r="N84" s="36"/>
      <c r="O84" s="21"/>
      <c r="P84" s="43"/>
      <c r="Q84" s="21"/>
      <c r="R84" s="43"/>
      <c r="S84" s="21"/>
      <c r="T84" s="43"/>
      <c r="U84" s="233"/>
      <c r="V84" s="54"/>
      <c r="W84" s="55"/>
      <c r="X84" s="499"/>
      <c r="Y84" s="33"/>
      <c r="Z84" s="51"/>
      <c r="AA84" s="21"/>
      <c r="AB84" s="21"/>
      <c r="AC84" s="21"/>
      <c r="AD84" s="43"/>
      <c r="AE84" s="43"/>
      <c r="AF84" s="21"/>
      <c r="AG84" s="40"/>
      <c r="AH84" s="40"/>
      <c r="AI84" s="21"/>
    </row>
    <row r="85" spans="1:35" ht="13.5" hidden="1" customHeight="1" thickTop="1"/>
    <row r="86" spans="1:35" ht="13.5" hidden="1" customHeight="1"/>
    <row r="87" spans="1:35" ht="13.5" hidden="1" customHeight="1"/>
    <row r="88" spans="1:35" ht="13.5" hidden="1" customHeight="1"/>
    <row r="89" spans="1:35" ht="13.5" hidden="1" customHeight="1"/>
    <row r="90" spans="1:35" ht="13.5" hidden="1" customHeight="1">
      <c r="A90" s="57"/>
      <c r="B90" s="4"/>
      <c r="C90" s="4"/>
      <c r="D90" s="4"/>
      <c r="E90" s="57"/>
      <c r="F90" s="4"/>
      <c r="G90" s="4"/>
      <c r="H90" s="4"/>
      <c r="I90" s="4"/>
      <c r="J90" s="57"/>
    </row>
    <row r="91" spans="1:35" ht="13.5" hidden="1" customHeight="1">
      <c r="A91" s="237"/>
      <c r="B91" s="238"/>
      <c r="C91" s="238"/>
      <c r="D91" s="238"/>
      <c r="E91" s="237"/>
      <c r="F91" s="238"/>
      <c r="G91" s="238"/>
      <c r="H91" s="238"/>
      <c r="I91" s="238"/>
      <c r="J91" s="237"/>
    </row>
    <row r="92" spans="1:35" ht="13.5" hidden="1" customHeight="1">
      <c r="A92" s="237"/>
      <c r="B92" s="238"/>
      <c r="C92" s="238"/>
      <c r="D92" s="238"/>
      <c r="E92" s="237"/>
      <c r="F92" s="238"/>
      <c r="G92" s="238"/>
      <c r="H92" s="238"/>
      <c r="I92" s="238"/>
      <c r="J92" s="237"/>
      <c r="K92" s="238"/>
      <c r="L92" s="238"/>
    </row>
    <row r="93" spans="1:35" ht="13.5" hidden="1" customHeight="1">
      <c r="A93" s="237"/>
      <c r="B93" s="238"/>
      <c r="C93" s="238"/>
      <c r="D93" s="238"/>
      <c r="E93" s="237"/>
      <c r="F93" s="238"/>
      <c r="G93" s="238"/>
      <c r="H93" s="238"/>
      <c r="I93" s="238"/>
      <c r="J93" s="237"/>
      <c r="K93" s="238"/>
      <c r="L93" s="238"/>
    </row>
    <row r="94" spans="1:35" ht="13.5" hidden="1" customHeight="1">
      <c r="A94" s="237"/>
      <c r="B94" s="238"/>
      <c r="C94" s="238"/>
      <c r="D94" s="238"/>
      <c r="E94" s="237"/>
      <c r="F94" s="238"/>
      <c r="G94" s="238"/>
      <c r="H94" s="238"/>
      <c r="I94" s="238"/>
      <c r="J94" s="237"/>
      <c r="K94" s="238"/>
      <c r="L94" s="238"/>
    </row>
    <row r="95" spans="1:35" ht="13.5" hidden="1" customHeight="1">
      <c r="A95" s="57"/>
      <c r="E95" s="57"/>
      <c r="J95" s="57"/>
      <c r="K95" s="238"/>
      <c r="L95" s="238"/>
    </row>
    <row r="96" spans="1:35" ht="13.5" hidden="1" customHeight="1">
      <c r="A96" s="237"/>
      <c r="B96" s="238"/>
      <c r="C96" s="238"/>
      <c r="D96" s="238"/>
      <c r="E96" s="238"/>
      <c r="F96" s="238"/>
      <c r="G96" s="238"/>
      <c r="H96" s="238"/>
      <c r="I96" s="238"/>
      <c r="J96" s="238"/>
      <c r="K96" s="238"/>
      <c r="L96" s="238"/>
    </row>
    <row r="97" spans="1:12" ht="13.5" hidden="1" customHeight="1">
      <c r="A97" s="237"/>
      <c r="B97" s="238"/>
      <c r="C97" s="238"/>
      <c r="D97" s="238"/>
      <c r="E97" s="238"/>
      <c r="F97" s="238"/>
      <c r="G97" s="238"/>
      <c r="H97" s="238"/>
      <c r="I97" s="238"/>
      <c r="J97" s="238"/>
      <c r="K97" s="238"/>
      <c r="L97" s="238"/>
    </row>
    <row r="98" spans="1:12" ht="13.5" hidden="1" customHeight="1">
      <c r="A98" s="237"/>
      <c r="B98" s="238"/>
      <c r="C98" s="238"/>
      <c r="D98" s="238"/>
      <c r="E98" s="238"/>
      <c r="F98" s="238"/>
      <c r="G98" s="238"/>
      <c r="H98" s="238"/>
      <c r="I98" s="238"/>
      <c r="J98" s="238"/>
      <c r="K98" s="238"/>
      <c r="L98" s="238"/>
    </row>
    <row r="99" spans="1:12" ht="13.5" hidden="1" customHeight="1"/>
    <row r="100" spans="1:12" ht="13.5" hidden="1" customHeight="1"/>
    <row r="101" spans="1:12" ht="13.5" hidden="1" customHeight="1"/>
    <row r="102" spans="1:12" ht="13.5" hidden="1" customHeight="1"/>
    <row r="103" spans="1:12" ht="13.5" hidden="1" customHeight="1"/>
    <row r="104" spans="1:12" ht="13.5" hidden="1" customHeight="1"/>
    <row r="105" spans="1:12" ht="13.5" hidden="1" customHeight="1"/>
    <row r="106" spans="1:12" ht="13.5" hidden="1" customHeight="1"/>
    <row r="107" spans="1:12" ht="13.5" hidden="1" customHeight="1"/>
    <row r="108" spans="1:12" ht="13.5" hidden="1" customHeight="1"/>
    <row r="109" spans="1:12" ht="13.5" hidden="1" customHeight="1"/>
    <row r="110" spans="1:12" ht="13.5" hidden="1" customHeight="1"/>
    <row r="111" spans="1:12" ht="13.5" hidden="1" customHeight="1"/>
    <row r="112" spans="1:12" ht="13.5" hidden="1" customHeight="1"/>
    <row r="113" ht="13.5" hidden="1" customHeight="1"/>
    <row r="114" ht="13.5" hidden="1" customHeight="1"/>
    <row r="115" ht="13.5" hidden="1" customHeight="1"/>
    <row r="116" ht="13.5" hidden="1" customHeight="1"/>
    <row r="117" ht="13.5" hidden="1" customHeight="1"/>
    <row r="118" ht="13.5" hidden="1" customHeight="1"/>
    <row r="119" ht="13.5" hidden="1" customHeight="1"/>
    <row r="120" ht="13.5" hidden="1" customHeight="1"/>
    <row r="121" ht="13.5" hidden="1" customHeight="1"/>
    <row r="122" ht="13.5" hidden="1" customHeight="1"/>
    <row r="123" ht="13.5" hidden="1" customHeight="1"/>
    <row r="124" ht="13.5" hidden="1" customHeight="1"/>
    <row r="125" ht="13.5" hidden="1" customHeight="1"/>
    <row r="126" ht="13.5" hidden="1" customHeight="1"/>
    <row r="127" ht="13.5" hidden="1" customHeight="1"/>
    <row r="128" ht="13.5" hidden="1" customHeight="1"/>
    <row r="129" ht="13.5" hidden="1" customHeight="1"/>
    <row r="130" ht="13.5" hidden="1" customHeight="1"/>
    <row r="131" ht="13.5" hidden="1" customHeight="1"/>
    <row r="132" ht="13.5" hidden="1" customHeight="1"/>
    <row r="133" ht="13.5" hidden="1" customHeight="1"/>
    <row r="134" ht="13.5" hidden="1" customHeight="1"/>
    <row r="135" ht="13.5" hidden="1" customHeight="1"/>
    <row r="136" ht="13.5" hidden="1" customHeight="1"/>
    <row r="137" ht="13.5" hidden="1" customHeight="1"/>
    <row r="138" ht="13.5" hidden="1" customHeight="1"/>
    <row r="139" ht="13.5" hidden="1" customHeight="1"/>
    <row r="140" ht="13.5" hidden="1" customHeight="1"/>
    <row r="141" ht="13.5" hidden="1" customHeight="1"/>
    <row r="142" ht="13.5" hidden="1" customHeight="1"/>
    <row r="143" ht="13.5" hidden="1" customHeight="1"/>
    <row r="144" ht="13.5" hidden="1" customHeight="1"/>
    <row r="145" ht="13.5" hidden="1" customHeight="1"/>
    <row r="146" ht="13.5" hidden="1" customHeight="1"/>
    <row r="147" ht="13.5" hidden="1" customHeight="1"/>
    <row r="148" ht="13.5" hidden="1" customHeight="1"/>
    <row r="149" ht="13.5" hidden="1" customHeight="1"/>
    <row r="150" ht="13.5" hidden="1" customHeight="1"/>
    <row r="151" ht="13.5" hidden="1" customHeight="1"/>
    <row r="152" ht="13.5" hidden="1" customHeight="1"/>
    <row r="153" ht="13.5" hidden="1" customHeight="1"/>
    <row r="154" ht="13.5" hidden="1" customHeight="1"/>
    <row r="155" ht="13.5" hidden="1" customHeight="1"/>
    <row r="156" ht="13.5" hidden="1" customHeight="1"/>
    <row r="157" ht="13.5" hidden="1" customHeight="1"/>
    <row r="158" ht="13.5" hidden="1" customHeight="1"/>
    <row r="159" ht="13.5" hidden="1" customHeight="1"/>
    <row r="160" ht="13.5" hidden="1" customHeight="1"/>
    <row r="161" ht="13.5" hidden="1" customHeight="1"/>
    <row r="162" ht="13.5" hidden="1" customHeight="1"/>
    <row r="163" ht="13.5" hidden="1" customHeight="1"/>
    <row r="164" ht="13.5" hidden="1" customHeight="1"/>
    <row r="165" ht="13.5" hidden="1" customHeight="1"/>
    <row r="166" ht="13.5" hidden="1" customHeight="1"/>
    <row r="167" ht="13.5" hidden="1" customHeight="1"/>
    <row r="168" ht="13.5" hidden="1" customHeight="1"/>
    <row r="169" ht="13.5" hidden="1" customHeight="1"/>
    <row r="170" ht="13.5" hidden="1" customHeight="1"/>
    <row r="171" ht="13.5" hidden="1" customHeight="1"/>
    <row r="172" ht="13.5" hidden="1" customHeight="1"/>
    <row r="173" ht="13.5" hidden="1" customHeight="1"/>
    <row r="174" ht="13.5" hidden="1" customHeight="1"/>
    <row r="175" ht="13.5" hidden="1" customHeight="1"/>
    <row r="176" ht="13.5" hidden="1" customHeight="1"/>
    <row r="177" ht="13.5" hidden="1" customHeight="1"/>
    <row r="178" ht="13.5" hidden="1" customHeight="1"/>
    <row r="179" ht="13.5" hidden="1" customHeight="1"/>
    <row r="180" ht="13.5" hidden="1" customHeight="1"/>
    <row r="181" ht="13.5" hidden="1" customHeight="1"/>
    <row r="182" ht="13.5" hidden="1" customHeight="1"/>
    <row r="183" ht="13.5" hidden="1" customHeight="1"/>
    <row r="184" ht="13.5" hidden="1" customHeight="1"/>
    <row r="185" ht="13.5" hidden="1" customHeight="1"/>
    <row r="186" ht="13.5" hidden="1" customHeight="1"/>
    <row r="187" ht="13.5" hidden="1" customHeight="1"/>
    <row r="188" ht="13.5" hidden="1" customHeight="1"/>
    <row r="189" ht="13.5" hidden="1" customHeight="1"/>
    <row r="190" ht="13.5" hidden="1" customHeight="1"/>
    <row r="191" ht="13.5" hidden="1" customHeight="1"/>
    <row r="192" ht="13.5" hidden="1" customHeight="1"/>
    <row r="193" ht="13.5" hidden="1" customHeight="1"/>
    <row r="194" ht="13.5" hidden="1" customHeight="1"/>
    <row r="195" ht="13.5" hidden="1" customHeight="1"/>
    <row r="196" ht="13.5" hidden="1" customHeight="1"/>
    <row r="197" ht="13.5" hidden="1" customHeight="1"/>
    <row r="198" ht="13.5" hidden="1" customHeight="1"/>
    <row r="199" ht="13.5" hidden="1" customHeight="1"/>
    <row r="200" ht="13.5" hidden="1" customHeight="1"/>
    <row r="201" ht="13.5" hidden="1" customHeight="1"/>
    <row r="202" ht="13.5" hidden="1" customHeight="1"/>
    <row r="203" ht="13.5" hidden="1" customHeight="1"/>
    <row r="204" ht="13.5" hidden="1" customHeight="1"/>
    <row r="205" ht="13.5" hidden="1" customHeight="1"/>
    <row r="206" ht="13.5" hidden="1" customHeight="1"/>
    <row r="207" ht="13.5" hidden="1" customHeight="1"/>
    <row r="208" ht="13.5" hidden="1" customHeight="1"/>
    <row r="209" ht="13.5" hidden="1" customHeight="1"/>
    <row r="210" ht="13.5" hidden="1" customHeight="1"/>
    <row r="211" ht="13.5" hidden="1" customHeight="1"/>
    <row r="212" ht="13.5" hidden="1" customHeight="1"/>
    <row r="213" ht="13.5" hidden="1" customHeight="1"/>
    <row r="214" ht="13.5" hidden="1" customHeight="1"/>
    <row r="215" ht="13.5" hidden="1" customHeight="1"/>
    <row r="216" ht="13.5" hidden="1" customHeight="1"/>
    <row r="217" ht="13.5" hidden="1" customHeight="1"/>
    <row r="218" ht="13.5" hidden="1" customHeight="1"/>
    <row r="219" ht="13.5" hidden="1" customHeight="1"/>
    <row r="220" ht="13.5" hidden="1" customHeight="1"/>
    <row r="221" ht="13.5" hidden="1" customHeight="1"/>
    <row r="222" ht="13.5" hidden="1" customHeight="1"/>
    <row r="223" ht="13.5" hidden="1" customHeight="1"/>
    <row r="224" ht="13.5" hidden="1" customHeight="1"/>
    <row r="225" ht="13.5" hidden="1" customHeight="1"/>
    <row r="226" ht="13.5" hidden="1" customHeight="1"/>
    <row r="227" ht="13.5" hidden="1" customHeight="1"/>
    <row r="228" ht="13.5" hidden="1" customHeight="1"/>
    <row r="229" ht="13.5" hidden="1" customHeight="1"/>
    <row r="230" ht="13.5" hidden="1" customHeight="1"/>
    <row r="231" ht="13.5" hidden="1" customHeight="1"/>
    <row r="232" ht="13.5" hidden="1" customHeight="1"/>
    <row r="233" ht="13.5" hidden="1" customHeight="1"/>
    <row r="234" ht="13.5" hidden="1" customHeight="1"/>
    <row r="235" ht="13.5" hidden="1" customHeight="1"/>
    <row r="236" ht="13.5" hidden="1" customHeight="1"/>
    <row r="237" ht="13.5" hidden="1" customHeight="1"/>
    <row r="238" ht="13.5" hidden="1" customHeight="1"/>
    <row r="239" ht="13.5" hidden="1" customHeight="1"/>
    <row r="240" ht="13.5" hidden="1" customHeight="1"/>
    <row r="241" ht="13.5" hidden="1" customHeight="1"/>
    <row r="242" ht="13.5" hidden="1" customHeight="1"/>
    <row r="243" ht="13.5" hidden="1" customHeight="1"/>
    <row r="244" ht="13.5" hidden="1" customHeight="1"/>
    <row r="245" ht="13.5" hidden="1" customHeight="1"/>
    <row r="246" ht="13.5" hidden="1" customHeight="1"/>
    <row r="247" ht="13.5" hidden="1" customHeight="1"/>
    <row r="248" ht="13.5" hidden="1" customHeight="1"/>
    <row r="249" ht="13.5" hidden="1" customHeight="1"/>
    <row r="250" ht="13.5" hidden="1" customHeight="1"/>
    <row r="251" ht="13.5" hidden="1" customHeight="1"/>
    <row r="252" ht="13.5" hidden="1" customHeight="1"/>
    <row r="253" ht="13.5" hidden="1" customHeight="1"/>
    <row r="254" ht="13.5" hidden="1" customHeight="1"/>
    <row r="255" ht="13.5" hidden="1" customHeight="1"/>
    <row r="256" ht="13.5" hidden="1" customHeight="1"/>
    <row r="257" ht="13.5" hidden="1" customHeight="1"/>
    <row r="258" ht="13.5" hidden="1" customHeight="1"/>
    <row r="259" ht="13.5" hidden="1" customHeight="1"/>
    <row r="260" ht="13.5" hidden="1" customHeight="1"/>
    <row r="261" ht="13.5" hidden="1" customHeight="1"/>
    <row r="262" ht="13.5" hidden="1" customHeight="1"/>
    <row r="263" ht="13.5" hidden="1" customHeight="1"/>
    <row r="264" ht="13.5" hidden="1" customHeight="1"/>
    <row r="265" ht="13.5" hidden="1" customHeight="1"/>
    <row r="266" ht="13.5" hidden="1" customHeight="1"/>
    <row r="267" ht="13.5" hidden="1" customHeight="1"/>
    <row r="268" ht="13.5" hidden="1" customHeight="1"/>
    <row r="269" ht="13.5" hidden="1" customHeight="1"/>
    <row r="270" ht="13.5" hidden="1" customHeight="1"/>
    <row r="271" ht="13.5" hidden="1" customHeight="1"/>
    <row r="272" ht="13.5" hidden="1" customHeight="1"/>
    <row r="273" ht="13.5" hidden="1" customHeight="1"/>
    <row r="274" ht="13.5" hidden="1" customHeight="1"/>
    <row r="275" ht="13.5" hidden="1" customHeight="1"/>
    <row r="276" ht="13.5" hidden="1" customHeight="1"/>
    <row r="277" ht="13.5" hidden="1" customHeight="1"/>
    <row r="278" ht="13.5" hidden="1" customHeight="1"/>
    <row r="279" ht="13.5" hidden="1" customHeight="1"/>
    <row r="280" ht="13.5" hidden="1" customHeight="1"/>
    <row r="281" ht="13.5" hidden="1" customHeight="1"/>
    <row r="282" ht="13.5" hidden="1" customHeight="1"/>
    <row r="283" ht="13.5" hidden="1" customHeight="1"/>
    <row r="284" ht="13.5" hidden="1" customHeight="1"/>
    <row r="285" ht="13.5" hidden="1" customHeight="1"/>
    <row r="286" ht="13.5" hidden="1" customHeight="1"/>
    <row r="287" ht="13.5" hidden="1" customHeight="1"/>
    <row r="288" ht="13.5" hidden="1" customHeight="1"/>
    <row r="289" ht="13.5" hidden="1" customHeight="1"/>
    <row r="290" ht="13.5" hidden="1" customHeight="1"/>
    <row r="291" ht="13.5" hidden="1" customHeight="1"/>
    <row r="292" ht="13.5" hidden="1" customHeight="1"/>
    <row r="293" ht="13.5" hidden="1" customHeight="1"/>
    <row r="294" ht="13.5" hidden="1" customHeight="1"/>
    <row r="295" ht="13.5" hidden="1" customHeight="1"/>
    <row r="296" ht="13.5" hidden="1" customHeight="1"/>
    <row r="297" ht="13.5" hidden="1" customHeight="1"/>
    <row r="298" ht="13.5" hidden="1" customHeight="1"/>
    <row r="299" ht="13.5" hidden="1" customHeight="1"/>
    <row r="300" ht="13.5" hidden="1" customHeight="1"/>
    <row r="301" ht="13.5" hidden="1" customHeight="1"/>
    <row r="302" ht="13.5" hidden="1" customHeight="1"/>
    <row r="303" ht="13.5" hidden="1" customHeight="1"/>
    <row r="304" ht="13.5" hidden="1" customHeight="1"/>
    <row r="305" ht="13.5" hidden="1" customHeight="1"/>
    <row r="306" ht="13.5" hidden="1" customHeight="1"/>
    <row r="307" ht="13.5" hidden="1" customHeight="1"/>
    <row r="308" ht="13.5" hidden="1" customHeight="1"/>
    <row r="309" ht="13.5" hidden="1" customHeight="1"/>
    <row r="310" ht="13.5" hidden="1" customHeight="1"/>
    <row r="311" ht="13.5" hidden="1" customHeight="1"/>
    <row r="312" ht="13.5" hidden="1" customHeight="1"/>
    <row r="313" ht="13.5" hidden="1" customHeight="1"/>
    <row r="314" ht="13.5" hidden="1" customHeight="1"/>
    <row r="315" ht="13.5" hidden="1" customHeight="1"/>
    <row r="316" ht="13.5" hidden="1" customHeight="1"/>
    <row r="317" ht="13.5" hidden="1" customHeight="1"/>
    <row r="318" ht="13.5" hidden="1" customHeight="1"/>
    <row r="319" ht="13.5" hidden="1" customHeight="1"/>
    <row r="320" ht="13.5" hidden="1" customHeight="1"/>
    <row r="321" ht="13.5" hidden="1" customHeight="1"/>
    <row r="322" ht="13.5" hidden="1" customHeight="1"/>
    <row r="323" ht="13.5" hidden="1" customHeight="1"/>
    <row r="324" ht="13.5" hidden="1" customHeight="1"/>
    <row r="325" ht="13.5" hidden="1" customHeight="1"/>
    <row r="326" ht="13.5" hidden="1" customHeight="1"/>
    <row r="327" ht="13.5" hidden="1" customHeight="1"/>
    <row r="328" ht="13.5" hidden="1" customHeight="1"/>
    <row r="329" ht="13.5" hidden="1" customHeight="1"/>
    <row r="330" ht="13.5" hidden="1" customHeight="1"/>
    <row r="331" ht="13.5" hidden="1" customHeight="1"/>
    <row r="332" ht="13.5" hidden="1" customHeight="1"/>
    <row r="333" ht="13.5" hidden="1" customHeight="1"/>
    <row r="334" ht="13.5" hidden="1" customHeight="1"/>
    <row r="335" ht="14.1" customHeight="1" thickTop="1"/>
    <row r="336" ht="14.1" customHeight="1"/>
  </sheetData>
  <phoneticPr fontId="0" type="noConversion"/>
  <pageMargins left="0.75" right="0.75" top="1" bottom="1" header="0.4921259845" footer="0.4921259845"/>
  <pageSetup paperSize="0" scale="44" orientation="landscape" horizontalDpi="4294967292" verticalDpi="4294967292"/>
  <headerFooter alignWithMargins="0">
    <oddFooter>&amp;LLe &amp;D&amp;CProfilés &amp;A du &amp;F&amp;RPage &amp;P sur &amp;N</oddFooter>
  </headerFooter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AY325"/>
  <sheetViews>
    <sheetView workbookViewId="0"/>
  </sheetViews>
  <sheetFormatPr defaultColWidth="0" defaultRowHeight="14.1" customHeight="1" zeroHeight="1"/>
  <cols>
    <col min="1" max="1" width="15.140625" style="103" customWidth="1"/>
    <col min="2" max="2" width="4.85546875" style="94" customWidth="1"/>
    <col min="3" max="7" width="4.7109375" style="94" customWidth="1"/>
    <col min="8" max="8" width="6.140625" style="94" customWidth="1"/>
    <col min="9" max="10" width="5" style="94" customWidth="1"/>
    <col min="11" max="11" width="6.42578125" style="94" customWidth="1"/>
    <col min="12" max="15" width="5" style="94" customWidth="1"/>
    <col min="16" max="16" width="5.7109375" style="94" customWidth="1"/>
    <col min="17" max="17" width="5.7109375" style="103" customWidth="1"/>
    <col min="18" max="18" width="15.28515625" style="94" customWidth="1"/>
    <col min="19" max="21" width="6.140625" style="94" customWidth="1"/>
    <col min="22" max="22" width="5.28515625" style="94" customWidth="1"/>
    <col min="23" max="23" width="6.7109375" style="94" customWidth="1"/>
    <col min="24" max="25" width="5.28515625" style="94" customWidth="1"/>
    <col min="26" max="26" width="6.42578125" style="94" customWidth="1"/>
    <col min="27" max="27" width="5.28515625" style="94" customWidth="1"/>
    <col min="28" max="28" width="5.85546875" style="94" customWidth="1"/>
    <col min="29" max="29" width="5.28515625" style="94" customWidth="1"/>
    <col min="30" max="30" width="7" style="94" customWidth="1"/>
    <col min="31" max="33" width="5.28515625" style="94" customWidth="1"/>
    <col min="34" max="34" width="5.42578125" style="254" customWidth="1"/>
    <col min="35" max="35" width="14.7109375" style="103" customWidth="1"/>
    <col min="36" max="36" width="5.7109375" style="94" customWidth="1"/>
    <col min="37" max="37" width="4.28515625" style="94" customWidth="1"/>
    <col min="38" max="38" width="4.140625" style="94" customWidth="1"/>
    <col min="39" max="40" width="3.85546875" style="94" customWidth="1"/>
    <col min="41" max="41" width="4.140625" style="94" customWidth="1"/>
    <col min="42" max="42" width="5.7109375" style="94" customWidth="1"/>
    <col min="43" max="43" width="4.42578125" style="94" customWidth="1"/>
    <col min="44" max="45" width="6.7109375" style="94" customWidth="1"/>
    <col min="46" max="46" width="7.140625" style="94" customWidth="1"/>
    <col min="47" max="47" width="4.42578125" style="94" customWidth="1"/>
    <col min="48" max="49" width="7" style="94" customWidth="1"/>
    <col min="50" max="50" width="7.140625" style="94" customWidth="1"/>
    <col min="51" max="51" width="3.7109375" style="94" customWidth="1"/>
    <col min="52" max="16384" width="0" style="94" hidden="1"/>
  </cols>
  <sheetData>
    <row r="1" spans="1:51" s="62" customFormat="1" ht="18.75" customHeight="1">
      <c r="A1" s="321"/>
      <c r="B1" s="323"/>
      <c r="C1" s="322"/>
      <c r="D1" s="322"/>
      <c r="E1" s="324"/>
      <c r="F1" s="321"/>
      <c r="G1" s="324"/>
      <c r="H1" s="322"/>
      <c r="I1" s="324"/>
      <c r="J1" s="322"/>
      <c r="K1" s="324"/>
      <c r="L1" s="321"/>
      <c r="M1" s="417"/>
      <c r="N1" s="417"/>
      <c r="O1" s="417"/>
      <c r="P1" s="417"/>
      <c r="Q1" s="417"/>
      <c r="R1" s="417"/>
      <c r="S1" s="417"/>
      <c r="T1" s="417"/>
      <c r="U1" s="417"/>
      <c r="V1" s="417"/>
      <c r="W1" s="417"/>
      <c r="X1" s="417"/>
      <c r="Y1" s="417"/>
      <c r="Z1" s="417"/>
      <c r="AA1" s="417"/>
      <c r="AB1" s="417"/>
      <c r="AC1" s="417"/>
      <c r="AD1" s="417"/>
      <c r="AE1" s="417"/>
      <c r="AF1" s="417"/>
      <c r="AG1" s="417"/>
      <c r="AH1" s="523"/>
      <c r="AI1" s="417"/>
      <c r="AJ1" s="417"/>
      <c r="AK1" s="417"/>
      <c r="AL1" s="417"/>
      <c r="AM1" s="417"/>
      <c r="AN1" s="417"/>
      <c r="AO1" s="417"/>
      <c r="AP1" s="417"/>
      <c r="AQ1" s="417"/>
      <c r="AR1" s="417"/>
      <c r="AS1" s="417"/>
      <c r="AT1" s="417"/>
      <c r="AU1" s="417"/>
      <c r="AV1" s="417"/>
      <c r="AW1" s="417"/>
      <c r="AX1" s="417"/>
      <c r="AY1" s="417"/>
    </row>
    <row r="2" spans="1:51" s="62" customFormat="1" ht="20.25">
      <c r="A2" s="423" t="s">
        <v>1864</v>
      </c>
      <c r="B2" s="323"/>
      <c r="C2" s="322"/>
      <c r="D2" s="322"/>
      <c r="E2" s="324"/>
      <c r="F2" s="321"/>
      <c r="G2" s="324"/>
      <c r="H2" s="322"/>
      <c r="I2" s="324"/>
      <c r="J2" s="322"/>
      <c r="K2" s="324"/>
      <c r="L2" s="321"/>
      <c r="M2" s="417"/>
      <c r="N2" s="417"/>
      <c r="O2" s="417"/>
      <c r="P2" s="417"/>
      <c r="Q2" s="417"/>
      <c r="R2" s="417"/>
      <c r="S2" s="417"/>
      <c r="T2" s="417"/>
      <c r="U2" s="417"/>
      <c r="V2" s="417"/>
      <c r="W2" s="417"/>
      <c r="X2" s="417"/>
      <c r="Y2" s="417"/>
      <c r="Z2" s="417"/>
      <c r="AA2" s="417"/>
      <c r="AB2" s="417"/>
      <c r="AC2" s="417"/>
      <c r="AD2" s="417"/>
      <c r="AE2" s="417"/>
      <c r="AF2" s="417"/>
      <c r="AG2" s="417"/>
      <c r="AH2" s="523"/>
      <c r="AI2" s="417"/>
      <c r="AJ2" s="417"/>
      <c r="AK2" s="417"/>
      <c r="AL2" s="417"/>
      <c r="AM2" s="417"/>
      <c r="AN2" s="417"/>
      <c r="AO2" s="417"/>
      <c r="AP2" s="417"/>
      <c r="AQ2" s="417"/>
      <c r="AR2" s="417"/>
      <c r="AS2" s="417"/>
      <c r="AT2" s="417"/>
      <c r="AU2" s="417"/>
      <c r="AV2" s="417"/>
      <c r="AW2" s="417"/>
      <c r="AX2" s="417"/>
      <c r="AY2" s="417"/>
    </row>
    <row r="3" spans="1:51" s="62" customFormat="1" ht="20.25">
      <c r="A3" s="423" t="s">
        <v>1865</v>
      </c>
      <c r="B3" s="417"/>
      <c r="C3" s="417"/>
      <c r="D3" s="417"/>
      <c r="E3" s="324"/>
      <c r="F3" s="417"/>
      <c r="G3" s="417"/>
      <c r="H3" s="417"/>
      <c r="I3" s="417"/>
      <c r="J3" s="417"/>
      <c r="K3" s="324"/>
      <c r="L3" s="417"/>
      <c r="M3" s="417"/>
      <c r="N3" s="417"/>
      <c r="O3" s="417"/>
      <c r="P3" s="417"/>
      <c r="Q3" s="417"/>
      <c r="R3" s="417"/>
      <c r="S3" s="417"/>
      <c r="T3" s="417"/>
      <c r="U3" s="417"/>
      <c r="V3" s="417"/>
      <c r="W3" s="417"/>
      <c r="X3" s="417"/>
      <c r="Y3" s="417"/>
      <c r="Z3" s="417"/>
      <c r="AA3" s="417"/>
      <c r="AB3" s="417"/>
      <c r="AC3" s="417"/>
      <c r="AD3" s="417"/>
      <c r="AE3" s="417"/>
      <c r="AF3" s="417"/>
      <c r="AG3" s="417"/>
      <c r="AH3" s="523"/>
      <c r="AI3" s="417"/>
      <c r="AJ3" s="417"/>
      <c r="AK3" s="417"/>
      <c r="AL3" s="417"/>
      <c r="AM3" s="417"/>
      <c r="AN3" s="417"/>
      <c r="AO3" s="417"/>
      <c r="AP3" s="417"/>
      <c r="AQ3" s="417"/>
      <c r="AR3" s="417"/>
      <c r="AS3" s="417"/>
      <c r="AT3" s="417"/>
      <c r="AU3" s="417"/>
      <c r="AV3" s="417"/>
      <c r="AW3" s="417"/>
      <c r="AX3" s="417"/>
      <c r="AY3" s="417"/>
    </row>
    <row r="4" spans="1:51" s="62" customFormat="1" ht="20.25">
      <c r="A4" s="423" t="s">
        <v>1863</v>
      </c>
      <c r="B4" s="417"/>
      <c r="C4" s="417"/>
      <c r="D4" s="417"/>
      <c r="E4" s="324"/>
      <c r="F4" s="417"/>
      <c r="G4" s="417"/>
      <c r="H4" s="417"/>
      <c r="I4" s="417"/>
      <c r="J4" s="417"/>
      <c r="K4" s="324"/>
      <c r="L4" s="417"/>
      <c r="M4" s="417"/>
      <c r="N4" s="417"/>
      <c r="O4" s="417"/>
      <c r="P4" s="417"/>
      <c r="Q4" s="417"/>
      <c r="R4" s="417"/>
      <c r="S4" s="417"/>
      <c r="T4" s="417"/>
      <c r="U4" s="417"/>
      <c r="V4" s="417"/>
      <c r="W4" s="417"/>
      <c r="X4" s="417"/>
      <c r="Y4" s="417"/>
      <c r="Z4" s="417"/>
      <c r="AA4" s="417"/>
      <c r="AB4" s="417"/>
      <c r="AC4" s="417"/>
      <c r="AD4" s="417"/>
      <c r="AE4" s="417"/>
      <c r="AF4" s="417"/>
      <c r="AG4" s="417"/>
      <c r="AH4" s="523"/>
      <c r="AI4" s="417"/>
      <c r="AJ4" s="417"/>
      <c r="AK4" s="417"/>
      <c r="AL4" s="417"/>
      <c r="AM4" s="417"/>
      <c r="AN4" s="417"/>
      <c r="AO4" s="417"/>
      <c r="AP4" s="417"/>
      <c r="AQ4" s="417"/>
      <c r="AR4" s="417"/>
      <c r="AS4" s="417"/>
      <c r="AT4" s="417"/>
      <c r="AU4" s="417"/>
      <c r="AV4" s="417"/>
      <c r="AW4" s="417"/>
      <c r="AX4" s="417"/>
      <c r="AY4" s="417"/>
    </row>
    <row r="5" spans="1:51" s="62" customFormat="1" ht="14.1" customHeight="1">
      <c r="A5" s="417" t="s">
        <v>1842</v>
      </c>
      <c r="B5" s="417"/>
      <c r="C5" s="417"/>
      <c r="D5" s="417"/>
      <c r="E5" s="417"/>
      <c r="F5" s="417"/>
      <c r="G5" s="417"/>
      <c r="H5" s="417"/>
      <c r="I5" s="417"/>
      <c r="J5" s="417"/>
      <c r="K5" s="417"/>
      <c r="L5" s="417"/>
      <c r="M5" s="417"/>
      <c r="N5" s="417"/>
      <c r="O5" s="417"/>
      <c r="P5" s="417"/>
      <c r="Q5" s="417"/>
      <c r="R5" s="417"/>
      <c r="S5" s="417"/>
      <c r="T5" s="417"/>
      <c r="U5" s="417"/>
      <c r="V5" s="417"/>
      <c r="W5" s="417"/>
      <c r="X5" s="417"/>
      <c r="Y5" s="417"/>
      <c r="Z5" s="417"/>
      <c r="AA5" s="417"/>
      <c r="AB5" s="417"/>
      <c r="AC5" s="417"/>
      <c r="AD5" s="417"/>
      <c r="AE5" s="417"/>
      <c r="AF5" s="417"/>
      <c r="AG5" s="417"/>
      <c r="AH5" s="523"/>
      <c r="AI5" s="417"/>
      <c r="AJ5" s="417"/>
      <c r="AK5" s="417"/>
      <c r="AL5" s="417"/>
      <c r="AM5" s="417"/>
      <c r="AN5" s="417"/>
      <c r="AO5" s="417"/>
      <c r="AP5" s="417"/>
      <c r="AQ5" s="417"/>
      <c r="AR5" s="417"/>
      <c r="AS5" s="417"/>
      <c r="AT5" s="417"/>
      <c r="AU5" s="417"/>
      <c r="AV5" s="417"/>
      <c r="AW5" s="417"/>
      <c r="AX5" s="417"/>
      <c r="AY5" s="417"/>
    </row>
    <row r="6" spans="1:51" s="62" customFormat="1" ht="14.1" customHeight="1">
      <c r="A6" s="417"/>
      <c r="B6" s="417"/>
      <c r="C6" s="417"/>
      <c r="D6" s="417"/>
      <c r="E6" s="417"/>
      <c r="F6" s="417"/>
      <c r="G6" s="417"/>
      <c r="H6" s="417"/>
      <c r="I6" s="417"/>
      <c r="J6" s="417"/>
      <c r="K6" s="417"/>
      <c r="L6" s="417"/>
      <c r="M6" s="417"/>
      <c r="N6" s="417"/>
      <c r="O6" s="417"/>
      <c r="P6" s="417"/>
      <c r="Q6" s="417"/>
      <c r="R6" s="417"/>
      <c r="S6" s="417"/>
      <c r="T6" s="417"/>
      <c r="U6" s="417"/>
      <c r="V6" s="417"/>
      <c r="W6" s="417"/>
      <c r="X6" s="417"/>
      <c r="Y6" s="417"/>
      <c r="Z6" s="417"/>
      <c r="AA6" s="417"/>
      <c r="AB6" s="417"/>
      <c r="AC6" s="417"/>
      <c r="AD6" s="417"/>
      <c r="AE6" s="417"/>
      <c r="AF6" s="417"/>
      <c r="AG6" s="417"/>
      <c r="AH6" s="523"/>
      <c r="AI6" s="417"/>
      <c r="AJ6" s="417"/>
      <c r="AK6" s="417"/>
      <c r="AL6" s="417"/>
      <c r="AM6" s="417"/>
      <c r="AN6" s="417"/>
      <c r="AO6" s="417"/>
      <c r="AP6" s="417"/>
      <c r="AQ6" s="417"/>
      <c r="AR6" s="417"/>
      <c r="AS6" s="417"/>
      <c r="AT6" s="417"/>
      <c r="AU6" s="417"/>
      <c r="AV6" s="417"/>
      <c r="AW6" s="417"/>
      <c r="AX6" s="417"/>
      <c r="AY6" s="417"/>
    </row>
    <row r="7" spans="1:51" s="62" customFormat="1" ht="14.1" customHeight="1">
      <c r="A7" s="417"/>
      <c r="B7" s="417"/>
      <c r="C7" s="417"/>
      <c r="D7" s="417"/>
      <c r="E7" s="417"/>
      <c r="F7" s="417"/>
      <c r="G7" s="417"/>
      <c r="H7" s="417"/>
      <c r="I7" s="417"/>
      <c r="J7" s="417"/>
      <c r="K7" s="417"/>
      <c r="L7" s="417"/>
      <c r="M7" s="417"/>
      <c r="N7" s="417"/>
      <c r="O7" s="417"/>
      <c r="P7" s="417"/>
      <c r="Q7" s="417"/>
      <c r="R7" s="417"/>
      <c r="S7" s="417"/>
      <c r="T7" s="417"/>
      <c r="U7" s="417"/>
      <c r="V7" s="417"/>
      <c r="W7" s="417"/>
      <c r="X7" s="417"/>
      <c r="Y7" s="383"/>
      <c r="Z7" s="417"/>
      <c r="AA7" s="417"/>
      <c r="AB7" s="417"/>
      <c r="AC7" s="417"/>
      <c r="AD7" s="417"/>
      <c r="AE7" s="417"/>
      <c r="AF7" s="417"/>
      <c r="AG7" s="417"/>
      <c r="AH7" s="523"/>
      <c r="AI7" s="417"/>
      <c r="AJ7" s="417"/>
      <c r="AK7" s="417"/>
      <c r="AL7" s="417"/>
      <c r="AM7" s="417"/>
      <c r="AN7" s="417"/>
      <c r="AO7" s="417"/>
      <c r="AP7" s="417"/>
      <c r="AQ7" s="417"/>
      <c r="AR7" s="417"/>
      <c r="AS7" s="417"/>
      <c r="AT7" s="417"/>
      <c r="AU7" s="417"/>
      <c r="AV7" s="417"/>
      <c r="AW7" s="417"/>
      <c r="AX7" s="417"/>
      <c r="AY7" s="417"/>
    </row>
    <row r="8" spans="1:51" s="62" customFormat="1" ht="14.1" customHeight="1">
      <c r="A8" s="417"/>
      <c r="B8" s="417"/>
      <c r="C8" s="417"/>
      <c r="D8" s="417"/>
      <c r="E8" s="417"/>
      <c r="F8" s="417"/>
      <c r="G8" s="417"/>
      <c r="H8" s="417"/>
      <c r="I8" s="417"/>
      <c r="J8" s="417"/>
      <c r="K8" s="417"/>
      <c r="L8" s="417"/>
      <c r="M8" s="417"/>
      <c r="N8" s="417"/>
      <c r="O8" s="417"/>
      <c r="P8" s="417"/>
      <c r="Q8" s="417"/>
      <c r="R8" s="417"/>
      <c r="S8" s="417"/>
      <c r="T8" s="417"/>
      <c r="U8" s="417"/>
      <c r="V8" s="417"/>
      <c r="W8" s="417"/>
      <c r="X8" s="417"/>
      <c r="Y8" s="417"/>
      <c r="Z8" s="417"/>
      <c r="AA8" s="417"/>
      <c r="AB8" s="417"/>
      <c r="AC8" s="417"/>
      <c r="AD8" s="417"/>
      <c r="AE8" s="417"/>
      <c r="AF8" s="417"/>
      <c r="AG8" s="417"/>
      <c r="AH8" s="523"/>
      <c r="AI8" s="417"/>
      <c r="AJ8" s="417"/>
      <c r="AK8" s="417"/>
      <c r="AL8" s="417"/>
      <c r="AM8" s="417"/>
      <c r="AN8" s="417"/>
      <c r="AO8" s="417"/>
      <c r="AP8" s="417"/>
      <c r="AQ8" s="417"/>
      <c r="AR8" s="417"/>
      <c r="AS8" s="417"/>
      <c r="AT8" s="417"/>
      <c r="AU8" s="417"/>
      <c r="AV8" s="417"/>
      <c r="AW8" s="417"/>
      <c r="AX8" s="417"/>
      <c r="AY8" s="417"/>
    </row>
    <row r="9" spans="1:51" s="62" customFormat="1" ht="14.1" customHeight="1">
      <c r="A9" s="417"/>
      <c r="B9" s="417"/>
      <c r="C9" s="417"/>
      <c r="D9" s="417"/>
      <c r="E9" s="417"/>
      <c r="F9" s="417"/>
      <c r="G9" s="417"/>
      <c r="H9" s="417"/>
      <c r="I9" s="417"/>
      <c r="J9" s="417"/>
      <c r="K9" s="417"/>
      <c r="L9" s="417"/>
      <c r="M9" s="417"/>
      <c r="N9" s="417"/>
      <c r="O9" s="417"/>
      <c r="P9" s="417"/>
      <c r="Q9" s="417"/>
      <c r="R9" s="417"/>
      <c r="S9" s="417"/>
      <c r="T9" s="417"/>
      <c r="U9" s="417"/>
      <c r="V9" s="417"/>
      <c r="W9" s="417"/>
      <c r="X9" s="417"/>
      <c r="Y9" s="417"/>
      <c r="Z9" s="417"/>
      <c r="AA9" s="417"/>
      <c r="AB9" s="417"/>
      <c r="AC9" s="417"/>
      <c r="AD9" s="417"/>
      <c r="AE9" s="417"/>
      <c r="AF9" s="417"/>
      <c r="AG9" s="417"/>
      <c r="AH9" s="523"/>
      <c r="AI9" s="417"/>
      <c r="AJ9" s="417"/>
      <c r="AK9" s="417"/>
      <c r="AL9" s="417"/>
      <c r="AM9" s="417"/>
      <c r="AN9" s="417"/>
      <c r="AO9" s="417"/>
      <c r="AP9" s="417"/>
      <c r="AQ9" s="417"/>
      <c r="AR9" s="417"/>
      <c r="AS9" s="417"/>
      <c r="AT9" s="417"/>
      <c r="AU9" s="417"/>
      <c r="AV9" s="417"/>
      <c r="AW9" s="417"/>
      <c r="AX9" s="417"/>
      <c r="AY9" s="417"/>
    </row>
    <row r="10" spans="1:51" s="62" customFormat="1" ht="14.1" customHeight="1" thickBot="1">
      <c r="A10" s="417"/>
      <c r="B10" s="417"/>
      <c r="C10" s="417"/>
      <c r="D10" s="417"/>
      <c r="E10" s="417"/>
      <c r="F10" s="417"/>
      <c r="G10" s="417"/>
      <c r="H10" s="417"/>
      <c r="I10" s="417"/>
      <c r="J10" s="417"/>
      <c r="K10" s="417"/>
      <c r="L10" s="417"/>
      <c r="M10" s="417"/>
      <c r="N10" s="417"/>
      <c r="O10" s="417"/>
      <c r="P10" s="417"/>
      <c r="Q10" s="417"/>
      <c r="R10" s="417"/>
      <c r="S10" s="417"/>
      <c r="T10" s="417"/>
      <c r="U10" s="417"/>
      <c r="V10" s="417"/>
      <c r="W10" s="417"/>
      <c r="X10" s="417"/>
      <c r="Y10" s="417"/>
      <c r="Z10" s="417"/>
      <c r="AA10" s="417"/>
      <c r="AB10" s="417"/>
      <c r="AC10" s="417"/>
      <c r="AD10" s="417"/>
      <c r="AE10" s="417"/>
      <c r="AF10" s="417"/>
      <c r="AG10" s="417"/>
      <c r="AH10" s="523"/>
      <c r="AI10" s="417"/>
      <c r="AJ10" s="417"/>
      <c r="AK10" s="417"/>
      <c r="AL10" s="417"/>
      <c r="AM10" s="417"/>
      <c r="AN10" s="417"/>
      <c r="AO10" s="417"/>
      <c r="AP10" s="417"/>
      <c r="AQ10" s="417"/>
      <c r="AR10" s="417"/>
      <c r="AS10" s="417"/>
      <c r="AT10" s="417"/>
      <c r="AU10" s="417"/>
      <c r="AV10" s="417"/>
      <c r="AW10" s="417"/>
      <c r="AX10" s="417"/>
      <c r="AY10" s="417"/>
    </row>
    <row r="11" spans="1:51" s="99" customFormat="1" ht="13.5" customHeight="1" thickTop="1" thickBot="1">
      <c r="A11" s="327"/>
      <c r="B11" s="328"/>
      <c r="C11" s="507"/>
      <c r="D11" s="508"/>
      <c r="E11" s="508"/>
      <c r="F11" s="508"/>
      <c r="G11" s="328"/>
      <c r="H11" s="366" t="s">
        <v>1799</v>
      </c>
      <c r="I11" s="507"/>
      <c r="J11" s="508"/>
      <c r="K11" s="508"/>
      <c r="L11" s="508"/>
      <c r="M11" s="508"/>
      <c r="N11" s="508"/>
      <c r="O11" s="328"/>
      <c r="P11" s="327"/>
      <c r="Q11" s="364"/>
      <c r="R11" s="327"/>
      <c r="S11" s="364"/>
      <c r="T11" s="370"/>
      <c r="U11" s="362"/>
      <c r="V11" s="362"/>
      <c r="W11" s="362"/>
      <c r="X11" s="362"/>
      <c r="Y11" s="362" t="s">
        <v>1804</v>
      </c>
      <c r="Z11" s="362"/>
      <c r="AA11" s="362"/>
      <c r="AB11" s="362"/>
      <c r="AC11" s="362"/>
      <c r="AD11" s="371"/>
      <c r="AE11" s="371"/>
      <c r="AF11" s="374" t="s">
        <v>1806</v>
      </c>
      <c r="AG11" s="376"/>
      <c r="AH11" s="524"/>
      <c r="AI11" s="327"/>
      <c r="AJ11" s="328"/>
      <c r="AK11" s="327"/>
      <c r="AL11" s="363"/>
      <c r="AM11" s="363"/>
      <c r="AN11" s="363"/>
      <c r="AO11" s="328"/>
      <c r="AP11" s="366" t="s">
        <v>1799</v>
      </c>
      <c r="AQ11" s="331"/>
      <c r="AR11" s="512"/>
      <c r="AS11" s="362"/>
      <c r="AT11" s="362" t="s">
        <v>1802</v>
      </c>
      <c r="AU11" s="362"/>
      <c r="AV11" s="362"/>
      <c r="AW11" s="512"/>
      <c r="AX11" s="511"/>
    </row>
    <row r="12" spans="1:51" s="99" customFormat="1" ht="13.5" customHeight="1" thickTop="1" thickBot="1">
      <c r="A12" s="329" t="s">
        <v>1799</v>
      </c>
      <c r="B12" s="330"/>
      <c r="C12" s="509"/>
      <c r="D12" s="360" t="s">
        <v>1800</v>
      </c>
      <c r="E12" s="510"/>
      <c r="F12" s="510"/>
      <c r="G12" s="330"/>
      <c r="H12" s="367" t="s">
        <v>1801</v>
      </c>
      <c r="I12" s="509"/>
      <c r="J12" s="510"/>
      <c r="K12" s="360" t="s">
        <v>1841</v>
      </c>
      <c r="L12" s="510"/>
      <c r="M12" s="510"/>
      <c r="N12" s="510"/>
      <c r="O12" s="330"/>
      <c r="P12" s="329" t="s">
        <v>1803</v>
      </c>
      <c r="Q12" s="365"/>
      <c r="R12" s="329" t="s">
        <v>1799</v>
      </c>
      <c r="S12" s="365"/>
      <c r="T12" s="331"/>
      <c r="U12" s="362" t="s">
        <v>1843</v>
      </c>
      <c r="V12" s="511"/>
      <c r="W12" s="370" t="s">
        <v>1844</v>
      </c>
      <c r="X12" s="512"/>
      <c r="Y12" s="511"/>
      <c r="Z12" s="370" t="s">
        <v>1845</v>
      </c>
      <c r="AA12" s="513"/>
      <c r="AB12" s="370" t="s">
        <v>1846</v>
      </c>
      <c r="AC12" s="511"/>
      <c r="AD12" s="331"/>
      <c r="AE12" s="512"/>
      <c r="AF12" s="377" t="s">
        <v>1807</v>
      </c>
      <c r="AG12" s="379"/>
      <c r="AH12" s="525"/>
      <c r="AI12" s="329" t="s">
        <v>1799</v>
      </c>
      <c r="AJ12" s="330"/>
      <c r="AK12" s="329"/>
      <c r="AL12" s="360" t="s">
        <v>1800</v>
      </c>
      <c r="AM12" s="360"/>
      <c r="AN12" s="360"/>
      <c r="AO12" s="330"/>
      <c r="AP12" s="367" t="s">
        <v>1801</v>
      </c>
      <c r="AQ12" s="370"/>
      <c r="AR12" s="362" t="s">
        <v>1847</v>
      </c>
      <c r="AS12" s="362"/>
      <c r="AT12" s="373"/>
      <c r="AU12" s="362"/>
      <c r="AV12" s="362" t="s">
        <v>1848</v>
      </c>
      <c r="AW12" s="362"/>
      <c r="AX12" s="373"/>
    </row>
    <row r="13" spans="1:51" s="99" customFormat="1" ht="13.5" customHeight="1" thickTop="1">
      <c r="A13" s="64"/>
      <c r="B13" s="65" t="s">
        <v>572</v>
      </c>
      <c r="C13" s="66" t="s">
        <v>573</v>
      </c>
      <c r="D13" s="66" t="s">
        <v>574</v>
      </c>
      <c r="E13" s="66" t="s">
        <v>1507</v>
      </c>
      <c r="F13" s="66" t="s">
        <v>1570</v>
      </c>
      <c r="G13" s="65" t="s">
        <v>1571</v>
      </c>
      <c r="H13" s="65" t="s">
        <v>578</v>
      </c>
      <c r="I13" s="66" t="s">
        <v>1572</v>
      </c>
      <c r="J13" s="66" t="s">
        <v>1573</v>
      </c>
      <c r="K13" s="66" t="s">
        <v>1574</v>
      </c>
      <c r="L13" s="66" t="s">
        <v>1575</v>
      </c>
      <c r="M13" s="66" t="s">
        <v>1576</v>
      </c>
      <c r="N13" s="66" t="s">
        <v>1577</v>
      </c>
      <c r="O13" s="65" t="s">
        <v>1578</v>
      </c>
      <c r="P13" s="66" t="s">
        <v>1579</v>
      </c>
      <c r="Q13" s="66" t="s">
        <v>1580</v>
      </c>
      <c r="R13" s="64"/>
      <c r="S13" s="65" t="s">
        <v>572</v>
      </c>
      <c r="T13" s="66" t="s">
        <v>1581</v>
      </c>
      <c r="U13" s="18" t="s">
        <v>587</v>
      </c>
      <c r="V13" s="65" t="s">
        <v>1582</v>
      </c>
      <c r="W13" s="66" t="s">
        <v>1583</v>
      </c>
      <c r="X13" s="18" t="s">
        <v>592</v>
      </c>
      <c r="Y13" s="65" t="s">
        <v>1584</v>
      </c>
      <c r="Z13" s="66" t="s">
        <v>1585</v>
      </c>
      <c r="AA13" s="65" t="s">
        <v>1586</v>
      </c>
      <c r="AB13" s="66" t="s">
        <v>1587</v>
      </c>
      <c r="AC13" s="65" t="s">
        <v>1588</v>
      </c>
      <c r="AD13" s="66" t="s">
        <v>1589</v>
      </c>
      <c r="AE13" s="239" t="s">
        <v>1590</v>
      </c>
      <c r="AF13" s="374"/>
      <c r="AG13" s="376"/>
      <c r="AH13" s="524"/>
      <c r="AI13" s="64"/>
      <c r="AJ13" s="65" t="s">
        <v>572</v>
      </c>
      <c r="AK13" s="66" t="s">
        <v>573</v>
      </c>
      <c r="AL13" s="66" t="s">
        <v>574</v>
      </c>
      <c r="AM13" s="66" t="s">
        <v>1507</v>
      </c>
      <c r="AN13" s="66" t="s">
        <v>1570</v>
      </c>
      <c r="AO13" s="65" t="s">
        <v>1571</v>
      </c>
      <c r="AP13" s="65" t="s">
        <v>578</v>
      </c>
      <c r="AQ13" s="227" t="s">
        <v>1591</v>
      </c>
      <c r="AR13" s="66" t="s">
        <v>1592</v>
      </c>
      <c r="AS13" s="66" t="s">
        <v>1593</v>
      </c>
      <c r="AT13" s="66" t="s">
        <v>1594</v>
      </c>
      <c r="AU13" s="514" t="s">
        <v>1595</v>
      </c>
      <c r="AV13" s="66" t="s">
        <v>1596</v>
      </c>
      <c r="AW13" s="66" t="s">
        <v>1597</v>
      </c>
      <c r="AX13" s="66" t="s">
        <v>1598</v>
      </c>
    </row>
    <row r="14" spans="1:51" s="99" customFormat="1" ht="16.5" customHeight="1" thickBot="1">
      <c r="A14" s="64"/>
      <c r="B14" s="65" t="s">
        <v>599</v>
      </c>
      <c r="C14" s="66" t="s">
        <v>600</v>
      </c>
      <c r="D14" s="66" t="s">
        <v>601</v>
      </c>
      <c r="E14" s="66" t="s">
        <v>601</v>
      </c>
      <c r="F14" s="66" t="s">
        <v>601</v>
      </c>
      <c r="G14" s="65" t="s">
        <v>601</v>
      </c>
      <c r="H14" s="65" t="s">
        <v>1599</v>
      </c>
      <c r="I14" s="66" t="s">
        <v>607</v>
      </c>
      <c r="J14" s="66" t="s">
        <v>607</v>
      </c>
      <c r="K14" s="66" t="s">
        <v>607</v>
      </c>
      <c r="L14" s="66" t="s">
        <v>607</v>
      </c>
      <c r="M14" s="66" t="s">
        <v>607</v>
      </c>
      <c r="N14" s="66" t="s">
        <v>607</v>
      </c>
      <c r="O14" s="65" t="s">
        <v>607</v>
      </c>
      <c r="P14" s="66" t="s">
        <v>1600</v>
      </c>
      <c r="Q14" s="66" t="s">
        <v>1601</v>
      </c>
      <c r="R14" s="64"/>
      <c r="S14" s="65" t="s">
        <v>599</v>
      </c>
      <c r="T14" s="66" t="s">
        <v>1602</v>
      </c>
      <c r="U14" s="66" t="s">
        <v>1603</v>
      </c>
      <c r="V14" s="65" t="s">
        <v>607</v>
      </c>
      <c r="W14" s="66" t="s">
        <v>1602</v>
      </c>
      <c r="X14" s="66" t="s">
        <v>1603</v>
      </c>
      <c r="Y14" s="65" t="s">
        <v>607</v>
      </c>
      <c r="Z14" s="66" t="s">
        <v>1604</v>
      </c>
      <c r="AA14" s="65" t="s">
        <v>607</v>
      </c>
      <c r="AB14" s="66" t="s">
        <v>1604</v>
      </c>
      <c r="AC14" s="65" t="s">
        <v>607</v>
      </c>
      <c r="AD14" s="66" t="s">
        <v>1604</v>
      </c>
      <c r="AE14" s="173" t="s">
        <v>1605</v>
      </c>
      <c r="AF14" s="378" t="s">
        <v>1809</v>
      </c>
      <c r="AG14" s="379"/>
      <c r="AH14" s="524"/>
      <c r="AI14" s="64"/>
      <c r="AJ14" s="65" t="s">
        <v>599</v>
      </c>
      <c r="AK14" s="66" t="s">
        <v>600</v>
      </c>
      <c r="AL14" s="66" t="s">
        <v>601</v>
      </c>
      <c r="AM14" s="66" t="s">
        <v>601</v>
      </c>
      <c r="AN14" s="66" t="s">
        <v>601</v>
      </c>
      <c r="AO14" s="65" t="s">
        <v>601</v>
      </c>
      <c r="AP14" s="65" t="s">
        <v>1599</v>
      </c>
      <c r="AQ14" s="66"/>
      <c r="AR14" s="66" t="s">
        <v>601</v>
      </c>
      <c r="AS14" s="66" t="s">
        <v>601</v>
      </c>
      <c r="AT14" s="66" t="s">
        <v>1599</v>
      </c>
      <c r="AU14" s="240"/>
      <c r="AV14" s="66" t="s">
        <v>601</v>
      </c>
      <c r="AW14" s="66" t="s">
        <v>601</v>
      </c>
      <c r="AX14" s="66" t="s">
        <v>1599</v>
      </c>
    </row>
    <row r="15" spans="1:51" s="99" customFormat="1" ht="13.5" customHeight="1" thickTop="1" thickBot="1">
      <c r="A15" s="71"/>
      <c r="B15" s="72"/>
      <c r="C15" s="73"/>
      <c r="D15" s="73"/>
      <c r="E15" s="73"/>
      <c r="F15" s="73"/>
      <c r="G15" s="72"/>
      <c r="H15" s="72"/>
      <c r="I15" s="73"/>
      <c r="J15" s="73"/>
      <c r="K15" s="73"/>
      <c r="L15" s="73"/>
      <c r="M15" s="73"/>
      <c r="N15" s="73"/>
      <c r="O15" s="72"/>
      <c r="P15" s="73"/>
      <c r="Q15" s="73"/>
      <c r="R15" s="71"/>
      <c r="S15" s="72"/>
      <c r="T15" s="73"/>
      <c r="U15" s="73"/>
      <c r="V15" s="72"/>
      <c r="W15" s="73"/>
      <c r="X15" s="73"/>
      <c r="Y15" s="72"/>
      <c r="Z15" s="73"/>
      <c r="AA15" s="72"/>
      <c r="AB15" s="73"/>
      <c r="AC15" s="72"/>
      <c r="AD15" s="73"/>
      <c r="AE15" s="241"/>
      <c r="AF15" s="74">
        <v>235</v>
      </c>
      <c r="AG15" s="242">
        <v>355</v>
      </c>
      <c r="AH15" s="526"/>
      <c r="AI15" s="71"/>
      <c r="AJ15" s="72"/>
      <c r="AK15" s="73"/>
      <c r="AL15" s="73"/>
      <c r="AM15" s="73"/>
      <c r="AN15" s="73"/>
      <c r="AO15" s="72"/>
      <c r="AP15" s="72"/>
      <c r="AQ15" s="73"/>
      <c r="AR15" s="73"/>
      <c r="AS15" s="73"/>
      <c r="AT15" s="73"/>
      <c r="AU15" s="243"/>
      <c r="AV15" s="73"/>
      <c r="AW15" s="73"/>
      <c r="AX15" s="73"/>
    </row>
    <row r="16" spans="1:51" s="141" customFormat="1" ht="13.5" customHeight="1" thickTop="1">
      <c r="A16" s="79"/>
      <c r="B16" s="80"/>
      <c r="C16" s="80"/>
      <c r="D16" s="80"/>
      <c r="E16" s="80"/>
      <c r="F16" s="80"/>
      <c r="G16" s="80"/>
      <c r="H16" s="80"/>
      <c r="I16" s="80"/>
      <c r="J16" s="80"/>
      <c r="K16" s="80"/>
      <c r="L16" s="80"/>
      <c r="M16" s="80"/>
      <c r="N16" s="80"/>
      <c r="O16" s="80"/>
      <c r="P16" s="80"/>
      <c r="Q16" s="80"/>
      <c r="R16" s="79"/>
      <c r="S16" s="244"/>
      <c r="T16" s="80"/>
      <c r="U16" s="80"/>
      <c r="V16" s="80"/>
      <c r="W16" s="80"/>
      <c r="X16" s="80"/>
      <c r="Y16" s="244"/>
      <c r="Z16" s="80"/>
      <c r="AA16" s="245"/>
      <c r="AB16" s="80"/>
      <c r="AC16" s="244"/>
      <c r="AD16" s="80"/>
      <c r="AE16" s="80"/>
      <c r="AF16" s="80"/>
      <c r="AG16" s="80"/>
      <c r="AH16" s="527"/>
      <c r="AI16" s="79"/>
      <c r="AJ16" s="80"/>
      <c r="AK16" s="80"/>
      <c r="AL16" s="80"/>
      <c r="AM16" s="80"/>
      <c r="AN16" s="80"/>
      <c r="AO16" s="80"/>
      <c r="AP16" s="80"/>
      <c r="AQ16" s="80"/>
      <c r="AR16" s="80"/>
      <c r="AS16" s="80"/>
      <c r="AT16" s="80"/>
      <c r="AU16" s="80"/>
      <c r="AV16" s="80"/>
      <c r="AW16" s="80"/>
      <c r="AX16" s="80"/>
    </row>
    <row r="17" spans="1:50" s="435" customFormat="1" ht="13.5" customHeight="1">
      <c r="A17" s="404" t="s">
        <v>1606</v>
      </c>
      <c r="B17" s="405">
        <v>12.2</v>
      </c>
      <c r="C17" s="398">
        <v>120</v>
      </c>
      <c r="D17" s="398">
        <v>80</v>
      </c>
      <c r="E17" s="398">
        <v>8</v>
      </c>
      <c r="F17" s="398">
        <v>11</v>
      </c>
      <c r="G17" s="399">
        <v>5.5</v>
      </c>
      <c r="H17" s="407">
        <v>15.49</v>
      </c>
      <c r="I17" s="411">
        <v>3.83</v>
      </c>
      <c r="J17" s="411">
        <v>1.87</v>
      </c>
      <c r="K17" s="411">
        <v>8.23</v>
      </c>
      <c r="L17" s="411">
        <v>5.97</v>
      </c>
      <c r="M17" s="411">
        <v>3.25</v>
      </c>
      <c r="N17" s="411">
        <v>4.1900000000000004</v>
      </c>
      <c r="O17" s="407">
        <v>2.09</v>
      </c>
      <c r="P17" s="410">
        <v>0.39100000000000001</v>
      </c>
      <c r="Q17" s="411">
        <v>32.119999999999997</v>
      </c>
      <c r="R17" s="404" t="s">
        <v>1606</v>
      </c>
      <c r="S17" s="405">
        <v>12.2</v>
      </c>
      <c r="T17" s="406">
        <v>225.7</v>
      </c>
      <c r="U17" s="411">
        <v>27.63</v>
      </c>
      <c r="V17" s="407">
        <v>3.82</v>
      </c>
      <c r="W17" s="411">
        <v>80.760000000000005</v>
      </c>
      <c r="X17" s="411">
        <v>13.17</v>
      </c>
      <c r="Y17" s="407">
        <v>2.2799999999999998</v>
      </c>
      <c r="Z17" s="406">
        <v>260</v>
      </c>
      <c r="AA17" s="407">
        <v>4.0999999999999996</v>
      </c>
      <c r="AB17" s="411">
        <v>46.39</v>
      </c>
      <c r="AC17" s="407">
        <v>1.73</v>
      </c>
      <c r="AD17" s="515">
        <v>-78.5</v>
      </c>
      <c r="AE17" s="471">
        <v>23.65</v>
      </c>
      <c r="AF17" s="399">
        <v>4</v>
      </c>
      <c r="AG17" s="400">
        <v>4</v>
      </c>
      <c r="AH17" s="498"/>
      <c r="AI17" s="404" t="s">
        <v>1606</v>
      </c>
      <c r="AJ17" s="406">
        <v>12.2</v>
      </c>
      <c r="AK17" s="454">
        <v>120</v>
      </c>
      <c r="AL17" s="398">
        <v>80</v>
      </c>
      <c r="AM17" s="398">
        <v>8</v>
      </c>
      <c r="AN17" s="398">
        <v>11</v>
      </c>
      <c r="AO17" s="398">
        <v>5.5</v>
      </c>
      <c r="AP17" s="516">
        <v>15.49</v>
      </c>
      <c r="AQ17" s="516" t="s">
        <v>667</v>
      </c>
      <c r="AR17" s="408">
        <v>48</v>
      </c>
      <c r="AS17" s="408">
        <v>72</v>
      </c>
      <c r="AT17" s="411">
        <v>13.09</v>
      </c>
      <c r="AU17" s="517" t="s">
        <v>639</v>
      </c>
      <c r="AV17" s="408">
        <v>38</v>
      </c>
      <c r="AW17" s="408">
        <v>51</v>
      </c>
      <c r="AX17" s="411">
        <v>14.05</v>
      </c>
    </row>
    <row r="18" spans="1:50" s="141" customFormat="1" ht="13.5" customHeight="1">
      <c r="A18" s="81" t="s">
        <v>1607</v>
      </c>
      <c r="B18" s="82">
        <v>15</v>
      </c>
      <c r="C18" s="83">
        <v>120</v>
      </c>
      <c r="D18" s="83">
        <v>80</v>
      </c>
      <c r="E18" s="83">
        <v>10</v>
      </c>
      <c r="F18" s="83">
        <v>11</v>
      </c>
      <c r="G18" s="43">
        <v>5.5</v>
      </c>
      <c r="H18" s="41">
        <v>19.13</v>
      </c>
      <c r="I18" s="89">
        <v>3.92</v>
      </c>
      <c r="J18" s="89">
        <v>1.95</v>
      </c>
      <c r="K18" s="89">
        <v>8.19</v>
      </c>
      <c r="L18" s="89">
        <v>6.01</v>
      </c>
      <c r="M18" s="89">
        <v>3.35</v>
      </c>
      <c r="N18" s="89">
        <v>4.17</v>
      </c>
      <c r="O18" s="91">
        <v>2.15</v>
      </c>
      <c r="P18" s="88">
        <v>0.39100000000000001</v>
      </c>
      <c r="Q18" s="89">
        <v>26.01</v>
      </c>
      <c r="R18" s="33" t="s">
        <v>1607</v>
      </c>
      <c r="S18" s="82">
        <v>15</v>
      </c>
      <c r="T18" s="84">
        <v>275.5</v>
      </c>
      <c r="U18" s="89">
        <v>34.1</v>
      </c>
      <c r="V18" s="91">
        <v>3.8</v>
      </c>
      <c r="W18" s="89">
        <v>98.11</v>
      </c>
      <c r="X18" s="89">
        <v>16.21</v>
      </c>
      <c r="Y18" s="91">
        <v>2.2599999999999998</v>
      </c>
      <c r="Z18" s="84">
        <v>317</v>
      </c>
      <c r="AA18" s="91">
        <v>4.07</v>
      </c>
      <c r="AB18" s="89">
        <v>56.6</v>
      </c>
      <c r="AC18" s="91">
        <v>1.72</v>
      </c>
      <c r="AD18" s="247">
        <v>-95.34</v>
      </c>
      <c r="AE18" s="154">
        <v>23.53</v>
      </c>
      <c r="AF18" s="90">
        <v>3</v>
      </c>
      <c r="AG18" s="158">
        <v>4</v>
      </c>
      <c r="AH18" s="527"/>
      <c r="AI18" s="81" t="s">
        <v>1607</v>
      </c>
      <c r="AJ18" s="84">
        <v>15</v>
      </c>
      <c r="AK18" s="248">
        <v>120</v>
      </c>
      <c r="AL18" s="83">
        <v>80</v>
      </c>
      <c r="AM18" s="83">
        <v>10</v>
      </c>
      <c r="AN18" s="83">
        <v>11</v>
      </c>
      <c r="AO18" s="83">
        <v>5.5</v>
      </c>
      <c r="AP18" s="249">
        <v>19.13</v>
      </c>
      <c r="AQ18" s="249" t="s">
        <v>667</v>
      </c>
      <c r="AR18" s="86">
        <v>50</v>
      </c>
      <c r="AS18" s="86">
        <v>72</v>
      </c>
      <c r="AT18" s="89">
        <v>16.13</v>
      </c>
      <c r="AU18" s="250" t="s">
        <v>639</v>
      </c>
      <c r="AV18" s="86">
        <v>40</v>
      </c>
      <c r="AW18" s="86">
        <v>51</v>
      </c>
      <c r="AX18" s="89">
        <v>17.329999999999998</v>
      </c>
    </row>
    <row r="19" spans="1:50" s="434" customFormat="1" ht="13.5" customHeight="1">
      <c r="A19" s="387" t="s">
        <v>1608</v>
      </c>
      <c r="B19" s="388">
        <v>17.8</v>
      </c>
      <c r="C19" s="389">
        <v>120</v>
      </c>
      <c r="D19" s="389">
        <v>80</v>
      </c>
      <c r="E19" s="389">
        <v>12</v>
      </c>
      <c r="F19" s="389">
        <v>11</v>
      </c>
      <c r="G19" s="399">
        <v>5.5</v>
      </c>
      <c r="H19" s="407">
        <v>22.69</v>
      </c>
      <c r="I19" s="396">
        <v>4</v>
      </c>
      <c r="J19" s="396">
        <v>2.0299999999999998</v>
      </c>
      <c r="K19" s="396">
        <v>8.14</v>
      </c>
      <c r="L19" s="396">
        <v>6.04</v>
      </c>
      <c r="M19" s="396">
        <v>3.45</v>
      </c>
      <c r="N19" s="396">
        <v>4.16</v>
      </c>
      <c r="O19" s="392">
        <v>2.2000000000000002</v>
      </c>
      <c r="P19" s="395">
        <v>0.39100000000000001</v>
      </c>
      <c r="Q19" s="396">
        <v>21.93</v>
      </c>
      <c r="R19" s="404" t="s">
        <v>1608</v>
      </c>
      <c r="S19" s="388">
        <v>17.8</v>
      </c>
      <c r="T19" s="390">
        <v>322.8</v>
      </c>
      <c r="U19" s="396">
        <v>40.369999999999997</v>
      </c>
      <c r="V19" s="392">
        <v>3.77</v>
      </c>
      <c r="W19" s="396">
        <v>114.33</v>
      </c>
      <c r="X19" s="396">
        <v>19.14</v>
      </c>
      <c r="Y19" s="392">
        <v>2.2400000000000002</v>
      </c>
      <c r="Z19" s="390">
        <v>370.7</v>
      </c>
      <c r="AA19" s="392">
        <v>4.04</v>
      </c>
      <c r="AB19" s="396">
        <v>66.459999999999994</v>
      </c>
      <c r="AC19" s="392">
        <v>1.71</v>
      </c>
      <c r="AD19" s="518">
        <v>-110.8</v>
      </c>
      <c r="AE19" s="397">
        <v>23.37</v>
      </c>
      <c r="AF19" s="391">
        <v>1</v>
      </c>
      <c r="AG19" s="414">
        <v>4</v>
      </c>
      <c r="AH19" s="527"/>
      <c r="AI19" s="387" t="s">
        <v>1608</v>
      </c>
      <c r="AJ19" s="390">
        <v>17.8</v>
      </c>
      <c r="AK19" s="520">
        <v>120</v>
      </c>
      <c r="AL19" s="389">
        <v>80</v>
      </c>
      <c r="AM19" s="389">
        <v>12</v>
      </c>
      <c r="AN19" s="389">
        <v>11</v>
      </c>
      <c r="AO19" s="389">
        <v>5.5</v>
      </c>
      <c r="AP19" s="521">
        <v>22.69</v>
      </c>
      <c r="AQ19" s="521" t="s">
        <v>667</v>
      </c>
      <c r="AR19" s="393">
        <v>52</v>
      </c>
      <c r="AS19" s="393">
        <v>72</v>
      </c>
      <c r="AT19" s="396">
        <v>19.09</v>
      </c>
      <c r="AU19" s="522" t="s">
        <v>639</v>
      </c>
      <c r="AV19" s="393">
        <v>42</v>
      </c>
      <c r="AW19" s="393">
        <v>51</v>
      </c>
      <c r="AX19" s="396">
        <v>20.53</v>
      </c>
    </row>
    <row r="20" spans="1:50" s="141" customFormat="1" ht="13.5" customHeight="1">
      <c r="A20" s="81"/>
      <c r="B20" s="82"/>
      <c r="C20" s="83"/>
      <c r="D20" s="83"/>
      <c r="E20" s="83"/>
      <c r="F20" s="83"/>
      <c r="G20" s="43"/>
      <c r="H20" s="41"/>
      <c r="I20" s="89"/>
      <c r="J20" s="89"/>
      <c r="K20" s="89"/>
      <c r="L20" s="89"/>
      <c r="M20" s="89"/>
      <c r="N20" s="89"/>
      <c r="O20" s="91"/>
      <c r="P20" s="88"/>
      <c r="Q20" s="89"/>
      <c r="R20" s="33"/>
      <c r="S20" s="82"/>
      <c r="T20" s="84"/>
      <c r="U20" s="89"/>
      <c r="V20" s="91"/>
      <c r="W20" s="89"/>
      <c r="X20" s="89"/>
      <c r="Y20" s="91"/>
      <c r="Z20" s="84"/>
      <c r="AA20" s="91"/>
      <c r="AB20" s="89"/>
      <c r="AC20" s="91"/>
      <c r="AD20" s="247"/>
      <c r="AE20" s="154"/>
      <c r="AF20" s="90"/>
      <c r="AG20" s="158"/>
      <c r="AH20" s="527"/>
      <c r="AI20" s="81"/>
      <c r="AJ20" s="84"/>
      <c r="AK20" s="248"/>
      <c r="AL20" s="83"/>
      <c r="AM20" s="83"/>
      <c r="AN20" s="83"/>
      <c r="AO20" s="83"/>
      <c r="AP20" s="249"/>
      <c r="AQ20" s="249"/>
      <c r="AR20" s="86"/>
      <c r="AS20" s="86"/>
      <c r="AT20" s="89"/>
      <c r="AU20" s="250"/>
      <c r="AV20" s="86"/>
      <c r="AW20" s="86"/>
      <c r="AX20" s="89"/>
    </row>
    <row r="21" spans="1:50" s="434" customFormat="1" ht="13.5" customHeight="1">
      <c r="A21" s="387" t="s">
        <v>1609</v>
      </c>
      <c r="B21" s="388">
        <v>11.8</v>
      </c>
      <c r="C21" s="389">
        <v>130</v>
      </c>
      <c r="D21" s="389">
        <v>65</v>
      </c>
      <c r="E21" s="389">
        <v>8</v>
      </c>
      <c r="F21" s="389">
        <v>11</v>
      </c>
      <c r="G21" s="399">
        <v>5.5</v>
      </c>
      <c r="H21" s="407">
        <v>15.09</v>
      </c>
      <c r="I21" s="396">
        <v>4.5599999999999996</v>
      </c>
      <c r="J21" s="396">
        <v>1.37</v>
      </c>
      <c r="K21" s="396">
        <v>8.51</v>
      </c>
      <c r="L21" s="396">
        <v>5.71</v>
      </c>
      <c r="M21" s="396">
        <v>2.48</v>
      </c>
      <c r="N21" s="396">
        <v>3.82</v>
      </c>
      <c r="O21" s="392">
        <v>1.39</v>
      </c>
      <c r="P21" s="395">
        <v>0.38100000000000001</v>
      </c>
      <c r="Q21" s="396">
        <v>32.130000000000003</v>
      </c>
      <c r="R21" s="404" t="s">
        <v>1609</v>
      </c>
      <c r="S21" s="388">
        <v>11.8</v>
      </c>
      <c r="T21" s="390">
        <v>262.5</v>
      </c>
      <c r="U21" s="396">
        <v>31.1</v>
      </c>
      <c r="V21" s="392">
        <v>4.17</v>
      </c>
      <c r="W21" s="396">
        <v>44.77</v>
      </c>
      <c r="X21" s="396">
        <v>8.7200000000000006</v>
      </c>
      <c r="Y21" s="392">
        <v>1.72</v>
      </c>
      <c r="Z21" s="390">
        <v>278.60000000000002</v>
      </c>
      <c r="AA21" s="392">
        <v>4.3</v>
      </c>
      <c r="AB21" s="396">
        <v>28.72</v>
      </c>
      <c r="AC21" s="392">
        <v>1.38</v>
      </c>
      <c r="AD21" s="518">
        <v>-61.25</v>
      </c>
      <c r="AE21" s="397">
        <v>14.68</v>
      </c>
      <c r="AF21" s="391">
        <v>4</v>
      </c>
      <c r="AG21" s="414">
        <v>4</v>
      </c>
      <c r="AH21" s="527"/>
      <c r="AI21" s="387" t="s">
        <v>1609</v>
      </c>
      <c r="AJ21" s="390">
        <v>11.8</v>
      </c>
      <c r="AK21" s="520">
        <v>130</v>
      </c>
      <c r="AL21" s="389">
        <v>65</v>
      </c>
      <c r="AM21" s="389">
        <v>8</v>
      </c>
      <c r="AN21" s="389">
        <v>11</v>
      </c>
      <c r="AO21" s="389">
        <v>5.5</v>
      </c>
      <c r="AP21" s="521">
        <v>15.09</v>
      </c>
      <c r="AQ21" s="521" t="s">
        <v>667</v>
      </c>
      <c r="AR21" s="393">
        <v>48</v>
      </c>
      <c r="AS21" s="393">
        <v>82</v>
      </c>
      <c r="AT21" s="396">
        <v>12.69</v>
      </c>
      <c r="AU21" s="522" t="s">
        <v>632</v>
      </c>
      <c r="AV21" s="393">
        <v>35</v>
      </c>
      <c r="AW21" s="393">
        <v>42</v>
      </c>
      <c r="AX21" s="396">
        <v>13.97</v>
      </c>
    </row>
    <row r="22" spans="1:50" s="141" customFormat="1" ht="13.5" customHeight="1">
      <c r="A22" s="81" t="s">
        <v>1610</v>
      </c>
      <c r="B22" s="82">
        <v>14.6</v>
      </c>
      <c r="C22" s="83">
        <v>130</v>
      </c>
      <c r="D22" s="83">
        <v>65</v>
      </c>
      <c r="E22" s="83">
        <v>10</v>
      </c>
      <c r="F22" s="83">
        <v>11</v>
      </c>
      <c r="G22" s="43">
        <v>5.5</v>
      </c>
      <c r="H22" s="41">
        <v>18.63</v>
      </c>
      <c r="I22" s="89">
        <v>4.6500000000000004</v>
      </c>
      <c r="J22" s="89">
        <v>1.45</v>
      </c>
      <c r="K22" s="89">
        <v>8.44</v>
      </c>
      <c r="L22" s="89">
        <v>5.77</v>
      </c>
      <c r="M22" s="89">
        <v>2.57</v>
      </c>
      <c r="N22" s="89">
        <v>3.78</v>
      </c>
      <c r="O22" s="91">
        <v>1.46</v>
      </c>
      <c r="P22" s="88">
        <v>0.38100000000000001</v>
      </c>
      <c r="Q22" s="89">
        <v>26.02</v>
      </c>
      <c r="R22" s="33" t="s">
        <v>1610</v>
      </c>
      <c r="S22" s="82">
        <v>14.6</v>
      </c>
      <c r="T22" s="84">
        <v>320.5</v>
      </c>
      <c r="U22" s="89">
        <v>38.39</v>
      </c>
      <c r="V22" s="91">
        <v>4.1500000000000004</v>
      </c>
      <c r="W22" s="84">
        <v>54.2</v>
      </c>
      <c r="X22" s="89">
        <v>10.73</v>
      </c>
      <c r="Y22" s="91">
        <v>1.71</v>
      </c>
      <c r="Z22" s="84">
        <v>339.6</v>
      </c>
      <c r="AA22" s="91">
        <v>4.2699999999999996</v>
      </c>
      <c r="AB22" s="89">
        <v>35.020000000000003</v>
      </c>
      <c r="AC22" s="91">
        <v>1.37</v>
      </c>
      <c r="AD22" s="247">
        <v>-73.989999999999995</v>
      </c>
      <c r="AE22" s="154">
        <v>14.53</v>
      </c>
      <c r="AF22" s="90">
        <v>3</v>
      </c>
      <c r="AG22" s="158">
        <v>4</v>
      </c>
      <c r="AH22" s="527"/>
      <c r="AI22" s="81" t="s">
        <v>1610</v>
      </c>
      <c r="AJ22" s="84">
        <v>14.6</v>
      </c>
      <c r="AK22" s="248">
        <v>130</v>
      </c>
      <c r="AL22" s="83">
        <v>65</v>
      </c>
      <c r="AM22" s="83">
        <v>10</v>
      </c>
      <c r="AN22" s="83">
        <v>11</v>
      </c>
      <c r="AO22" s="83">
        <v>5.5</v>
      </c>
      <c r="AP22" s="249">
        <v>18.63</v>
      </c>
      <c r="AQ22" s="249" t="s">
        <v>667</v>
      </c>
      <c r="AR22" s="86">
        <v>50</v>
      </c>
      <c r="AS22" s="86">
        <v>82</v>
      </c>
      <c r="AT22" s="89">
        <v>15.63</v>
      </c>
      <c r="AU22" s="250" t="s">
        <v>632</v>
      </c>
      <c r="AV22" s="86">
        <v>37</v>
      </c>
      <c r="AW22" s="86">
        <v>42</v>
      </c>
      <c r="AX22" s="89">
        <v>17.23</v>
      </c>
    </row>
    <row r="23" spans="1:50" s="141" customFormat="1" ht="13.5" customHeight="1">
      <c r="A23" s="81"/>
      <c r="B23" s="82"/>
      <c r="C23" s="83"/>
      <c r="D23" s="83"/>
      <c r="E23" s="83"/>
      <c r="F23" s="83"/>
      <c r="G23" s="43"/>
      <c r="H23" s="41"/>
      <c r="I23" s="89"/>
      <c r="J23" s="89"/>
      <c r="K23" s="89"/>
      <c r="L23" s="89"/>
      <c r="M23" s="89"/>
      <c r="N23" s="89"/>
      <c r="O23" s="91"/>
      <c r="P23" s="88"/>
      <c r="Q23" s="89"/>
      <c r="R23" s="33"/>
      <c r="S23" s="82"/>
      <c r="T23" s="84"/>
      <c r="U23" s="89"/>
      <c r="V23" s="91"/>
      <c r="W23" s="84"/>
      <c r="X23" s="89"/>
      <c r="Y23" s="91"/>
      <c r="Z23" s="84"/>
      <c r="AA23" s="91"/>
      <c r="AB23" s="89"/>
      <c r="AC23" s="91"/>
      <c r="AD23" s="247"/>
      <c r="AE23" s="154"/>
      <c r="AF23" s="90"/>
      <c r="AG23" s="158"/>
      <c r="AH23" s="527"/>
      <c r="AI23" s="81"/>
      <c r="AJ23" s="84"/>
      <c r="AK23" s="248"/>
      <c r="AL23" s="83"/>
      <c r="AM23" s="83"/>
      <c r="AN23" s="83"/>
      <c r="AO23" s="83"/>
      <c r="AP23" s="249"/>
      <c r="AQ23" s="249"/>
      <c r="AR23" s="86"/>
      <c r="AS23" s="86"/>
      <c r="AT23" s="89"/>
      <c r="AU23" s="250"/>
      <c r="AV23" s="86"/>
      <c r="AW23" s="86"/>
      <c r="AX23" s="89"/>
    </row>
    <row r="24" spans="1:50" s="434" customFormat="1" ht="13.5" customHeight="1">
      <c r="A24" s="387" t="s">
        <v>1611</v>
      </c>
      <c r="B24" s="388">
        <v>18.2</v>
      </c>
      <c r="C24" s="389">
        <v>150</v>
      </c>
      <c r="D24" s="389">
        <v>90</v>
      </c>
      <c r="E24" s="389">
        <v>10</v>
      </c>
      <c r="F24" s="389">
        <v>12</v>
      </c>
      <c r="G24" s="399">
        <v>6</v>
      </c>
      <c r="H24" s="407">
        <v>23.15</v>
      </c>
      <c r="I24" s="396">
        <v>5</v>
      </c>
      <c r="J24" s="396">
        <v>2.04</v>
      </c>
      <c r="K24" s="396">
        <v>10.1</v>
      </c>
      <c r="L24" s="396">
        <v>7.07</v>
      </c>
      <c r="M24" s="396">
        <v>3.61</v>
      </c>
      <c r="N24" s="396">
        <v>4.97</v>
      </c>
      <c r="O24" s="392">
        <v>2.2000000000000002</v>
      </c>
      <c r="P24" s="395">
        <v>0.47</v>
      </c>
      <c r="Q24" s="396">
        <v>25.84</v>
      </c>
      <c r="R24" s="387" t="s">
        <v>1611</v>
      </c>
      <c r="S24" s="388">
        <v>18.2</v>
      </c>
      <c r="T24" s="390">
        <v>533.1</v>
      </c>
      <c r="U24" s="396">
        <v>53.29</v>
      </c>
      <c r="V24" s="392">
        <v>4.8</v>
      </c>
      <c r="W24" s="390">
        <v>146.1</v>
      </c>
      <c r="X24" s="396">
        <v>20.98</v>
      </c>
      <c r="Y24" s="392">
        <v>2.5099999999999998</v>
      </c>
      <c r="Z24" s="390">
        <v>591.29999999999995</v>
      </c>
      <c r="AA24" s="392">
        <v>5.05</v>
      </c>
      <c r="AB24" s="390">
        <v>87.93</v>
      </c>
      <c r="AC24" s="392">
        <v>1.95</v>
      </c>
      <c r="AD24" s="518">
        <v>-160.9</v>
      </c>
      <c r="AE24" s="397">
        <v>19.87</v>
      </c>
      <c r="AF24" s="391">
        <v>4</v>
      </c>
      <c r="AG24" s="414">
        <v>4</v>
      </c>
      <c r="AH24" s="527"/>
      <c r="AI24" s="387" t="s">
        <v>1611</v>
      </c>
      <c r="AJ24" s="390">
        <v>18.2</v>
      </c>
      <c r="AK24" s="520">
        <v>150</v>
      </c>
      <c r="AL24" s="389">
        <v>90</v>
      </c>
      <c r="AM24" s="389">
        <v>10</v>
      </c>
      <c r="AN24" s="389">
        <v>12</v>
      </c>
      <c r="AO24" s="389">
        <v>6</v>
      </c>
      <c r="AP24" s="521">
        <v>23.15</v>
      </c>
      <c r="AQ24" s="521" t="s">
        <v>667</v>
      </c>
      <c r="AR24" s="393">
        <v>50</v>
      </c>
      <c r="AS24" s="393">
        <v>102</v>
      </c>
      <c r="AT24" s="396">
        <v>20.149999999999999</v>
      </c>
      <c r="AU24" s="522" t="s">
        <v>656</v>
      </c>
      <c r="AV24" s="393">
        <v>47</v>
      </c>
      <c r="AW24" s="393">
        <v>49</v>
      </c>
      <c r="AX24" s="396">
        <v>20.55</v>
      </c>
    </row>
    <row r="25" spans="1:50" s="141" customFormat="1" ht="13.5" customHeight="1">
      <c r="A25" s="81" t="s">
        <v>1612</v>
      </c>
      <c r="B25" s="82">
        <v>19.899999999999999</v>
      </c>
      <c r="C25" s="83">
        <v>150</v>
      </c>
      <c r="D25" s="83">
        <v>90</v>
      </c>
      <c r="E25" s="83">
        <v>11</v>
      </c>
      <c r="F25" s="83">
        <v>12</v>
      </c>
      <c r="G25" s="43">
        <v>6</v>
      </c>
      <c r="H25" s="41">
        <v>25.34</v>
      </c>
      <c r="I25" s="89">
        <v>5.04</v>
      </c>
      <c r="J25" s="89">
        <v>2.08</v>
      </c>
      <c r="K25" s="89">
        <v>10.07</v>
      </c>
      <c r="L25" s="89">
        <v>7.09</v>
      </c>
      <c r="M25" s="89">
        <v>3.66</v>
      </c>
      <c r="N25" s="89">
        <v>4.95</v>
      </c>
      <c r="O25" s="91">
        <v>2.23</v>
      </c>
      <c r="P25" s="88">
        <v>0.47</v>
      </c>
      <c r="Q25" s="89">
        <v>23.61</v>
      </c>
      <c r="R25" s="81" t="s">
        <v>1612</v>
      </c>
      <c r="S25" s="82">
        <v>19.899999999999999</v>
      </c>
      <c r="T25" s="84">
        <v>580.70000000000005</v>
      </c>
      <c r="U25" s="89">
        <v>58.3</v>
      </c>
      <c r="V25" s="91">
        <v>4.79</v>
      </c>
      <c r="W25" s="84">
        <v>158.69999999999999</v>
      </c>
      <c r="X25" s="89">
        <v>22.91</v>
      </c>
      <c r="Y25" s="91">
        <v>2.5</v>
      </c>
      <c r="Z25" s="84">
        <v>643.70000000000005</v>
      </c>
      <c r="AA25" s="91">
        <v>5.04</v>
      </c>
      <c r="AB25" s="84">
        <v>95.71</v>
      </c>
      <c r="AC25" s="91">
        <v>1.94</v>
      </c>
      <c r="AD25" s="247">
        <v>-174.7</v>
      </c>
      <c r="AE25" s="154">
        <v>19.809999999999999</v>
      </c>
      <c r="AF25" s="90">
        <v>3</v>
      </c>
      <c r="AG25" s="158">
        <v>4</v>
      </c>
      <c r="AH25" s="527"/>
      <c r="AI25" s="81" t="s">
        <v>1612</v>
      </c>
      <c r="AJ25" s="84">
        <v>19.899999999999999</v>
      </c>
      <c r="AK25" s="248">
        <v>150</v>
      </c>
      <c r="AL25" s="83">
        <v>90</v>
      </c>
      <c r="AM25" s="83">
        <v>11</v>
      </c>
      <c r="AN25" s="83">
        <v>12</v>
      </c>
      <c r="AO25" s="83">
        <v>6</v>
      </c>
      <c r="AP25" s="249">
        <v>25.34</v>
      </c>
      <c r="AQ25" s="249" t="s">
        <v>667</v>
      </c>
      <c r="AR25" s="86">
        <v>51</v>
      </c>
      <c r="AS25" s="86">
        <v>102</v>
      </c>
      <c r="AT25" s="89">
        <v>22.04</v>
      </c>
      <c r="AU25" s="250" t="s">
        <v>656</v>
      </c>
      <c r="AV25" s="86">
        <v>48</v>
      </c>
      <c r="AW25" s="86">
        <v>49</v>
      </c>
      <c r="AX25" s="89">
        <v>22.48</v>
      </c>
    </row>
    <row r="26" spans="1:50" s="434" customFormat="1" ht="13.5" customHeight="1">
      <c r="A26" s="387" t="s">
        <v>1613</v>
      </c>
      <c r="B26" s="388">
        <v>19</v>
      </c>
      <c r="C26" s="389">
        <v>150</v>
      </c>
      <c r="D26" s="389">
        <v>100</v>
      </c>
      <c r="E26" s="389">
        <v>10</v>
      </c>
      <c r="F26" s="389">
        <v>12</v>
      </c>
      <c r="G26" s="399">
        <v>6</v>
      </c>
      <c r="H26" s="407">
        <v>24.15</v>
      </c>
      <c r="I26" s="396">
        <v>4.8099999999999996</v>
      </c>
      <c r="J26" s="396">
        <v>2.34</v>
      </c>
      <c r="K26" s="396">
        <v>10.27</v>
      </c>
      <c r="L26" s="396">
        <v>7.48</v>
      </c>
      <c r="M26" s="396">
        <v>4.08</v>
      </c>
      <c r="N26" s="396">
        <v>5.25</v>
      </c>
      <c r="O26" s="392">
        <v>2.64</v>
      </c>
      <c r="P26" s="395">
        <v>0.49</v>
      </c>
      <c r="Q26" s="396">
        <v>25.83</v>
      </c>
      <c r="R26" s="404" t="s">
        <v>1613</v>
      </c>
      <c r="S26" s="388">
        <v>19</v>
      </c>
      <c r="T26" s="390">
        <v>552.6</v>
      </c>
      <c r="U26" s="396">
        <v>54.23</v>
      </c>
      <c r="V26" s="392">
        <v>4.78</v>
      </c>
      <c r="W26" s="390">
        <v>198.5</v>
      </c>
      <c r="X26" s="396">
        <v>25.92</v>
      </c>
      <c r="Y26" s="392">
        <v>2.87</v>
      </c>
      <c r="Z26" s="390">
        <v>637.29999999999995</v>
      </c>
      <c r="AA26" s="392">
        <v>5.14</v>
      </c>
      <c r="AB26" s="390">
        <v>113.8</v>
      </c>
      <c r="AC26" s="392">
        <v>2.17</v>
      </c>
      <c r="AD26" s="518">
        <v>-192.8</v>
      </c>
      <c r="AE26" s="397">
        <v>23.72</v>
      </c>
      <c r="AF26" s="391">
        <v>4</v>
      </c>
      <c r="AG26" s="414">
        <v>4</v>
      </c>
      <c r="AH26" s="527"/>
      <c r="AI26" s="387" t="s">
        <v>1613</v>
      </c>
      <c r="AJ26" s="390">
        <v>19</v>
      </c>
      <c r="AK26" s="520">
        <v>150</v>
      </c>
      <c r="AL26" s="389">
        <v>100</v>
      </c>
      <c r="AM26" s="389">
        <v>10</v>
      </c>
      <c r="AN26" s="389">
        <v>12</v>
      </c>
      <c r="AO26" s="389">
        <v>6</v>
      </c>
      <c r="AP26" s="521">
        <v>24.15</v>
      </c>
      <c r="AQ26" s="521" t="s">
        <v>667</v>
      </c>
      <c r="AR26" s="393">
        <v>50</v>
      </c>
      <c r="AS26" s="393">
        <v>102</v>
      </c>
      <c r="AT26" s="396">
        <v>21.15</v>
      </c>
      <c r="AU26" s="522" t="s">
        <v>667</v>
      </c>
      <c r="AV26" s="393">
        <v>50</v>
      </c>
      <c r="AW26" s="393">
        <v>53</v>
      </c>
      <c r="AX26" s="396">
        <v>21.15</v>
      </c>
    </row>
    <row r="27" spans="1:50" s="141" customFormat="1" ht="13.5" customHeight="1">
      <c r="A27" s="81" t="s">
        <v>1614</v>
      </c>
      <c r="B27" s="82">
        <v>22.5</v>
      </c>
      <c r="C27" s="83">
        <v>150</v>
      </c>
      <c r="D27" s="83">
        <v>100</v>
      </c>
      <c r="E27" s="83">
        <v>12</v>
      </c>
      <c r="F27" s="83">
        <v>12</v>
      </c>
      <c r="G27" s="43">
        <v>6</v>
      </c>
      <c r="H27" s="41">
        <v>28.71</v>
      </c>
      <c r="I27" s="89">
        <v>4.9000000000000004</v>
      </c>
      <c r="J27" s="89">
        <v>2.42</v>
      </c>
      <c r="K27" s="89">
        <v>10.23</v>
      </c>
      <c r="L27" s="89">
        <v>7.52</v>
      </c>
      <c r="M27" s="89">
        <v>4.18</v>
      </c>
      <c r="N27" s="89">
        <v>5.23</v>
      </c>
      <c r="O27" s="91">
        <v>2.7</v>
      </c>
      <c r="P27" s="88">
        <v>0.49</v>
      </c>
      <c r="Q27" s="89">
        <v>21.72</v>
      </c>
      <c r="R27" s="33" t="s">
        <v>1614</v>
      </c>
      <c r="S27" s="82">
        <v>22.5</v>
      </c>
      <c r="T27" s="84">
        <v>650.5</v>
      </c>
      <c r="U27" s="89">
        <v>64.38</v>
      </c>
      <c r="V27" s="91">
        <v>4.76</v>
      </c>
      <c r="W27" s="84">
        <v>232.6</v>
      </c>
      <c r="X27" s="89">
        <v>30.69</v>
      </c>
      <c r="Y27" s="91">
        <v>2.85</v>
      </c>
      <c r="Z27" s="84">
        <v>749.3</v>
      </c>
      <c r="AA27" s="91">
        <v>5.1100000000000003</v>
      </c>
      <c r="AB27" s="89">
        <v>133.9</v>
      </c>
      <c r="AC27" s="91">
        <v>2.16</v>
      </c>
      <c r="AD27" s="247">
        <v>-225.8</v>
      </c>
      <c r="AE27" s="154">
        <v>23.61</v>
      </c>
      <c r="AF27" s="90">
        <v>3</v>
      </c>
      <c r="AG27" s="158">
        <v>4</v>
      </c>
      <c r="AH27" s="527"/>
      <c r="AI27" s="81" t="s">
        <v>1614</v>
      </c>
      <c r="AJ27" s="84">
        <v>22.5</v>
      </c>
      <c r="AK27" s="248">
        <v>150</v>
      </c>
      <c r="AL27" s="83">
        <v>100</v>
      </c>
      <c r="AM27" s="83">
        <v>12</v>
      </c>
      <c r="AN27" s="83">
        <v>12</v>
      </c>
      <c r="AO27" s="83">
        <v>6</v>
      </c>
      <c r="AP27" s="249">
        <v>28.71</v>
      </c>
      <c r="AQ27" s="249" t="s">
        <v>667</v>
      </c>
      <c r="AR27" s="86">
        <v>52</v>
      </c>
      <c r="AS27" s="86">
        <v>102</v>
      </c>
      <c r="AT27" s="89">
        <v>25.11</v>
      </c>
      <c r="AU27" s="250" t="s">
        <v>667</v>
      </c>
      <c r="AV27" s="86">
        <v>52</v>
      </c>
      <c r="AW27" s="86">
        <v>53</v>
      </c>
      <c r="AX27" s="89">
        <v>25.11</v>
      </c>
    </row>
    <row r="28" spans="1:50" s="434" customFormat="1" ht="13.5" customHeight="1">
      <c r="A28" s="387" t="s">
        <v>1615</v>
      </c>
      <c r="B28" s="388">
        <v>26.1</v>
      </c>
      <c r="C28" s="389">
        <v>150</v>
      </c>
      <c r="D28" s="389">
        <v>100</v>
      </c>
      <c r="E28" s="389">
        <v>14</v>
      </c>
      <c r="F28" s="389">
        <v>12</v>
      </c>
      <c r="G28" s="399">
        <v>6</v>
      </c>
      <c r="H28" s="407">
        <v>33.19</v>
      </c>
      <c r="I28" s="396">
        <v>4.9800000000000004</v>
      </c>
      <c r="J28" s="396">
        <v>2.5</v>
      </c>
      <c r="K28" s="396">
        <v>10.19</v>
      </c>
      <c r="L28" s="396">
        <v>7.55</v>
      </c>
      <c r="M28" s="396">
        <v>4.28</v>
      </c>
      <c r="N28" s="396">
        <v>5.22</v>
      </c>
      <c r="O28" s="392">
        <v>2.75</v>
      </c>
      <c r="P28" s="395">
        <v>0.49</v>
      </c>
      <c r="Q28" s="396">
        <v>18.79</v>
      </c>
      <c r="R28" s="404" t="s">
        <v>1615</v>
      </c>
      <c r="S28" s="388">
        <v>26.1</v>
      </c>
      <c r="T28" s="390">
        <v>744.4</v>
      </c>
      <c r="U28" s="396">
        <v>74.27</v>
      </c>
      <c r="V28" s="392">
        <v>4.74</v>
      </c>
      <c r="W28" s="390">
        <v>264.89999999999998</v>
      </c>
      <c r="X28" s="396">
        <v>35.32</v>
      </c>
      <c r="Y28" s="392">
        <v>2.82</v>
      </c>
      <c r="Z28" s="390">
        <v>855.9</v>
      </c>
      <c r="AA28" s="392">
        <v>5.08</v>
      </c>
      <c r="AB28" s="396">
        <v>153.4</v>
      </c>
      <c r="AC28" s="392">
        <v>2.15</v>
      </c>
      <c r="AD28" s="518">
        <v>-256.8</v>
      </c>
      <c r="AE28" s="397">
        <v>23.48</v>
      </c>
      <c r="AF28" s="391">
        <v>2</v>
      </c>
      <c r="AG28" s="414">
        <v>4</v>
      </c>
      <c r="AH28" s="527"/>
      <c r="AI28" s="387" t="s">
        <v>1615</v>
      </c>
      <c r="AJ28" s="390">
        <v>26.1</v>
      </c>
      <c r="AK28" s="520">
        <v>150</v>
      </c>
      <c r="AL28" s="389">
        <v>100</v>
      </c>
      <c r="AM28" s="389">
        <v>14</v>
      </c>
      <c r="AN28" s="389">
        <v>12</v>
      </c>
      <c r="AO28" s="389">
        <v>6</v>
      </c>
      <c r="AP28" s="521">
        <v>33.19</v>
      </c>
      <c r="AQ28" s="521" t="s">
        <v>667</v>
      </c>
      <c r="AR28" s="393">
        <v>54</v>
      </c>
      <c r="AS28" s="393">
        <v>102</v>
      </c>
      <c r="AT28" s="396">
        <v>28.99</v>
      </c>
      <c r="AU28" s="522" t="s">
        <v>656</v>
      </c>
      <c r="AV28" s="393">
        <v>51</v>
      </c>
      <c r="AW28" s="393">
        <v>59</v>
      </c>
      <c r="AX28" s="396">
        <v>29.55</v>
      </c>
    </row>
    <row r="29" spans="1:50" s="141" customFormat="1" ht="13.5" customHeight="1">
      <c r="A29" s="81"/>
      <c r="B29" s="82"/>
      <c r="C29" s="83"/>
      <c r="D29" s="83"/>
      <c r="E29" s="83"/>
      <c r="F29" s="83"/>
      <c r="G29" s="43"/>
      <c r="H29" s="41"/>
      <c r="I29" s="89"/>
      <c r="J29" s="89"/>
      <c r="K29" s="89"/>
      <c r="L29" s="89"/>
      <c r="M29" s="89"/>
      <c r="N29" s="89"/>
      <c r="O29" s="91"/>
      <c r="P29" s="88"/>
      <c r="Q29" s="89"/>
      <c r="R29" s="33"/>
      <c r="S29" s="82"/>
      <c r="T29" s="84"/>
      <c r="U29" s="89"/>
      <c r="V29" s="91"/>
      <c r="W29" s="84"/>
      <c r="X29" s="89"/>
      <c r="Y29" s="91"/>
      <c r="Z29" s="84"/>
      <c r="AA29" s="91"/>
      <c r="AB29" s="89"/>
      <c r="AC29" s="91"/>
      <c r="AD29" s="247"/>
      <c r="AE29" s="154"/>
      <c r="AF29" s="90"/>
      <c r="AG29" s="158"/>
      <c r="AH29" s="527"/>
      <c r="AI29" s="81"/>
      <c r="AJ29" s="84"/>
      <c r="AK29" s="248"/>
      <c r="AL29" s="83"/>
      <c r="AM29" s="83"/>
      <c r="AN29" s="83"/>
      <c r="AO29" s="83"/>
      <c r="AP29" s="249"/>
      <c r="AQ29" s="249"/>
      <c r="AR29" s="86"/>
      <c r="AS29" s="86"/>
      <c r="AT29" s="89"/>
      <c r="AU29" s="250"/>
      <c r="AV29" s="86"/>
      <c r="AW29" s="86"/>
      <c r="AX29" s="89"/>
    </row>
    <row r="30" spans="1:50" s="434" customFormat="1" ht="13.5" customHeight="1">
      <c r="A30" s="387" t="s">
        <v>1616</v>
      </c>
      <c r="B30" s="388">
        <v>18.2</v>
      </c>
      <c r="C30" s="389">
        <v>160</v>
      </c>
      <c r="D30" s="389">
        <v>80</v>
      </c>
      <c r="E30" s="389">
        <v>10</v>
      </c>
      <c r="F30" s="389">
        <v>13</v>
      </c>
      <c r="G30" s="399">
        <v>6.5</v>
      </c>
      <c r="H30" s="407">
        <v>23.18</v>
      </c>
      <c r="I30" s="396">
        <v>5.63</v>
      </c>
      <c r="J30" s="396">
        <v>1.69</v>
      </c>
      <c r="K30" s="396">
        <v>10.46</v>
      </c>
      <c r="L30" s="396">
        <v>7.04</v>
      </c>
      <c r="M30" s="396">
        <v>3.06</v>
      </c>
      <c r="N30" s="396">
        <v>4.7</v>
      </c>
      <c r="O30" s="392">
        <v>1.73</v>
      </c>
      <c r="P30" s="395">
        <v>0.46899999999999997</v>
      </c>
      <c r="Q30" s="396">
        <v>25.76</v>
      </c>
      <c r="R30" s="404" t="s">
        <v>1616</v>
      </c>
      <c r="S30" s="388">
        <v>18.2</v>
      </c>
      <c r="T30" s="390">
        <v>611.29999999999995</v>
      </c>
      <c r="U30" s="396">
        <v>58.94</v>
      </c>
      <c r="V30" s="392">
        <v>5.14</v>
      </c>
      <c r="W30" s="390">
        <v>104.4</v>
      </c>
      <c r="X30" s="396">
        <v>16.55</v>
      </c>
      <c r="Y30" s="392">
        <v>2.12</v>
      </c>
      <c r="Z30" s="390">
        <v>648.70000000000005</v>
      </c>
      <c r="AA30" s="392">
        <v>5.29</v>
      </c>
      <c r="AB30" s="396">
        <v>67.010000000000005</v>
      </c>
      <c r="AC30" s="392">
        <v>1.7</v>
      </c>
      <c r="AD30" s="518">
        <v>-142.69999999999999</v>
      </c>
      <c r="AE30" s="397">
        <v>14.69</v>
      </c>
      <c r="AF30" s="391">
        <v>4</v>
      </c>
      <c r="AG30" s="414">
        <v>4</v>
      </c>
      <c r="AH30" s="527"/>
      <c r="AI30" s="387" t="s">
        <v>1616</v>
      </c>
      <c r="AJ30" s="390">
        <v>18.2</v>
      </c>
      <c r="AK30" s="520">
        <v>160</v>
      </c>
      <c r="AL30" s="389">
        <v>80</v>
      </c>
      <c r="AM30" s="389">
        <v>10</v>
      </c>
      <c r="AN30" s="389">
        <v>13</v>
      </c>
      <c r="AO30" s="389">
        <v>6.5</v>
      </c>
      <c r="AP30" s="521">
        <v>23.18</v>
      </c>
      <c r="AQ30" s="521" t="s">
        <v>667</v>
      </c>
      <c r="AR30" s="393">
        <v>50</v>
      </c>
      <c r="AS30" s="393">
        <v>111</v>
      </c>
      <c r="AT30" s="396">
        <v>20.18</v>
      </c>
      <c r="AU30" s="522" t="s">
        <v>639</v>
      </c>
      <c r="AV30" s="393">
        <v>40</v>
      </c>
      <c r="AW30" s="393">
        <v>51</v>
      </c>
      <c r="AX30" s="396">
        <v>21.38</v>
      </c>
    </row>
    <row r="31" spans="1:50" s="141" customFormat="1" ht="13.5" customHeight="1">
      <c r="A31" s="81" t="s">
        <v>1617</v>
      </c>
      <c r="B31" s="82">
        <v>21.6</v>
      </c>
      <c r="C31" s="83">
        <v>160</v>
      </c>
      <c r="D31" s="83">
        <v>80</v>
      </c>
      <c r="E31" s="83">
        <v>12</v>
      </c>
      <c r="F31" s="83">
        <v>13</v>
      </c>
      <c r="G31" s="43">
        <v>6.5</v>
      </c>
      <c r="H31" s="41">
        <v>27.54</v>
      </c>
      <c r="I31" s="89">
        <v>5.72</v>
      </c>
      <c r="J31" s="89">
        <v>1.77</v>
      </c>
      <c r="K31" s="89">
        <v>10.4</v>
      </c>
      <c r="L31" s="89">
        <v>7.1</v>
      </c>
      <c r="M31" s="89">
        <v>3.15</v>
      </c>
      <c r="N31" s="89">
        <v>4.66</v>
      </c>
      <c r="O31" s="91">
        <v>1.8</v>
      </c>
      <c r="P31" s="88">
        <v>0.46899999999999997</v>
      </c>
      <c r="Q31" s="89">
        <v>21.69</v>
      </c>
      <c r="R31" s="33" t="s">
        <v>1617</v>
      </c>
      <c r="S31" s="82">
        <v>21.6</v>
      </c>
      <c r="T31" s="84">
        <v>719.5</v>
      </c>
      <c r="U31" s="89">
        <v>69.98</v>
      </c>
      <c r="V31" s="91">
        <v>5.1100000000000003</v>
      </c>
      <c r="W31" s="84">
        <v>122</v>
      </c>
      <c r="X31" s="89">
        <v>19.59</v>
      </c>
      <c r="Y31" s="91">
        <v>2.1</v>
      </c>
      <c r="Z31" s="84">
        <v>762.8</v>
      </c>
      <c r="AA31" s="91">
        <v>5.26</v>
      </c>
      <c r="AB31" s="89">
        <v>78.77</v>
      </c>
      <c r="AC31" s="91">
        <v>1.69</v>
      </c>
      <c r="AD31" s="247">
        <v>-166.5</v>
      </c>
      <c r="AE31" s="154">
        <v>14.57</v>
      </c>
      <c r="AF31" s="90">
        <v>3</v>
      </c>
      <c r="AG31" s="158">
        <v>4</v>
      </c>
      <c r="AH31" s="527"/>
      <c r="AI31" s="81" t="s">
        <v>1617</v>
      </c>
      <c r="AJ31" s="84">
        <v>21.6</v>
      </c>
      <c r="AK31" s="248">
        <v>160</v>
      </c>
      <c r="AL31" s="83">
        <v>80</v>
      </c>
      <c r="AM31" s="83">
        <v>12</v>
      </c>
      <c r="AN31" s="83">
        <v>13</v>
      </c>
      <c r="AO31" s="83">
        <v>6.5</v>
      </c>
      <c r="AP31" s="249">
        <v>27.54</v>
      </c>
      <c r="AQ31" s="249" t="s">
        <v>667</v>
      </c>
      <c r="AR31" s="86">
        <v>52</v>
      </c>
      <c r="AS31" s="86">
        <v>111</v>
      </c>
      <c r="AT31" s="89">
        <v>23.94</v>
      </c>
      <c r="AU31" s="250" t="s">
        <v>639</v>
      </c>
      <c r="AV31" s="86">
        <v>42</v>
      </c>
      <c r="AW31" s="86">
        <v>51</v>
      </c>
      <c r="AX31" s="89">
        <v>25.38</v>
      </c>
    </row>
    <row r="32" spans="1:50" s="141" customFormat="1" ht="13.5" customHeight="1">
      <c r="A32" s="81"/>
      <c r="B32" s="82"/>
      <c r="C32" s="83"/>
      <c r="D32" s="83"/>
      <c r="E32" s="83"/>
      <c r="F32" s="83"/>
      <c r="G32" s="43"/>
      <c r="H32" s="41"/>
      <c r="I32" s="89"/>
      <c r="J32" s="89"/>
      <c r="K32" s="89"/>
      <c r="L32" s="89"/>
      <c r="M32" s="89"/>
      <c r="N32" s="89"/>
      <c r="O32" s="91"/>
      <c r="P32" s="88"/>
      <c r="Q32" s="89"/>
      <c r="R32" s="33"/>
      <c r="S32" s="82"/>
      <c r="T32" s="84"/>
      <c r="U32" s="89"/>
      <c r="V32" s="91"/>
      <c r="W32" s="84"/>
      <c r="X32" s="89"/>
      <c r="Y32" s="91"/>
      <c r="Z32" s="84"/>
      <c r="AA32" s="91"/>
      <c r="AB32" s="89"/>
      <c r="AC32" s="91"/>
      <c r="AD32" s="247"/>
      <c r="AE32" s="154"/>
      <c r="AF32" s="90"/>
      <c r="AG32" s="158"/>
      <c r="AH32" s="527"/>
      <c r="AI32" s="81"/>
      <c r="AJ32" s="84"/>
      <c r="AK32" s="248"/>
      <c r="AL32" s="83"/>
      <c r="AM32" s="83"/>
      <c r="AN32" s="83"/>
      <c r="AO32" s="83"/>
      <c r="AP32" s="249"/>
      <c r="AQ32" s="249"/>
      <c r="AR32" s="86"/>
      <c r="AS32" s="86"/>
      <c r="AT32" s="89"/>
      <c r="AU32" s="250"/>
      <c r="AV32" s="86"/>
      <c r="AW32" s="86"/>
      <c r="AX32" s="89"/>
    </row>
    <row r="33" spans="1:50" s="434" customFormat="1" ht="13.5" customHeight="1">
      <c r="A33" s="387" t="s">
        <v>1618</v>
      </c>
      <c r="B33" s="388">
        <v>23</v>
      </c>
      <c r="C33" s="389">
        <v>200</v>
      </c>
      <c r="D33" s="389">
        <v>100</v>
      </c>
      <c r="E33" s="389">
        <v>10</v>
      </c>
      <c r="F33" s="389">
        <v>15</v>
      </c>
      <c r="G33" s="399">
        <v>7.5</v>
      </c>
      <c r="H33" s="407">
        <v>29.24</v>
      </c>
      <c r="I33" s="396">
        <v>6.93</v>
      </c>
      <c r="J33" s="396">
        <v>2.0099999999999998</v>
      </c>
      <c r="K33" s="396">
        <v>13.15</v>
      </c>
      <c r="L33" s="396">
        <v>8.74</v>
      </c>
      <c r="M33" s="396">
        <v>3.72</v>
      </c>
      <c r="N33" s="396">
        <v>5.94</v>
      </c>
      <c r="O33" s="392">
        <v>2.09</v>
      </c>
      <c r="P33" s="395">
        <v>0.58699999999999997</v>
      </c>
      <c r="Q33" s="396">
        <v>25.58</v>
      </c>
      <c r="R33" s="387" t="s">
        <v>1618</v>
      </c>
      <c r="S33" s="388">
        <v>23</v>
      </c>
      <c r="T33" s="393">
        <v>1219</v>
      </c>
      <c r="U33" s="396">
        <v>93.24</v>
      </c>
      <c r="V33" s="392">
        <v>6.46</v>
      </c>
      <c r="W33" s="390">
        <v>210.3</v>
      </c>
      <c r="X33" s="396">
        <v>26.33</v>
      </c>
      <c r="Y33" s="392">
        <v>2.68</v>
      </c>
      <c r="Z33" s="393">
        <v>1294</v>
      </c>
      <c r="AA33" s="392">
        <v>6.65</v>
      </c>
      <c r="AB33" s="390">
        <v>134.5</v>
      </c>
      <c r="AC33" s="392">
        <v>2.14</v>
      </c>
      <c r="AD33" s="518">
        <v>-286.8</v>
      </c>
      <c r="AE33" s="397">
        <v>14.82</v>
      </c>
      <c r="AF33" s="391">
        <v>4</v>
      </c>
      <c r="AG33" s="414">
        <v>4</v>
      </c>
      <c r="AH33" s="527"/>
      <c r="AI33" s="387" t="s">
        <v>1618</v>
      </c>
      <c r="AJ33" s="390">
        <v>23</v>
      </c>
      <c r="AK33" s="520">
        <v>200</v>
      </c>
      <c r="AL33" s="389">
        <v>100</v>
      </c>
      <c r="AM33" s="389">
        <v>10</v>
      </c>
      <c r="AN33" s="389">
        <v>15</v>
      </c>
      <c r="AO33" s="389">
        <v>7.5</v>
      </c>
      <c r="AP33" s="521">
        <v>29.24</v>
      </c>
      <c r="AQ33" s="521" t="s">
        <v>667</v>
      </c>
      <c r="AR33" s="393">
        <v>54</v>
      </c>
      <c r="AS33" s="393">
        <v>150</v>
      </c>
      <c r="AT33" s="396">
        <v>26.24</v>
      </c>
      <c r="AU33" s="522" t="s">
        <v>667</v>
      </c>
      <c r="AV33" s="393">
        <v>51</v>
      </c>
      <c r="AW33" s="393">
        <v>53</v>
      </c>
      <c r="AX33" s="396">
        <v>26.24</v>
      </c>
    </row>
    <row r="34" spans="1:50" s="141" customFormat="1" ht="13.5" customHeight="1">
      <c r="A34" s="81" t="s">
        <v>1619</v>
      </c>
      <c r="B34" s="82">
        <v>27.3</v>
      </c>
      <c r="C34" s="83">
        <v>200</v>
      </c>
      <c r="D34" s="83">
        <v>100</v>
      </c>
      <c r="E34" s="83">
        <v>12</v>
      </c>
      <c r="F34" s="83">
        <v>15</v>
      </c>
      <c r="G34" s="43">
        <v>7.5</v>
      </c>
      <c r="H34" s="41">
        <v>34.799999999999997</v>
      </c>
      <c r="I34" s="89">
        <v>7.03</v>
      </c>
      <c r="J34" s="89">
        <v>2.1</v>
      </c>
      <c r="K34" s="89">
        <v>13.08</v>
      </c>
      <c r="L34" s="89">
        <v>8.81</v>
      </c>
      <c r="M34" s="89">
        <v>3.82</v>
      </c>
      <c r="N34" s="89">
        <v>5.89</v>
      </c>
      <c r="O34" s="91">
        <v>2.17</v>
      </c>
      <c r="P34" s="88">
        <v>0.58699999999999997</v>
      </c>
      <c r="Q34" s="89">
        <v>21.49</v>
      </c>
      <c r="R34" s="81" t="s">
        <v>1619</v>
      </c>
      <c r="S34" s="82">
        <v>27.3</v>
      </c>
      <c r="T34" s="86">
        <v>1440</v>
      </c>
      <c r="U34" s="84">
        <v>111</v>
      </c>
      <c r="V34" s="91">
        <v>6.43</v>
      </c>
      <c r="W34" s="84">
        <v>247.2</v>
      </c>
      <c r="X34" s="89">
        <v>31.28</v>
      </c>
      <c r="Y34" s="91">
        <v>2.67</v>
      </c>
      <c r="Z34" s="86">
        <v>1529</v>
      </c>
      <c r="AA34" s="91">
        <v>6.63</v>
      </c>
      <c r="AB34" s="84">
        <v>158.5</v>
      </c>
      <c r="AC34" s="91">
        <v>2.13</v>
      </c>
      <c r="AD34" s="247">
        <v>-337.3</v>
      </c>
      <c r="AE34" s="154">
        <v>14.74</v>
      </c>
      <c r="AF34" s="90">
        <v>4</v>
      </c>
      <c r="AG34" s="158">
        <v>4</v>
      </c>
      <c r="AH34" s="527"/>
      <c r="AI34" s="81" t="s">
        <v>1619</v>
      </c>
      <c r="AJ34" s="84">
        <v>27.3</v>
      </c>
      <c r="AK34" s="248">
        <v>200</v>
      </c>
      <c r="AL34" s="83">
        <v>100</v>
      </c>
      <c r="AM34" s="83">
        <v>12</v>
      </c>
      <c r="AN34" s="83">
        <v>15</v>
      </c>
      <c r="AO34" s="83">
        <v>7.5</v>
      </c>
      <c r="AP34" s="249">
        <v>34.799999999999997</v>
      </c>
      <c r="AQ34" s="249" t="s">
        <v>667</v>
      </c>
      <c r="AR34" s="86">
        <v>54</v>
      </c>
      <c r="AS34" s="86">
        <v>150</v>
      </c>
      <c r="AT34" s="89">
        <v>31.2</v>
      </c>
      <c r="AU34" s="250" t="s">
        <v>667</v>
      </c>
      <c r="AV34" s="86">
        <v>53</v>
      </c>
      <c r="AW34" s="86">
        <v>53</v>
      </c>
      <c r="AX34" s="89">
        <v>31.2</v>
      </c>
    </row>
    <row r="35" spans="1:50" s="434" customFormat="1" ht="13.5" customHeight="1">
      <c r="A35" s="387" t="s">
        <v>1620</v>
      </c>
      <c r="B35" s="388">
        <v>31.6</v>
      </c>
      <c r="C35" s="389">
        <v>200</v>
      </c>
      <c r="D35" s="389">
        <v>100</v>
      </c>
      <c r="E35" s="389">
        <v>14</v>
      </c>
      <c r="F35" s="389">
        <v>15</v>
      </c>
      <c r="G35" s="399">
        <v>7.5</v>
      </c>
      <c r="H35" s="407">
        <v>40.28</v>
      </c>
      <c r="I35" s="396">
        <v>7.12</v>
      </c>
      <c r="J35" s="396">
        <v>2.1800000000000002</v>
      </c>
      <c r="K35" s="396">
        <v>13.01</v>
      </c>
      <c r="L35" s="396">
        <v>8.86</v>
      </c>
      <c r="M35" s="396">
        <v>3.91</v>
      </c>
      <c r="N35" s="396">
        <v>5.85</v>
      </c>
      <c r="O35" s="392">
        <v>2.2400000000000002</v>
      </c>
      <c r="P35" s="395">
        <v>0.58699999999999997</v>
      </c>
      <c r="Q35" s="396">
        <v>18.57</v>
      </c>
      <c r="R35" s="404" t="s">
        <v>1620</v>
      </c>
      <c r="S35" s="388">
        <v>31.6</v>
      </c>
      <c r="T35" s="393">
        <v>1654</v>
      </c>
      <c r="U35" s="390">
        <v>128.4</v>
      </c>
      <c r="V35" s="392">
        <v>6.41</v>
      </c>
      <c r="W35" s="390">
        <v>282.2</v>
      </c>
      <c r="X35" s="396">
        <v>36.08</v>
      </c>
      <c r="Y35" s="392">
        <v>2.65</v>
      </c>
      <c r="Z35" s="393">
        <v>1755</v>
      </c>
      <c r="AA35" s="392">
        <v>6.6</v>
      </c>
      <c r="AB35" s="390">
        <v>181.7</v>
      </c>
      <c r="AC35" s="392">
        <v>2.12</v>
      </c>
      <c r="AD35" s="518">
        <v>-384.8</v>
      </c>
      <c r="AE35" s="397">
        <v>14.65</v>
      </c>
      <c r="AF35" s="391">
        <v>3</v>
      </c>
      <c r="AG35" s="414">
        <v>4</v>
      </c>
      <c r="AH35" s="527"/>
      <c r="AI35" s="387" t="s">
        <v>1620</v>
      </c>
      <c r="AJ35" s="390">
        <v>31.6</v>
      </c>
      <c r="AK35" s="520">
        <v>200</v>
      </c>
      <c r="AL35" s="389">
        <v>100</v>
      </c>
      <c r="AM35" s="389">
        <v>14</v>
      </c>
      <c r="AN35" s="389">
        <v>15</v>
      </c>
      <c r="AO35" s="389">
        <v>7.5</v>
      </c>
      <c r="AP35" s="521">
        <v>40.28</v>
      </c>
      <c r="AQ35" s="521" t="s">
        <v>667</v>
      </c>
      <c r="AR35" s="393">
        <v>55</v>
      </c>
      <c r="AS35" s="393">
        <v>151</v>
      </c>
      <c r="AT35" s="396">
        <v>36.08</v>
      </c>
      <c r="AU35" s="522" t="s">
        <v>656</v>
      </c>
      <c r="AV35" s="393">
        <v>52</v>
      </c>
      <c r="AW35" s="393">
        <v>59</v>
      </c>
      <c r="AX35" s="396">
        <v>36.64</v>
      </c>
    </row>
    <row r="36" spans="1:50" s="141" customFormat="1" ht="13.5" customHeight="1">
      <c r="A36" s="81"/>
      <c r="B36" s="82"/>
      <c r="C36" s="83"/>
      <c r="D36" s="83"/>
      <c r="E36" s="83"/>
      <c r="F36" s="83"/>
      <c r="G36" s="43"/>
      <c r="H36" s="41"/>
      <c r="I36" s="89"/>
      <c r="J36" s="89"/>
      <c r="K36" s="89"/>
      <c r="L36" s="89"/>
      <c r="M36" s="89"/>
      <c r="N36" s="89"/>
      <c r="O36" s="91"/>
      <c r="P36" s="88"/>
      <c r="Q36" s="89"/>
      <c r="R36" s="33"/>
      <c r="S36" s="82"/>
      <c r="T36" s="84"/>
      <c r="U36" s="89"/>
      <c r="V36" s="91"/>
      <c r="W36" s="84"/>
      <c r="X36" s="89"/>
      <c r="Y36" s="91"/>
      <c r="Z36" s="84"/>
      <c r="AA36" s="91"/>
      <c r="AB36" s="89"/>
      <c r="AC36" s="91"/>
      <c r="AD36" s="247"/>
      <c r="AE36" s="154"/>
      <c r="AF36" s="90"/>
      <c r="AG36" s="158"/>
      <c r="AH36" s="527"/>
      <c r="AI36" s="81"/>
      <c r="AJ36" s="84"/>
      <c r="AK36" s="248"/>
      <c r="AL36" s="83"/>
      <c r="AM36" s="83"/>
      <c r="AN36" s="83"/>
      <c r="AO36" s="83"/>
      <c r="AP36" s="249"/>
      <c r="AQ36" s="249"/>
      <c r="AR36" s="86"/>
      <c r="AS36" s="86"/>
      <c r="AT36" s="89"/>
      <c r="AU36" s="250"/>
      <c r="AV36" s="86"/>
      <c r="AW36" s="86"/>
      <c r="AX36" s="89"/>
    </row>
    <row r="37" spans="1:50" s="141" customFormat="1" ht="13.5" hidden="1" customHeight="1">
      <c r="A37" s="81"/>
      <c r="B37" s="82"/>
      <c r="C37" s="83"/>
      <c r="D37" s="83"/>
      <c r="E37" s="83"/>
      <c r="F37" s="83"/>
      <c r="G37" s="43"/>
      <c r="H37" s="41"/>
      <c r="I37" s="89"/>
      <c r="J37" s="89"/>
      <c r="K37" s="89"/>
      <c r="L37" s="89"/>
      <c r="M37" s="89"/>
      <c r="N37" s="89"/>
      <c r="O37" s="91"/>
      <c r="P37" s="88"/>
      <c r="Q37" s="89"/>
      <c r="R37" s="33"/>
      <c r="S37" s="82"/>
      <c r="T37" s="86"/>
      <c r="U37" s="89"/>
      <c r="V37" s="91"/>
      <c r="W37" s="84"/>
      <c r="X37" s="89"/>
      <c r="Y37" s="91"/>
      <c r="Z37" s="86"/>
      <c r="AA37" s="91"/>
      <c r="AB37" s="84"/>
      <c r="AC37" s="91"/>
      <c r="AD37" s="247"/>
      <c r="AE37" s="154"/>
      <c r="AF37" s="90"/>
      <c r="AG37" s="158"/>
      <c r="AH37" s="246"/>
      <c r="AI37" s="81"/>
      <c r="AJ37" s="84"/>
      <c r="AK37" s="248"/>
      <c r="AL37" s="83"/>
      <c r="AM37" s="83"/>
      <c r="AN37" s="83"/>
      <c r="AO37" s="83"/>
      <c r="AP37" s="249"/>
      <c r="AQ37" s="249"/>
      <c r="AR37" s="86"/>
      <c r="AS37" s="86"/>
      <c r="AT37" s="89"/>
      <c r="AU37" s="250"/>
      <c r="AV37" s="86"/>
      <c r="AW37" s="86"/>
      <c r="AX37" s="89"/>
    </row>
    <row r="38" spans="1:50" s="141" customFormat="1" ht="13.5" hidden="1" customHeight="1">
      <c r="A38" s="81"/>
      <c r="B38" s="82"/>
      <c r="C38" s="83"/>
      <c r="D38" s="83"/>
      <c r="E38" s="83"/>
      <c r="F38" s="83"/>
      <c r="G38" s="43"/>
      <c r="H38" s="41"/>
      <c r="I38" s="89"/>
      <c r="J38" s="89"/>
      <c r="K38" s="89"/>
      <c r="L38" s="89"/>
      <c r="M38" s="89"/>
      <c r="N38" s="89"/>
      <c r="O38" s="91"/>
      <c r="P38" s="88"/>
      <c r="Q38" s="89"/>
      <c r="R38" s="33"/>
      <c r="S38" s="82"/>
      <c r="T38" s="86"/>
      <c r="U38" s="84"/>
      <c r="V38" s="91"/>
      <c r="W38" s="84"/>
      <c r="X38" s="89"/>
      <c r="Y38" s="91"/>
      <c r="Z38" s="86"/>
      <c r="AA38" s="91"/>
      <c r="AB38" s="84"/>
      <c r="AC38" s="91"/>
      <c r="AD38" s="247"/>
      <c r="AE38" s="154"/>
      <c r="AF38" s="90"/>
      <c r="AG38" s="158"/>
      <c r="AH38" s="246"/>
      <c r="AI38" s="81"/>
      <c r="AJ38" s="84"/>
      <c r="AK38" s="248"/>
      <c r="AL38" s="83"/>
      <c r="AM38" s="83"/>
      <c r="AN38" s="83"/>
      <c r="AO38" s="83"/>
      <c r="AP38" s="249"/>
      <c r="AQ38" s="249"/>
      <c r="AR38" s="86"/>
      <c r="AS38" s="86"/>
      <c r="AT38" s="89"/>
      <c r="AU38" s="250"/>
      <c r="AV38" s="86"/>
      <c r="AW38" s="86"/>
      <c r="AX38" s="89"/>
    </row>
    <row r="39" spans="1:50" s="141" customFormat="1" ht="13.5" hidden="1" customHeight="1">
      <c r="A39" s="81"/>
      <c r="B39" s="82"/>
      <c r="C39" s="83"/>
      <c r="D39" s="83"/>
      <c r="E39" s="83"/>
      <c r="F39" s="83"/>
      <c r="G39" s="43"/>
      <c r="H39" s="41"/>
      <c r="I39" s="89"/>
      <c r="J39" s="89"/>
      <c r="K39" s="89"/>
      <c r="L39" s="89"/>
      <c r="M39" s="89"/>
      <c r="N39" s="89"/>
      <c r="O39" s="91"/>
      <c r="P39" s="88"/>
      <c r="Q39" s="89"/>
      <c r="R39" s="33"/>
      <c r="S39" s="82"/>
      <c r="T39" s="86"/>
      <c r="U39" s="84"/>
      <c r="V39" s="91"/>
      <c r="W39" s="84"/>
      <c r="X39" s="89"/>
      <c r="Y39" s="91"/>
      <c r="Z39" s="86"/>
      <c r="AA39" s="91"/>
      <c r="AB39" s="84"/>
      <c r="AC39" s="91"/>
      <c r="AD39" s="247"/>
      <c r="AE39" s="154"/>
      <c r="AF39" s="90"/>
      <c r="AG39" s="158"/>
      <c r="AH39" s="246"/>
      <c r="AI39" s="81"/>
      <c r="AJ39" s="84"/>
      <c r="AK39" s="248"/>
      <c r="AL39" s="83"/>
      <c r="AM39" s="83"/>
      <c r="AN39" s="83"/>
      <c r="AO39" s="83"/>
      <c r="AP39" s="249"/>
      <c r="AQ39" s="249"/>
      <c r="AR39" s="86"/>
      <c r="AS39" s="86"/>
      <c r="AT39" s="89"/>
      <c r="AU39" s="250"/>
      <c r="AV39" s="86"/>
      <c r="AW39" s="86"/>
      <c r="AX39" s="89"/>
    </row>
    <row r="40" spans="1:50" s="141" customFormat="1" ht="13.5" hidden="1" customHeight="1" thickBot="1">
      <c r="A40" s="81"/>
      <c r="B40" s="82"/>
      <c r="C40" s="83"/>
      <c r="D40" s="83"/>
      <c r="E40" s="83"/>
      <c r="F40" s="83"/>
      <c r="G40" s="90"/>
      <c r="H40" s="90"/>
      <c r="I40" s="83"/>
      <c r="J40" s="89"/>
      <c r="K40" s="89"/>
      <c r="L40" s="89"/>
      <c r="M40" s="89"/>
      <c r="N40" s="89"/>
      <c r="O40" s="91"/>
      <c r="P40" s="83"/>
      <c r="Q40" s="83"/>
      <c r="R40" s="81"/>
      <c r="S40" s="90"/>
      <c r="T40" s="83"/>
      <c r="U40" s="83"/>
      <c r="V40" s="91"/>
      <c r="W40" s="84"/>
      <c r="X40" s="83"/>
      <c r="Y40" s="91"/>
      <c r="Z40" s="83"/>
      <c r="AA40" s="90"/>
      <c r="AB40" s="83"/>
      <c r="AC40" s="90"/>
      <c r="AD40" s="247"/>
      <c r="AE40" s="251"/>
      <c r="AF40" s="252"/>
      <c r="AG40" s="253"/>
      <c r="AH40" s="246"/>
      <c r="AI40" s="81"/>
      <c r="AJ40" s="83"/>
      <c r="AK40" s="248"/>
      <c r="AL40" s="83"/>
      <c r="AM40" s="83"/>
      <c r="AN40" s="83"/>
      <c r="AO40" s="83"/>
      <c r="AP40" s="249"/>
      <c r="AQ40" s="250"/>
      <c r="AR40" s="86"/>
      <c r="AS40" s="86"/>
      <c r="AT40" s="89"/>
      <c r="AU40" s="250"/>
      <c r="AV40" s="86"/>
      <c r="AW40" s="86"/>
      <c r="AX40" s="89"/>
    </row>
    <row r="41" spans="1:50" ht="13.5" hidden="1" customHeight="1" thickTop="1"/>
    <row r="42" spans="1:50" ht="13.5" hidden="1" customHeight="1"/>
    <row r="43" spans="1:50" ht="13.5" hidden="1" customHeight="1"/>
    <row r="44" spans="1:50" ht="13.5" hidden="1" customHeight="1"/>
    <row r="45" spans="1:50" ht="13.5" hidden="1" customHeight="1"/>
    <row r="46" spans="1:50" ht="13.5" hidden="1" customHeight="1"/>
    <row r="47" spans="1:50" ht="13.5" hidden="1" customHeight="1">
      <c r="A47" s="125"/>
      <c r="B47" s="62"/>
      <c r="C47" s="62"/>
      <c r="D47" s="62"/>
      <c r="E47"/>
      <c r="F47" s="125"/>
      <c r="G47" s="62"/>
      <c r="H47" s="62"/>
      <c r="I47" s="62"/>
      <c r="J47"/>
      <c r="L47" s="125"/>
    </row>
    <row r="48" spans="1:50" ht="13.5" hidden="1" customHeight="1">
      <c r="A48" s="169"/>
      <c r="B48" s="255"/>
      <c r="C48" s="255"/>
      <c r="D48" s="255"/>
      <c r="E48"/>
      <c r="F48" s="169"/>
      <c r="G48" s="255"/>
      <c r="H48" s="255"/>
      <c r="I48" s="255"/>
      <c r="J48"/>
      <c r="L48" s="169"/>
    </row>
    <row r="49" spans="1:12" ht="13.5" hidden="1" customHeight="1">
      <c r="A49" s="169"/>
      <c r="B49" s="255"/>
      <c r="C49" s="255"/>
      <c r="D49" s="255"/>
      <c r="E49"/>
      <c r="F49" s="169"/>
      <c r="G49" s="255"/>
      <c r="H49" s="255"/>
      <c r="I49" s="255"/>
      <c r="J49"/>
      <c r="L49" s="169"/>
    </row>
    <row r="50" spans="1:12" ht="13.5" hidden="1" customHeight="1">
      <c r="A50" s="169"/>
      <c r="B50" s="255"/>
      <c r="C50" s="255"/>
      <c r="D50" s="255"/>
      <c r="E50"/>
      <c r="F50" s="169"/>
      <c r="G50" s="255"/>
      <c r="H50" s="255"/>
      <c r="I50" s="255"/>
      <c r="J50"/>
      <c r="L50" s="169"/>
    </row>
    <row r="51" spans="1:12" ht="13.5" hidden="1" customHeight="1">
      <c r="A51" s="169"/>
      <c r="B51" s="255"/>
      <c r="C51" s="255"/>
      <c r="D51" s="255"/>
      <c r="E51"/>
      <c r="F51" s="169"/>
      <c r="G51" s="255"/>
      <c r="H51" s="255"/>
      <c r="I51" s="255"/>
      <c r="J51"/>
      <c r="L51" s="169"/>
    </row>
    <row r="52" spans="1:12" ht="13.5" hidden="1" customHeight="1">
      <c r="A52" s="57"/>
      <c r="B52" s="7"/>
      <c r="C52" s="7"/>
      <c r="D52" s="7"/>
      <c r="F52" s="57"/>
      <c r="G52" s="7"/>
      <c r="H52" s="7"/>
      <c r="I52" s="7"/>
      <c r="J52" s="7"/>
      <c r="L52" s="57"/>
    </row>
    <row r="53" spans="1:12" ht="13.5" hidden="1" customHeight="1"/>
    <row r="54" spans="1:12" ht="13.5" hidden="1" customHeight="1"/>
    <row r="55" spans="1:12" ht="13.5" hidden="1" customHeight="1"/>
    <row r="56" spans="1:12" ht="13.5" hidden="1" customHeight="1"/>
    <row r="57" spans="1:12" ht="13.5" hidden="1" customHeight="1"/>
    <row r="58" spans="1:12" ht="13.5" hidden="1" customHeight="1"/>
    <row r="59" spans="1:12" ht="13.5" hidden="1" customHeight="1"/>
    <row r="60" spans="1:12" ht="13.5" hidden="1" customHeight="1"/>
    <row r="61" spans="1:12" ht="13.5" hidden="1" customHeight="1"/>
    <row r="62" spans="1:12" ht="13.5" hidden="1" customHeight="1"/>
    <row r="63" spans="1:12" ht="13.5" hidden="1" customHeight="1"/>
    <row r="64" spans="1:12" ht="13.5" hidden="1" customHeight="1"/>
    <row r="65" ht="13.5" hidden="1" customHeight="1"/>
    <row r="66" ht="13.5" hidden="1" customHeight="1"/>
    <row r="67" ht="13.5" hidden="1" customHeight="1"/>
    <row r="68" ht="13.5" hidden="1" customHeight="1"/>
    <row r="69" ht="13.5" hidden="1" customHeight="1"/>
    <row r="70" ht="13.5" hidden="1" customHeight="1"/>
    <row r="71" ht="13.5" hidden="1" customHeight="1"/>
    <row r="72" ht="13.5" hidden="1" customHeight="1"/>
    <row r="73" ht="13.5" hidden="1" customHeight="1"/>
    <row r="74" ht="13.5" hidden="1" customHeight="1"/>
    <row r="75" ht="13.5" hidden="1" customHeight="1"/>
    <row r="76" ht="13.5" hidden="1" customHeight="1"/>
    <row r="77" ht="13.5" hidden="1" customHeight="1"/>
    <row r="78" ht="13.5" hidden="1" customHeight="1"/>
    <row r="79" ht="13.5" hidden="1" customHeight="1"/>
    <row r="80" ht="13.5" hidden="1" customHeight="1"/>
    <row r="81" ht="13.5" hidden="1" customHeight="1"/>
    <row r="82" ht="13.5" hidden="1" customHeight="1"/>
    <row r="83" ht="13.5" hidden="1" customHeight="1"/>
    <row r="84" ht="13.5" hidden="1" customHeight="1"/>
    <row r="85" ht="13.5" hidden="1" customHeight="1"/>
    <row r="86" ht="13.5" hidden="1" customHeight="1"/>
    <row r="87" ht="13.5" hidden="1" customHeight="1"/>
    <row r="88" ht="13.5" hidden="1" customHeight="1"/>
    <row r="89" ht="13.5" hidden="1" customHeight="1"/>
    <row r="90" ht="13.5" hidden="1" customHeight="1"/>
    <row r="91" ht="13.5" hidden="1" customHeight="1"/>
    <row r="92" ht="13.5" hidden="1" customHeight="1"/>
    <row r="93" ht="13.5" hidden="1" customHeight="1"/>
    <row r="94" ht="13.5" hidden="1" customHeight="1"/>
    <row r="95" ht="13.5" hidden="1" customHeight="1"/>
    <row r="96" ht="13.5" hidden="1" customHeight="1"/>
    <row r="97" ht="13.5" hidden="1" customHeight="1"/>
    <row r="98" ht="13.5" hidden="1" customHeight="1"/>
    <row r="99" ht="13.5" hidden="1" customHeight="1"/>
    <row r="100" ht="13.5" hidden="1" customHeight="1"/>
    <row r="101" ht="13.5" hidden="1" customHeight="1"/>
    <row r="102" ht="13.5" hidden="1" customHeight="1"/>
    <row r="103" ht="13.5" hidden="1" customHeight="1"/>
    <row r="104" ht="13.5" hidden="1" customHeight="1"/>
    <row r="105" ht="13.5" hidden="1" customHeight="1"/>
    <row r="106" ht="13.5" hidden="1" customHeight="1"/>
    <row r="107" ht="13.5" hidden="1" customHeight="1"/>
    <row r="108" ht="13.5" hidden="1" customHeight="1"/>
    <row r="109" ht="13.5" hidden="1" customHeight="1"/>
    <row r="110" ht="13.5" hidden="1" customHeight="1"/>
    <row r="111" ht="13.5" hidden="1" customHeight="1"/>
    <row r="112" ht="13.5" hidden="1" customHeight="1"/>
    <row r="113" ht="13.5" hidden="1" customHeight="1"/>
    <row r="114" ht="13.5" hidden="1" customHeight="1"/>
    <row r="115" ht="13.5" hidden="1" customHeight="1"/>
    <row r="116" ht="13.5" hidden="1" customHeight="1"/>
    <row r="117" ht="13.5" hidden="1" customHeight="1"/>
    <row r="118" ht="13.5" hidden="1" customHeight="1"/>
    <row r="119" ht="13.5" hidden="1" customHeight="1"/>
    <row r="120" ht="13.5" hidden="1" customHeight="1"/>
    <row r="121" ht="13.5" hidden="1" customHeight="1"/>
    <row r="122" ht="13.5" hidden="1" customHeight="1"/>
    <row r="123" ht="13.5" hidden="1" customHeight="1"/>
    <row r="124" ht="13.5" hidden="1" customHeight="1"/>
    <row r="125" ht="13.5" hidden="1" customHeight="1"/>
    <row r="126" ht="13.5" hidden="1" customHeight="1"/>
    <row r="127" ht="13.5" hidden="1" customHeight="1"/>
    <row r="128" ht="13.5" hidden="1" customHeight="1"/>
    <row r="129" ht="13.5" hidden="1" customHeight="1"/>
    <row r="130" ht="13.5" hidden="1" customHeight="1"/>
    <row r="131" ht="13.5" hidden="1" customHeight="1"/>
    <row r="132" ht="13.5" hidden="1" customHeight="1"/>
    <row r="133" ht="13.5" hidden="1" customHeight="1"/>
    <row r="134" ht="13.5" hidden="1" customHeight="1"/>
    <row r="135" ht="13.5" hidden="1" customHeight="1"/>
    <row r="136" ht="13.5" hidden="1" customHeight="1"/>
    <row r="137" ht="13.5" hidden="1" customHeight="1"/>
    <row r="138" ht="13.5" hidden="1" customHeight="1"/>
    <row r="139" ht="13.5" hidden="1" customHeight="1"/>
    <row r="140" ht="13.5" hidden="1" customHeight="1"/>
    <row r="141" ht="13.5" hidden="1" customHeight="1"/>
    <row r="142" ht="13.5" hidden="1" customHeight="1"/>
    <row r="143" ht="13.5" hidden="1" customHeight="1"/>
    <row r="144" ht="13.5" hidden="1" customHeight="1"/>
    <row r="145" ht="13.5" hidden="1" customHeight="1"/>
    <row r="146" ht="13.5" hidden="1" customHeight="1"/>
    <row r="147" ht="13.5" hidden="1" customHeight="1"/>
    <row r="148" ht="13.5" hidden="1" customHeight="1"/>
    <row r="149" ht="13.5" hidden="1" customHeight="1"/>
    <row r="150" ht="13.5" hidden="1" customHeight="1"/>
    <row r="151" ht="13.5" hidden="1" customHeight="1"/>
    <row r="152" ht="13.5" hidden="1" customHeight="1"/>
    <row r="153" ht="13.5" hidden="1" customHeight="1"/>
    <row r="154" ht="13.5" hidden="1" customHeight="1"/>
    <row r="155" ht="13.5" hidden="1" customHeight="1"/>
    <row r="156" ht="13.5" hidden="1" customHeight="1"/>
    <row r="157" ht="13.5" hidden="1" customHeight="1"/>
    <row r="158" ht="13.5" hidden="1" customHeight="1"/>
    <row r="159" ht="13.5" hidden="1" customHeight="1"/>
    <row r="160" ht="13.5" hidden="1" customHeight="1"/>
    <row r="161" ht="13.5" hidden="1" customHeight="1"/>
    <row r="162" ht="13.5" hidden="1" customHeight="1"/>
    <row r="163" ht="13.5" hidden="1" customHeight="1"/>
    <row r="164" ht="13.5" hidden="1" customHeight="1"/>
    <row r="165" ht="13.5" hidden="1" customHeight="1"/>
    <row r="166" ht="13.5" hidden="1" customHeight="1"/>
    <row r="167" ht="13.5" hidden="1" customHeight="1"/>
    <row r="168" ht="13.5" hidden="1" customHeight="1"/>
    <row r="169" ht="13.5" hidden="1" customHeight="1"/>
    <row r="170" ht="13.5" hidden="1" customHeight="1"/>
    <row r="171" ht="13.5" hidden="1" customHeight="1"/>
    <row r="172" ht="13.5" hidden="1" customHeight="1"/>
    <row r="173" ht="13.5" hidden="1" customHeight="1"/>
    <row r="174" ht="13.5" hidden="1" customHeight="1"/>
    <row r="175" ht="13.5" hidden="1" customHeight="1"/>
    <row r="176" ht="13.5" hidden="1" customHeight="1"/>
    <row r="177" ht="13.5" hidden="1" customHeight="1"/>
    <row r="178" ht="13.5" hidden="1" customHeight="1"/>
    <row r="179" ht="13.5" hidden="1" customHeight="1"/>
    <row r="180" ht="13.5" hidden="1" customHeight="1"/>
    <row r="181" ht="13.5" hidden="1" customHeight="1"/>
    <row r="182" ht="13.5" hidden="1" customHeight="1"/>
    <row r="183" ht="13.5" hidden="1" customHeight="1"/>
    <row r="184" ht="13.5" hidden="1" customHeight="1"/>
    <row r="185" ht="13.5" hidden="1" customHeight="1"/>
    <row r="186" ht="13.5" hidden="1" customHeight="1"/>
    <row r="187" ht="13.5" hidden="1" customHeight="1"/>
    <row r="188" ht="13.5" hidden="1" customHeight="1"/>
    <row r="189" ht="13.5" hidden="1" customHeight="1"/>
    <row r="190" ht="13.5" hidden="1" customHeight="1"/>
    <row r="191" ht="13.5" hidden="1" customHeight="1"/>
    <row r="192" ht="13.5" hidden="1" customHeight="1"/>
    <row r="193" ht="13.5" hidden="1" customHeight="1"/>
    <row r="194" ht="13.5" hidden="1" customHeight="1"/>
    <row r="195" ht="13.5" hidden="1" customHeight="1"/>
    <row r="196" ht="13.5" hidden="1" customHeight="1"/>
    <row r="197" ht="13.5" hidden="1" customHeight="1"/>
    <row r="198" ht="13.5" hidden="1" customHeight="1"/>
    <row r="199" ht="13.5" hidden="1" customHeight="1"/>
    <row r="200" ht="13.5" hidden="1" customHeight="1"/>
    <row r="201" ht="13.5" hidden="1" customHeight="1"/>
    <row r="202" ht="13.5" hidden="1" customHeight="1"/>
    <row r="203" ht="13.5" hidden="1" customHeight="1"/>
    <row r="204" ht="13.5" hidden="1" customHeight="1"/>
    <row r="205" ht="13.5" hidden="1" customHeight="1"/>
    <row r="206" ht="13.5" hidden="1" customHeight="1"/>
    <row r="207" ht="13.5" hidden="1" customHeight="1"/>
    <row r="208" ht="13.5" hidden="1" customHeight="1"/>
    <row r="209" ht="13.5" hidden="1" customHeight="1"/>
    <row r="210" ht="13.5" hidden="1" customHeight="1"/>
    <row r="211" ht="13.5" hidden="1" customHeight="1"/>
    <row r="212" ht="13.5" hidden="1" customHeight="1"/>
    <row r="213" ht="13.5" hidden="1" customHeight="1"/>
    <row r="214" ht="13.5" hidden="1" customHeight="1"/>
    <row r="215" ht="13.5" hidden="1" customHeight="1"/>
    <row r="216" ht="13.5" hidden="1" customHeight="1"/>
    <row r="217" ht="13.5" hidden="1" customHeight="1"/>
    <row r="218" ht="13.5" hidden="1" customHeight="1"/>
    <row r="219" ht="13.5" hidden="1" customHeight="1"/>
    <row r="220" ht="13.5" hidden="1" customHeight="1"/>
    <row r="221" ht="13.5" hidden="1" customHeight="1"/>
    <row r="222" ht="13.5" hidden="1" customHeight="1"/>
    <row r="223" ht="13.5" hidden="1" customHeight="1"/>
    <row r="224" ht="13.5" hidden="1" customHeight="1"/>
    <row r="225" ht="13.5" hidden="1" customHeight="1"/>
    <row r="226" ht="13.5" hidden="1" customHeight="1"/>
    <row r="227" ht="13.5" hidden="1" customHeight="1"/>
    <row r="228" ht="13.5" hidden="1" customHeight="1"/>
    <row r="229" ht="13.5" hidden="1" customHeight="1"/>
    <row r="230" ht="13.5" hidden="1" customHeight="1"/>
    <row r="231" ht="13.5" hidden="1" customHeight="1"/>
    <row r="232" ht="13.5" hidden="1" customHeight="1"/>
    <row r="233" ht="13.5" hidden="1" customHeight="1"/>
    <row r="234" ht="13.5" hidden="1" customHeight="1"/>
    <row r="235" ht="13.5" hidden="1" customHeight="1"/>
    <row r="236" ht="13.5" hidden="1" customHeight="1"/>
    <row r="237" ht="13.5" hidden="1" customHeight="1"/>
    <row r="238" ht="13.5" hidden="1" customHeight="1"/>
    <row r="239" ht="13.5" hidden="1" customHeight="1"/>
    <row r="240" ht="13.5" hidden="1" customHeight="1"/>
    <row r="241" ht="13.5" hidden="1" customHeight="1"/>
    <row r="242" ht="13.5" hidden="1" customHeight="1"/>
    <row r="243" ht="13.5" hidden="1" customHeight="1"/>
    <row r="244" ht="13.5" hidden="1" customHeight="1"/>
    <row r="245" ht="13.5" hidden="1" customHeight="1"/>
    <row r="246" ht="13.5" hidden="1" customHeight="1"/>
    <row r="247" ht="13.5" hidden="1" customHeight="1"/>
    <row r="248" ht="13.5" hidden="1" customHeight="1"/>
    <row r="249" ht="13.5" hidden="1" customHeight="1"/>
    <row r="250" ht="13.5" hidden="1" customHeight="1"/>
    <row r="251" ht="13.5" hidden="1" customHeight="1"/>
    <row r="252" ht="13.5" hidden="1" customHeight="1"/>
    <row r="253" ht="13.5" hidden="1" customHeight="1"/>
    <row r="254" ht="13.5" hidden="1" customHeight="1"/>
    <row r="255" ht="13.5" hidden="1" customHeight="1"/>
    <row r="256" ht="13.5" hidden="1" customHeight="1"/>
    <row r="257" ht="13.5" hidden="1" customHeight="1"/>
    <row r="258" ht="13.5" hidden="1" customHeight="1"/>
    <row r="259" ht="13.5" hidden="1" customHeight="1"/>
    <row r="260" ht="13.5" hidden="1" customHeight="1"/>
    <row r="261" ht="13.5" hidden="1" customHeight="1"/>
    <row r="262" ht="13.5" hidden="1" customHeight="1"/>
    <row r="263" ht="13.5" hidden="1" customHeight="1"/>
    <row r="264" ht="13.5" hidden="1" customHeight="1"/>
    <row r="265" ht="13.5" hidden="1" customHeight="1"/>
    <row r="266" ht="13.5" hidden="1" customHeight="1"/>
    <row r="267" ht="13.5" hidden="1" customHeight="1"/>
    <row r="268" ht="13.5" hidden="1" customHeight="1"/>
    <row r="269" ht="13.5" hidden="1" customHeight="1"/>
    <row r="270" ht="13.5" hidden="1" customHeight="1"/>
    <row r="271" ht="13.5" hidden="1" customHeight="1"/>
    <row r="272" ht="13.5" hidden="1" customHeight="1"/>
    <row r="273" ht="13.5" hidden="1" customHeight="1"/>
    <row r="274" ht="13.5" hidden="1" customHeight="1"/>
    <row r="275" ht="13.5" hidden="1" customHeight="1"/>
    <row r="276" ht="13.5" hidden="1" customHeight="1"/>
    <row r="277" ht="13.5" hidden="1" customHeight="1"/>
    <row r="278" ht="13.5" hidden="1" customHeight="1"/>
    <row r="279" ht="13.5" hidden="1" customHeight="1"/>
    <row r="280" ht="13.5" hidden="1" customHeight="1"/>
    <row r="281" ht="13.5" hidden="1" customHeight="1"/>
    <row r="282" ht="13.5" hidden="1" customHeight="1"/>
    <row r="283" ht="13.5" hidden="1" customHeight="1"/>
    <row r="284" ht="13.5" hidden="1" customHeight="1"/>
    <row r="285" ht="13.5" hidden="1" customHeight="1"/>
    <row r="286" ht="13.5" hidden="1" customHeight="1"/>
    <row r="287" ht="13.5" hidden="1" customHeight="1"/>
    <row r="288" ht="13.5" hidden="1" customHeight="1"/>
    <row r="289" ht="13.5" hidden="1" customHeight="1"/>
    <row r="290" ht="13.5" hidden="1" customHeight="1"/>
    <row r="291" ht="13.5" hidden="1" customHeight="1"/>
    <row r="292" ht="13.5" hidden="1" customHeight="1"/>
    <row r="293" ht="13.5" hidden="1" customHeight="1"/>
    <row r="294" ht="13.5" hidden="1" customHeight="1"/>
    <row r="295" ht="13.5" hidden="1" customHeight="1"/>
    <row r="296" ht="13.5" hidden="1" customHeight="1"/>
    <row r="297" ht="13.5" hidden="1" customHeight="1"/>
    <row r="298" ht="13.5" hidden="1" customHeight="1"/>
    <row r="299" ht="13.5" hidden="1" customHeight="1"/>
    <row r="300" ht="13.5" hidden="1" customHeight="1"/>
    <row r="301" ht="13.5" hidden="1" customHeight="1"/>
    <row r="302" ht="13.5" hidden="1" customHeight="1"/>
    <row r="303" ht="13.5" hidden="1" customHeight="1"/>
    <row r="304" ht="13.5" hidden="1" customHeight="1"/>
    <row r="305" ht="13.5" hidden="1" customHeight="1"/>
    <row r="306" ht="13.5" hidden="1" customHeight="1"/>
    <row r="307" ht="13.5" hidden="1" customHeight="1"/>
    <row r="308" ht="13.5" hidden="1" customHeight="1"/>
    <row r="309" ht="13.5" hidden="1" customHeight="1"/>
    <row r="310" ht="13.5" hidden="1" customHeight="1"/>
    <row r="311" ht="13.5" hidden="1" customHeight="1"/>
    <row r="312" ht="13.5" hidden="1" customHeight="1"/>
    <row r="313" ht="13.5" hidden="1" customHeight="1"/>
    <row r="314" ht="13.5" hidden="1" customHeight="1"/>
    <row r="315" ht="13.5" hidden="1" customHeight="1"/>
    <row r="316" ht="13.5" hidden="1" customHeight="1"/>
    <row r="317" ht="13.5" hidden="1" customHeight="1"/>
    <row r="318" ht="13.5" hidden="1" customHeight="1"/>
    <row r="319" ht="13.5" hidden="1" customHeight="1"/>
    <row r="320" ht="13.5" hidden="1" customHeight="1"/>
    <row r="321" ht="13.5" hidden="1" customHeight="1"/>
    <row r="322" ht="13.5" hidden="1" customHeight="1"/>
    <row r="323" ht="13.5" hidden="1" customHeight="1"/>
    <row r="324" ht="13.5" hidden="1" customHeight="1"/>
    <row r="325" ht="14.1" customHeight="1"/>
  </sheetData>
  <phoneticPr fontId="0" type="noConversion"/>
  <pageMargins left="0.75" right="0.75" top="1" bottom="1" header="0.4921259845" footer="0.4921259845"/>
  <pageSetup paperSize="0" scale="38" orientation="landscape" horizontalDpi="4294967292" verticalDpi="4294967292"/>
  <headerFooter alignWithMargins="0">
    <oddFooter>&amp;LLe &amp;D&amp;CProfilés &amp;A du &amp;F&amp;RPage &amp;P sur &amp;N</oddFooter>
  </headerFooter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AE321"/>
  <sheetViews>
    <sheetView workbookViewId="0"/>
  </sheetViews>
  <sheetFormatPr defaultColWidth="0" defaultRowHeight="14.1" customHeight="1" zeroHeight="1"/>
  <cols>
    <col min="1" max="1" width="10.85546875" style="103" customWidth="1"/>
    <col min="2" max="2" width="5.140625" style="94" customWidth="1"/>
    <col min="3" max="3" width="4.28515625" style="94" customWidth="1"/>
    <col min="4" max="4" width="4.140625" style="94" customWidth="1"/>
    <col min="5" max="7" width="5.140625" style="94" customWidth="1"/>
    <col min="8" max="8" width="8.42578125" style="94" customWidth="1"/>
    <col min="9" max="10" width="6.140625" style="94" customWidth="1"/>
    <col min="11" max="11" width="10.85546875" style="103" customWidth="1"/>
    <col min="12" max="12" width="4.28515625" style="152" customWidth="1"/>
    <col min="13" max="13" width="5" style="94" customWidth="1"/>
    <col min="14" max="14" width="4.85546875" style="94" customWidth="1"/>
    <col min="15" max="15" width="5.42578125" style="94" customWidth="1"/>
    <col min="16" max="16" width="4.140625" style="94" customWidth="1"/>
    <col min="17" max="17" width="5" style="94" customWidth="1"/>
    <col min="18" max="19" width="5.140625" style="94" customWidth="1"/>
    <col min="20" max="20" width="7.140625" style="94" customWidth="1"/>
    <col min="21" max="21" width="4.85546875" style="94" customWidth="1"/>
    <col min="22" max="22" width="4.140625" style="94" customWidth="1"/>
    <col min="23" max="23" width="5.42578125" style="7" customWidth="1"/>
    <col min="24" max="24" width="6" style="7" customWidth="1"/>
    <col min="25" max="25" width="4.140625" style="7" customWidth="1"/>
    <col min="26" max="30" width="4.28515625" style="7" customWidth="1"/>
    <col min="31" max="31" width="2.5703125" style="94" customWidth="1"/>
    <col min="32" max="16384" width="13.28515625" style="94" hidden="1"/>
  </cols>
  <sheetData>
    <row r="1" spans="1:31" s="62" customFormat="1" ht="18.75" customHeight="1">
      <c r="A1" s="321"/>
      <c r="B1" s="323"/>
      <c r="C1" s="322"/>
      <c r="D1" s="322"/>
      <c r="E1" s="321"/>
      <c r="F1" s="324"/>
      <c r="G1" s="322"/>
      <c r="H1" s="322"/>
      <c r="I1" s="417"/>
      <c r="J1" s="417"/>
      <c r="K1" s="473"/>
      <c r="L1" s="418"/>
      <c r="M1" s="417"/>
      <c r="N1" s="417"/>
      <c r="O1" s="417"/>
      <c r="P1" s="417"/>
      <c r="Q1" s="417"/>
      <c r="R1" s="417"/>
      <c r="S1" s="417"/>
      <c r="T1" s="417"/>
      <c r="U1" s="417"/>
      <c r="V1" s="417"/>
      <c r="W1" s="419"/>
      <c r="X1" s="419"/>
      <c r="Y1" s="419"/>
      <c r="Z1" s="419"/>
      <c r="AA1" s="419"/>
      <c r="AB1" s="419"/>
      <c r="AC1" s="419"/>
      <c r="AD1" s="419"/>
      <c r="AE1" s="417"/>
    </row>
    <row r="2" spans="1:31" s="62" customFormat="1" ht="20.25">
      <c r="A2" s="423" t="s">
        <v>1824</v>
      </c>
      <c r="B2" s="323"/>
      <c r="C2" s="322"/>
      <c r="D2" s="322"/>
      <c r="E2" s="321"/>
      <c r="F2" s="324"/>
      <c r="G2" s="322"/>
      <c r="H2" s="322"/>
      <c r="I2" s="417"/>
      <c r="J2" s="417"/>
      <c r="K2" s="321"/>
      <c r="L2" s="418"/>
      <c r="M2" s="417"/>
      <c r="N2" s="417"/>
      <c r="O2" s="417"/>
      <c r="P2" s="417"/>
      <c r="Q2" s="417"/>
      <c r="R2" s="417"/>
      <c r="S2" s="417"/>
      <c r="T2" s="417"/>
      <c r="U2" s="417"/>
      <c r="V2" s="417"/>
      <c r="W2" s="419"/>
      <c r="X2" s="419"/>
      <c r="Y2" s="419"/>
      <c r="Z2" s="419"/>
      <c r="AA2" s="419"/>
      <c r="AB2" s="419"/>
      <c r="AC2" s="419"/>
      <c r="AD2" s="419"/>
      <c r="AE2" s="417"/>
    </row>
    <row r="3" spans="1:31" s="62" customFormat="1" ht="20.25">
      <c r="A3" s="423" t="s">
        <v>1832</v>
      </c>
      <c r="B3" s="419"/>
      <c r="C3" s="419"/>
      <c r="D3" s="419"/>
      <c r="E3" s="419"/>
      <c r="F3" s="459"/>
      <c r="G3" s="459"/>
      <c r="H3" s="462"/>
      <c r="I3" s="417"/>
      <c r="J3" s="417"/>
      <c r="K3" s="419"/>
      <c r="L3" s="418"/>
      <c r="M3" s="417"/>
      <c r="N3" s="417"/>
      <c r="O3" s="417"/>
      <c r="P3" s="417"/>
      <c r="Q3" s="417"/>
      <c r="R3" s="417"/>
      <c r="S3" s="417"/>
      <c r="T3" s="417"/>
      <c r="U3" s="417"/>
      <c r="V3" s="417"/>
      <c r="W3" s="419"/>
      <c r="X3" s="419"/>
      <c r="Y3" s="419"/>
      <c r="Z3" s="419"/>
      <c r="AA3" s="419"/>
      <c r="AB3" s="419"/>
      <c r="AC3" s="419"/>
      <c r="AD3" s="419"/>
      <c r="AE3" s="417"/>
    </row>
    <row r="4" spans="1:31" s="62" customFormat="1" ht="11.25">
      <c r="A4" s="419" t="s">
        <v>1816</v>
      </c>
      <c r="B4" s="417"/>
      <c r="C4" s="417"/>
      <c r="D4" s="417"/>
      <c r="E4" s="417"/>
      <c r="F4" s="417"/>
      <c r="G4" s="417"/>
      <c r="H4" s="417"/>
      <c r="I4" s="417"/>
      <c r="J4" s="417"/>
      <c r="K4" s="417"/>
      <c r="L4" s="418"/>
      <c r="M4" s="417"/>
      <c r="N4" s="417"/>
      <c r="O4" s="417"/>
      <c r="P4" s="417"/>
      <c r="Q4" s="417"/>
      <c r="R4" s="417"/>
      <c r="S4" s="417"/>
      <c r="T4" s="417"/>
      <c r="U4" s="417"/>
      <c r="V4" s="417"/>
      <c r="W4" s="419"/>
      <c r="X4" s="419"/>
      <c r="Y4" s="419"/>
      <c r="Z4" s="419"/>
      <c r="AA4" s="419"/>
      <c r="AB4" s="419"/>
      <c r="AC4" s="419"/>
      <c r="AD4" s="419"/>
      <c r="AE4" s="417"/>
    </row>
    <row r="5" spans="1:31" s="62" customFormat="1" ht="14.1" customHeight="1">
      <c r="A5" s="477"/>
      <c r="B5" s="477"/>
      <c r="C5" s="477"/>
      <c r="D5" s="477"/>
      <c r="E5" s="477"/>
      <c r="F5" s="477"/>
      <c r="G5" s="477"/>
      <c r="H5" s="477"/>
      <c r="I5" s="417"/>
      <c r="J5" s="417"/>
      <c r="K5" s="477"/>
      <c r="L5" s="418"/>
      <c r="M5" s="417"/>
      <c r="N5" s="417"/>
      <c r="O5" s="417"/>
      <c r="P5" s="417"/>
      <c r="Q5" s="417"/>
      <c r="R5" s="417"/>
      <c r="S5" s="417"/>
      <c r="T5" s="417"/>
      <c r="U5" s="417"/>
      <c r="V5" s="417"/>
      <c r="W5" s="419"/>
      <c r="X5" s="419"/>
      <c r="Y5" s="419"/>
      <c r="Z5" s="419"/>
      <c r="AA5" s="419"/>
      <c r="AB5" s="419"/>
      <c r="AC5" s="419"/>
      <c r="AD5" s="419"/>
      <c r="AE5" s="417"/>
    </row>
    <row r="6" spans="1:31" s="62" customFormat="1" ht="14.1" customHeight="1">
      <c r="A6" s="477"/>
      <c r="B6" s="477"/>
      <c r="C6" s="477"/>
      <c r="D6" s="477"/>
      <c r="E6" s="477"/>
      <c r="F6" s="477"/>
      <c r="G6" s="477"/>
      <c r="H6" s="477"/>
      <c r="I6" s="417"/>
      <c r="J6" s="417"/>
      <c r="K6" s="477"/>
      <c r="L6" s="418"/>
      <c r="M6" s="417"/>
      <c r="N6" s="417"/>
      <c r="O6" s="417"/>
      <c r="P6" s="417"/>
      <c r="Q6" s="417"/>
      <c r="R6" s="417"/>
      <c r="S6" s="417"/>
      <c r="T6" s="417"/>
      <c r="U6" s="417"/>
      <c r="V6" s="417"/>
      <c r="W6" s="419"/>
      <c r="X6" s="419"/>
      <c r="Y6" s="419"/>
      <c r="Z6" s="419"/>
      <c r="AA6" s="419"/>
      <c r="AB6" s="419"/>
      <c r="AC6" s="419"/>
      <c r="AD6" s="419"/>
      <c r="AE6" s="417"/>
    </row>
    <row r="7" spans="1:31" s="62" customFormat="1" ht="14.1" customHeight="1">
      <c r="A7" s="477"/>
      <c r="B7" s="477"/>
      <c r="C7" s="477"/>
      <c r="D7" s="477"/>
      <c r="E7" s="477"/>
      <c r="F7" s="477"/>
      <c r="G7" s="477"/>
      <c r="H7" s="477"/>
      <c r="I7" s="417"/>
      <c r="J7" s="417"/>
      <c r="K7" s="477"/>
      <c r="L7" s="418"/>
      <c r="M7" s="417"/>
      <c r="N7" s="417"/>
      <c r="O7" s="417"/>
      <c r="P7" s="417"/>
      <c r="Q7" s="417"/>
      <c r="R7" s="417"/>
      <c r="S7" s="417"/>
      <c r="T7" s="417"/>
      <c r="U7" s="417"/>
      <c r="V7" s="417"/>
      <c r="W7" s="419"/>
      <c r="X7" s="419"/>
      <c r="Y7" s="419"/>
      <c r="Z7" s="419"/>
      <c r="AA7" s="419"/>
      <c r="AB7" s="419"/>
      <c r="AC7" s="419"/>
      <c r="AD7" s="419"/>
      <c r="AE7" s="417"/>
    </row>
    <row r="8" spans="1:31" s="62" customFormat="1" ht="14.1" customHeight="1">
      <c r="A8" s="477"/>
      <c r="B8" s="477"/>
      <c r="C8" s="477"/>
      <c r="D8" s="477"/>
      <c r="E8" s="477"/>
      <c r="F8" s="477"/>
      <c r="G8" s="477"/>
      <c r="H8" s="477"/>
      <c r="I8" s="417"/>
      <c r="J8" s="417"/>
      <c r="K8" s="477"/>
      <c r="L8" s="418"/>
      <c r="M8" s="417"/>
      <c r="N8" s="417"/>
      <c r="O8" s="417"/>
      <c r="P8" s="417"/>
      <c r="Q8" s="417"/>
      <c r="R8" s="417"/>
      <c r="S8" s="417"/>
      <c r="T8" s="417"/>
      <c r="U8" s="417"/>
      <c r="V8" s="417"/>
      <c r="W8" s="419"/>
      <c r="X8" s="419"/>
      <c r="Y8" s="419"/>
      <c r="Z8" s="419"/>
      <c r="AA8" s="419"/>
      <c r="AB8" s="419"/>
      <c r="AC8" s="419"/>
      <c r="AD8" s="419"/>
      <c r="AE8" s="417"/>
    </row>
    <row r="9" spans="1:31" s="62" customFormat="1" ht="14.1" customHeight="1">
      <c r="A9" s="477"/>
      <c r="B9" s="477"/>
      <c r="C9" s="477"/>
      <c r="D9" s="477"/>
      <c r="E9" s="477"/>
      <c r="F9" s="477"/>
      <c r="G9" s="477"/>
      <c r="H9" s="477"/>
      <c r="I9" s="417"/>
      <c r="J9" s="417"/>
      <c r="K9" s="477"/>
      <c r="L9" s="418"/>
      <c r="M9" s="417"/>
      <c r="N9" s="417"/>
      <c r="O9" s="417"/>
      <c r="P9" s="417"/>
      <c r="Q9" s="417"/>
      <c r="R9" s="417"/>
      <c r="S9" s="417"/>
      <c r="T9" s="417"/>
      <c r="U9" s="417"/>
      <c r="V9" s="417"/>
      <c r="W9" s="419"/>
      <c r="X9" s="419"/>
      <c r="Y9" s="419"/>
      <c r="Z9" s="419"/>
      <c r="AA9" s="419"/>
      <c r="AB9" s="419"/>
      <c r="AC9" s="419"/>
      <c r="AD9" s="419"/>
      <c r="AE9" s="417"/>
    </row>
    <row r="10" spans="1:31" s="62" customFormat="1" ht="14.1" customHeight="1" thickBot="1">
      <c r="A10" s="417"/>
      <c r="B10" s="417"/>
      <c r="C10" s="417"/>
      <c r="D10" s="417"/>
      <c r="E10" s="417"/>
      <c r="F10" s="417"/>
      <c r="G10" s="417"/>
      <c r="H10" s="417"/>
      <c r="I10" s="417"/>
      <c r="J10" s="417"/>
      <c r="K10" s="417"/>
      <c r="L10" s="418"/>
      <c r="M10" s="417"/>
      <c r="N10" s="417"/>
      <c r="O10" s="417"/>
      <c r="P10" s="417"/>
      <c r="Q10" s="417"/>
      <c r="R10" s="417"/>
      <c r="S10" s="417"/>
      <c r="T10" s="417"/>
      <c r="U10" s="417"/>
      <c r="V10" s="417"/>
      <c r="W10" s="419"/>
      <c r="X10" s="419"/>
      <c r="Y10" s="419"/>
      <c r="Z10" s="419"/>
      <c r="AA10" s="419"/>
      <c r="AB10" s="419"/>
      <c r="AC10" s="419"/>
      <c r="AD10" s="419"/>
      <c r="AE10" s="417"/>
    </row>
    <row r="11" spans="1:31" s="62" customFormat="1" ht="14.1" customHeight="1" thickTop="1" thickBot="1">
      <c r="A11" s="327"/>
      <c r="B11" s="328"/>
      <c r="C11" s="363"/>
      <c r="D11" s="363"/>
      <c r="E11" s="363"/>
      <c r="F11" s="364"/>
      <c r="G11" s="366" t="s">
        <v>1799</v>
      </c>
      <c r="H11" s="366" t="s">
        <v>1849</v>
      </c>
      <c r="I11" s="327"/>
      <c r="J11" s="364"/>
      <c r="K11" s="327"/>
      <c r="L11" s="328"/>
      <c r="M11" s="370"/>
      <c r="N11" s="362"/>
      <c r="O11" s="362"/>
      <c r="P11" s="362"/>
      <c r="Q11" s="362"/>
      <c r="R11" s="362" t="s">
        <v>1804</v>
      </c>
      <c r="S11" s="362"/>
      <c r="T11" s="362"/>
      <c r="U11" s="362"/>
      <c r="V11" s="362"/>
      <c r="W11" s="371"/>
      <c r="X11" s="371"/>
      <c r="Y11" s="371"/>
      <c r="Z11" s="372"/>
      <c r="AA11" s="374"/>
      <c r="AB11" s="375" t="s">
        <v>1806</v>
      </c>
      <c r="AC11" s="375"/>
      <c r="AD11" s="376"/>
    </row>
    <row r="12" spans="1:31" s="62" customFormat="1" ht="13.5" customHeight="1" thickTop="1" thickBot="1">
      <c r="A12" s="329" t="s">
        <v>1799</v>
      </c>
      <c r="B12" s="330"/>
      <c r="C12" s="360"/>
      <c r="D12" s="360" t="s">
        <v>1800</v>
      </c>
      <c r="E12" s="360"/>
      <c r="F12" s="365"/>
      <c r="G12" s="367" t="s">
        <v>1801</v>
      </c>
      <c r="H12" s="528" t="s">
        <v>1850</v>
      </c>
      <c r="I12" s="329" t="s">
        <v>1803</v>
      </c>
      <c r="J12" s="365"/>
      <c r="K12" s="329" t="s">
        <v>1799</v>
      </c>
      <c r="L12" s="330"/>
      <c r="M12" s="370"/>
      <c r="N12" s="362" t="s">
        <v>1859</v>
      </c>
      <c r="O12" s="362"/>
      <c r="P12" s="362"/>
      <c r="Q12" s="373"/>
      <c r="R12" s="370"/>
      <c r="S12" s="362" t="s">
        <v>1860</v>
      </c>
      <c r="T12" s="362"/>
      <c r="U12" s="373"/>
      <c r="V12" s="370"/>
      <c r="W12" s="362"/>
      <c r="X12" s="362"/>
      <c r="Y12" s="362"/>
      <c r="Z12" s="373"/>
      <c r="AA12" s="377"/>
      <c r="AB12" s="378" t="s">
        <v>1807</v>
      </c>
      <c r="AC12" s="378"/>
      <c r="AD12" s="379"/>
    </row>
    <row r="13" spans="1:31" s="62" customFormat="1" ht="13.5" customHeight="1" thickTop="1">
      <c r="A13" s="256" t="s">
        <v>947</v>
      </c>
      <c r="B13" s="171" t="s">
        <v>572</v>
      </c>
      <c r="C13" s="18" t="s">
        <v>573</v>
      </c>
      <c r="D13" s="18" t="s">
        <v>574</v>
      </c>
      <c r="E13" s="18" t="s">
        <v>575</v>
      </c>
      <c r="F13" s="18" t="s">
        <v>576</v>
      </c>
      <c r="G13" s="257" t="s">
        <v>578</v>
      </c>
      <c r="H13" s="18" t="s">
        <v>580</v>
      </c>
      <c r="I13" s="258" t="s">
        <v>584</v>
      </c>
      <c r="J13" s="18" t="s">
        <v>585</v>
      </c>
      <c r="K13" s="259" t="s">
        <v>948</v>
      </c>
      <c r="L13" s="70" t="s">
        <v>572</v>
      </c>
      <c r="M13" s="18" t="s">
        <v>586</v>
      </c>
      <c r="N13" s="18" t="s">
        <v>587</v>
      </c>
      <c r="O13" s="18" t="s">
        <v>588</v>
      </c>
      <c r="P13" s="18" t="s">
        <v>589</v>
      </c>
      <c r="Q13" s="67" t="s">
        <v>590</v>
      </c>
      <c r="R13" s="18" t="s">
        <v>591</v>
      </c>
      <c r="S13" s="18" t="s">
        <v>592</v>
      </c>
      <c r="T13" s="18" t="s">
        <v>593</v>
      </c>
      <c r="U13" s="68" t="s">
        <v>594</v>
      </c>
      <c r="V13" s="260" t="s">
        <v>595</v>
      </c>
      <c r="W13" s="13" t="s">
        <v>596</v>
      </c>
      <c r="X13" s="13" t="s">
        <v>1474</v>
      </c>
      <c r="Y13" s="13" t="s">
        <v>1475</v>
      </c>
      <c r="Z13" s="16" t="s">
        <v>1476</v>
      </c>
      <c r="AA13" s="375"/>
      <c r="AB13" s="376"/>
      <c r="AC13" s="374"/>
      <c r="AD13" s="376"/>
    </row>
    <row r="14" spans="1:31" s="99" customFormat="1" ht="13.5" customHeight="1" thickBot="1">
      <c r="A14" s="153"/>
      <c r="B14" s="171" t="s">
        <v>599</v>
      </c>
      <c r="C14" s="18" t="s">
        <v>600</v>
      </c>
      <c r="D14" s="18" t="s">
        <v>601</v>
      </c>
      <c r="E14" s="18" t="s">
        <v>601</v>
      </c>
      <c r="F14" s="18" t="s">
        <v>601</v>
      </c>
      <c r="G14" s="257" t="s">
        <v>921</v>
      </c>
      <c r="H14" s="18" t="s">
        <v>601</v>
      </c>
      <c r="I14" s="258" t="s">
        <v>1477</v>
      </c>
      <c r="J14" s="18" t="s">
        <v>1478</v>
      </c>
      <c r="K14" s="259"/>
      <c r="L14" s="70" t="s">
        <v>950</v>
      </c>
      <c r="M14" s="18" t="s">
        <v>1490</v>
      </c>
      <c r="N14" s="18" t="s">
        <v>606</v>
      </c>
      <c r="O14" s="18" t="s">
        <v>606</v>
      </c>
      <c r="P14" s="18" t="s">
        <v>607</v>
      </c>
      <c r="Q14" s="18" t="s">
        <v>602</v>
      </c>
      <c r="R14" s="260" t="s">
        <v>1490</v>
      </c>
      <c r="S14" s="18" t="s">
        <v>606</v>
      </c>
      <c r="T14" s="18" t="s">
        <v>606</v>
      </c>
      <c r="U14" s="68" t="s">
        <v>607</v>
      </c>
      <c r="V14" s="260" t="s">
        <v>601</v>
      </c>
      <c r="W14" s="13" t="s">
        <v>927</v>
      </c>
      <c r="X14" s="13" t="s">
        <v>928</v>
      </c>
      <c r="Y14" s="13" t="s">
        <v>607</v>
      </c>
      <c r="Z14" s="16" t="s">
        <v>607</v>
      </c>
      <c r="AA14" s="378" t="s">
        <v>1808</v>
      </c>
      <c r="AB14" s="379"/>
      <c r="AC14" s="378" t="s">
        <v>1809</v>
      </c>
      <c r="AD14" s="379"/>
    </row>
    <row r="15" spans="1:31" s="99" customFormat="1" ht="13.5" customHeight="1" thickTop="1" thickBot="1">
      <c r="A15" s="71"/>
      <c r="B15" s="72"/>
      <c r="C15" s="73"/>
      <c r="D15" s="73"/>
      <c r="E15" s="73"/>
      <c r="F15" s="73"/>
      <c r="G15" s="74"/>
      <c r="H15" s="73"/>
      <c r="I15" s="243"/>
      <c r="J15" s="73"/>
      <c r="K15" s="261"/>
      <c r="L15" s="262"/>
      <c r="M15" s="73"/>
      <c r="N15" s="73"/>
      <c r="O15" s="73"/>
      <c r="P15" s="73"/>
      <c r="Q15" s="72"/>
      <c r="R15" s="73"/>
      <c r="S15" s="73"/>
      <c r="T15" s="73"/>
      <c r="U15" s="73"/>
      <c r="V15" s="243"/>
      <c r="W15" s="75"/>
      <c r="X15" s="75"/>
      <c r="Y15" s="75"/>
      <c r="Z15" s="224"/>
      <c r="AA15" s="107">
        <v>235</v>
      </c>
      <c r="AB15" s="107">
        <v>355</v>
      </c>
      <c r="AC15" s="107">
        <v>235</v>
      </c>
      <c r="AD15" s="108">
        <v>355</v>
      </c>
    </row>
    <row r="16" spans="1:31" s="153" customFormat="1" ht="18.75" customHeight="1" thickTop="1">
      <c r="A16" s="79"/>
      <c r="B16" s="80"/>
      <c r="C16" s="80"/>
      <c r="D16" s="80"/>
      <c r="E16" s="80"/>
      <c r="F16" s="80"/>
      <c r="G16" s="80"/>
      <c r="H16" s="80"/>
      <c r="I16" s="263"/>
      <c r="J16" s="80"/>
      <c r="K16" s="264"/>
      <c r="L16" s="265"/>
      <c r="M16" s="80"/>
      <c r="N16" s="80"/>
      <c r="O16" s="80"/>
      <c r="P16" s="80"/>
      <c r="Q16" s="80"/>
      <c r="R16" s="80"/>
      <c r="S16" s="80"/>
      <c r="T16" s="80"/>
      <c r="U16" s="80"/>
      <c r="V16" s="80"/>
      <c r="W16" s="46"/>
      <c r="X16" s="46"/>
      <c r="Y16" s="46"/>
      <c r="Z16" s="46"/>
      <c r="AA16" s="46"/>
      <c r="AB16" s="46"/>
      <c r="AC16" s="46"/>
      <c r="AD16" s="46"/>
    </row>
    <row r="17" spans="1:30" s="401" customFormat="1" ht="13.5" customHeight="1">
      <c r="A17" s="387" t="s">
        <v>1621</v>
      </c>
      <c r="B17" s="388">
        <v>17.100000000000001</v>
      </c>
      <c r="C17" s="389">
        <v>203</v>
      </c>
      <c r="D17" s="389">
        <v>57</v>
      </c>
      <c r="E17" s="389">
        <v>5.6</v>
      </c>
      <c r="F17" s="389">
        <v>9.9</v>
      </c>
      <c r="G17" s="452">
        <v>21.7</v>
      </c>
      <c r="H17" s="389">
        <v>156</v>
      </c>
      <c r="I17" s="529">
        <v>0.56399999999999995</v>
      </c>
      <c r="J17" s="396">
        <v>33.22</v>
      </c>
      <c r="K17" s="530" t="s">
        <v>1622</v>
      </c>
      <c r="L17" s="392">
        <v>11.5</v>
      </c>
      <c r="M17" s="389">
        <v>1340</v>
      </c>
      <c r="N17" s="389">
        <v>132</v>
      </c>
      <c r="O17" s="389">
        <v>156</v>
      </c>
      <c r="P17" s="389">
        <v>7.86</v>
      </c>
      <c r="Q17" s="392">
        <v>13.23</v>
      </c>
      <c r="R17" s="389">
        <v>53.8</v>
      </c>
      <c r="S17" s="389">
        <v>12.6</v>
      </c>
      <c r="T17" s="389">
        <v>27.6</v>
      </c>
      <c r="U17" s="389">
        <v>1.57</v>
      </c>
      <c r="V17" s="531">
        <v>29.3</v>
      </c>
      <c r="W17" s="411">
        <v>5.86</v>
      </c>
      <c r="X17" s="411">
        <v>3.79</v>
      </c>
      <c r="Y17" s="411">
        <v>1.44</v>
      </c>
      <c r="Z17" s="411">
        <v>3.19</v>
      </c>
      <c r="AA17" s="453">
        <v>1</v>
      </c>
      <c r="AB17" s="398">
        <v>1</v>
      </c>
      <c r="AC17" s="493">
        <v>1</v>
      </c>
      <c r="AD17" s="400">
        <v>2</v>
      </c>
    </row>
    <row r="18" spans="1:30" s="99" customFormat="1" ht="13.5" customHeight="1">
      <c r="A18" s="81" t="s">
        <v>1623</v>
      </c>
      <c r="B18" s="82">
        <v>20.5</v>
      </c>
      <c r="C18" s="83">
        <v>203</v>
      </c>
      <c r="D18" s="83">
        <v>59</v>
      </c>
      <c r="E18" s="83">
        <v>7.7</v>
      </c>
      <c r="F18" s="83">
        <v>9.9</v>
      </c>
      <c r="G18" s="85">
        <v>26</v>
      </c>
      <c r="H18" s="83">
        <v>156</v>
      </c>
      <c r="I18" s="266">
        <v>0.57699999999999996</v>
      </c>
      <c r="J18" s="89">
        <v>28.82</v>
      </c>
      <c r="K18" s="267" t="s">
        <v>1624</v>
      </c>
      <c r="L18" s="91">
        <v>13.75</v>
      </c>
      <c r="M18" s="83">
        <v>1490</v>
      </c>
      <c r="N18" s="83">
        <v>147</v>
      </c>
      <c r="O18" s="83">
        <v>177</v>
      </c>
      <c r="P18" s="83">
        <v>7.57</v>
      </c>
      <c r="Q18" s="91">
        <v>16.66</v>
      </c>
      <c r="R18" s="83">
        <v>62</v>
      </c>
      <c r="S18" s="83">
        <v>13.7</v>
      </c>
      <c r="T18" s="83">
        <v>30</v>
      </c>
      <c r="U18" s="83">
        <v>1.54</v>
      </c>
      <c r="V18" s="268">
        <v>27.5</v>
      </c>
      <c r="W18" s="40">
        <v>7.6</v>
      </c>
      <c r="X18" s="40">
        <v>4.5</v>
      </c>
      <c r="Y18" s="40">
        <v>1.39</v>
      </c>
      <c r="Z18" s="40">
        <v>2.9</v>
      </c>
      <c r="AA18" s="92">
        <v>1</v>
      </c>
      <c r="AB18" s="21">
        <v>1</v>
      </c>
      <c r="AC18" s="225">
        <v>1</v>
      </c>
      <c r="AD18" s="42">
        <v>1</v>
      </c>
    </row>
    <row r="19" spans="1:30" s="519" customFormat="1" ht="13.5" customHeight="1">
      <c r="A19" s="387" t="s">
        <v>1625</v>
      </c>
      <c r="B19" s="388">
        <v>27.9</v>
      </c>
      <c r="C19" s="389">
        <v>203</v>
      </c>
      <c r="D19" s="389">
        <v>64</v>
      </c>
      <c r="E19" s="389">
        <v>12.4</v>
      </c>
      <c r="F19" s="389">
        <v>9.9</v>
      </c>
      <c r="G19" s="452">
        <v>35.6</v>
      </c>
      <c r="H19" s="389">
        <v>156</v>
      </c>
      <c r="I19" s="529">
        <v>0.58399999999999996</v>
      </c>
      <c r="J19" s="396">
        <v>21.41</v>
      </c>
      <c r="K19" s="530" t="s">
        <v>1626</v>
      </c>
      <c r="L19" s="392">
        <v>18.75</v>
      </c>
      <c r="M19" s="389">
        <v>1820</v>
      </c>
      <c r="N19" s="389">
        <v>179</v>
      </c>
      <c r="O19" s="389">
        <v>226</v>
      </c>
      <c r="P19" s="389">
        <v>7.15</v>
      </c>
      <c r="Q19" s="392">
        <v>26</v>
      </c>
      <c r="R19" s="389">
        <v>81.7</v>
      </c>
      <c r="S19" s="389">
        <v>16.399999999999999</v>
      </c>
      <c r="T19" s="389">
        <v>35.9</v>
      </c>
      <c r="U19" s="389">
        <v>1.51</v>
      </c>
      <c r="V19" s="531">
        <v>30.6</v>
      </c>
      <c r="W19" s="411">
        <v>17.87</v>
      </c>
      <c r="X19" s="411">
        <v>6</v>
      </c>
      <c r="Y19" s="411">
        <v>1.43</v>
      </c>
      <c r="Z19" s="411">
        <v>2.5099999999999998</v>
      </c>
      <c r="AA19" s="453">
        <v>1</v>
      </c>
      <c r="AB19" s="398">
        <v>1</v>
      </c>
      <c r="AC19" s="493">
        <v>1</v>
      </c>
      <c r="AD19" s="400">
        <v>1</v>
      </c>
    </row>
    <row r="20" spans="1:30" s="141" customFormat="1" ht="13.5" customHeight="1">
      <c r="A20" s="81"/>
      <c r="B20" s="82"/>
      <c r="C20" s="83"/>
      <c r="D20" s="83"/>
      <c r="E20" s="83"/>
      <c r="F20" s="83"/>
      <c r="G20" s="85"/>
      <c r="H20" s="83"/>
      <c r="I20" s="266"/>
      <c r="J20" s="89"/>
      <c r="K20" s="267"/>
      <c r="L20" s="91"/>
      <c r="M20" s="83"/>
      <c r="N20" s="83"/>
      <c r="O20" s="83"/>
      <c r="P20" s="83"/>
      <c r="Q20" s="91"/>
      <c r="R20" s="83"/>
      <c r="S20" s="83"/>
      <c r="T20" s="83"/>
      <c r="U20" s="83"/>
      <c r="V20" s="268"/>
      <c r="W20" s="40"/>
      <c r="X20" s="40"/>
      <c r="Y20" s="40"/>
      <c r="Z20" s="40"/>
      <c r="AA20" s="92"/>
      <c r="AB20" s="21"/>
      <c r="AC20" s="225"/>
      <c r="AD20" s="42"/>
    </row>
    <row r="21" spans="1:30" s="434" customFormat="1" ht="13.5" customHeight="1">
      <c r="A21" s="387" t="s">
        <v>1627</v>
      </c>
      <c r="B21" s="388">
        <v>22.8</v>
      </c>
      <c r="C21" s="389">
        <v>254</v>
      </c>
      <c r="D21" s="389">
        <v>65</v>
      </c>
      <c r="E21" s="389">
        <v>6.1</v>
      </c>
      <c r="F21" s="389">
        <v>11.1</v>
      </c>
      <c r="G21" s="452">
        <v>28.8</v>
      </c>
      <c r="H21" s="389">
        <v>203</v>
      </c>
      <c r="I21" s="529">
        <v>0.69199999999999995</v>
      </c>
      <c r="J21" s="396">
        <v>30.85</v>
      </c>
      <c r="K21" s="530" t="s">
        <v>1628</v>
      </c>
      <c r="L21" s="392">
        <v>15.3</v>
      </c>
      <c r="M21" s="389">
        <v>2770</v>
      </c>
      <c r="N21" s="389">
        <v>218</v>
      </c>
      <c r="O21" s="389">
        <v>257</v>
      </c>
      <c r="P21" s="389">
        <v>9.81</v>
      </c>
      <c r="Q21" s="392">
        <v>17.62</v>
      </c>
      <c r="R21" s="389">
        <v>91.2</v>
      </c>
      <c r="S21" s="389">
        <v>18.5</v>
      </c>
      <c r="T21" s="389">
        <v>40.299999999999997</v>
      </c>
      <c r="U21" s="389">
        <v>1.78</v>
      </c>
      <c r="V21" s="531">
        <v>32</v>
      </c>
      <c r="W21" s="411">
        <v>9.15</v>
      </c>
      <c r="X21" s="411">
        <v>10.4</v>
      </c>
      <c r="Y21" s="411">
        <v>1.58</v>
      </c>
      <c r="Z21" s="411">
        <v>3.55</v>
      </c>
      <c r="AA21" s="453">
        <v>1</v>
      </c>
      <c r="AB21" s="398">
        <v>1</v>
      </c>
      <c r="AC21" s="493">
        <v>2</v>
      </c>
      <c r="AD21" s="400">
        <v>3</v>
      </c>
    </row>
    <row r="22" spans="1:30" s="141" customFormat="1" ht="13.5" customHeight="1">
      <c r="A22" s="81" t="s">
        <v>1629</v>
      </c>
      <c r="B22" s="82">
        <v>30</v>
      </c>
      <c r="C22" s="83">
        <v>254</v>
      </c>
      <c r="D22" s="83">
        <v>69</v>
      </c>
      <c r="E22" s="83">
        <v>9.6</v>
      </c>
      <c r="F22" s="83">
        <v>11.1</v>
      </c>
      <c r="G22" s="85">
        <v>37.799999999999997</v>
      </c>
      <c r="H22" s="83">
        <v>203</v>
      </c>
      <c r="I22" s="266">
        <v>0.70099999999999996</v>
      </c>
      <c r="J22" s="89">
        <v>23.98</v>
      </c>
      <c r="K22" s="267" t="s">
        <v>1630</v>
      </c>
      <c r="L22" s="91">
        <v>20</v>
      </c>
      <c r="M22" s="83">
        <v>3260</v>
      </c>
      <c r="N22" s="83">
        <v>257</v>
      </c>
      <c r="O22" s="83">
        <v>315</v>
      </c>
      <c r="P22" s="83">
        <v>9.2899999999999991</v>
      </c>
      <c r="Q22" s="91">
        <v>26.13</v>
      </c>
      <c r="R22" s="83">
        <v>114</v>
      </c>
      <c r="S22" s="83">
        <v>21.2</v>
      </c>
      <c r="T22" s="83">
        <v>46.5</v>
      </c>
      <c r="U22" s="83">
        <v>1.74</v>
      </c>
      <c r="V22" s="268">
        <v>33.6</v>
      </c>
      <c r="W22" s="40">
        <v>15.69</v>
      </c>
      <c r="X22" s="40">
        <v>13.09</v>
      </c>
      <c r="Y22" s="40">
        <v>1.53</v>
      </c>
      <c r="Z22" s="40">
        <v>3.13</v>
      </c>
      <c r="AA22" s="92">
        <v>1</v>
      </c>
      <c r="AB22" s="21">
        <v>1</v>
      </c>
      <c r="AC22" s="225">
        <v>1</v>
      </c>
      <c r="AD22" s="42">
        <v>1</v>
      </c>
    </row>
    <row r="23" spans="1:30" s="434" customFormat="1" ht="13.5" customHeight="1">
      <c r="A23" s="387" t="s">
        <v>1631</v>
      </c>
      <c r="B23" s="388">
        <v>37</v>
      </c>
      <c r="C23" s="389">
        <v>254</v>
      </c>
      <c r="D23" s="389">
        <v>73</v>
      </c>
      <c r="E23" s="389">
        <v>13.4</v>
      </c>
      <c r="F23" s="389">
        <v>11.1</v>
      </c>
      <c r="G23" s="452">
        <v>45.5</v>
      </c>
      <c r="H23" s="389">
        <v>203</v>
      </c>
      <c r="I23" s="529">
        <v>0.71299999999999997</v>
      </c>
      <c r="J23" s="396">
        <v>19.52</v>
      </c>
      <c r="K23" s="530" t="s">
        <v>1632</v>
      </c>
      <c r="L23" s="392">
        <v>25</v>
      </c>
      <c r="M23" s="389">
        <v>3790</v>
      </c>
      <c r="N23" s="389">
        <v>298</v>
      </c>
      <c r="O23" s="389">
        <v>377</v>
      </c>
      <c r="P23" s="389">
        <v>8.93</v>
      </c>
      <c r="Q23" s="392">
        <v>35.17</v>
      </c>
      <c r="R23" s="389">
        <v>138</v>
      </c>
      <c r="S23" s="389">
        <v>24</v>
      </c>
      <c r="T23" s="389">
        <v>52.6</v>
      </c>
      <c r="U23" s="389">
        <v>1.7</v>
      </c>
      <c r="V23" s="531">
        <v>34.4</v>
      </c>
      <c r="W23" s="411">
        <v>28.58</v>
      </c>
      <c r="X23" s="411">
        <v>16.170000000000002</v>
      </c>
      <c r="Y23" s="411">
        <v>1.56</v>
      </c>
      <c r="Z23" s="411">
        <v>2.8</v>
      </c>
      <c r="AA23" s="453">
        <v>1</v>
      </c>
      <c r="AB23" s="398">
        <v>1</v>
      </c>
      <c r="AC23" s="493">
        <v>1</v>
      </c>
      <c r="AD23" s="400">
        <v>1</v>
      </c>
    </row>
    <row r="24" spans="1:30" s="141" customFormat="1" ht="13.5" customHeight="1">
      <c r="A24" s="81" t="s">
        <v>1633</v>
      </c>
      <c r="B24" s="82">
        <v>45</v>
      </c>
      <c r="C24" s="83">
        <v>254</v>
      </c>
      <c r="D24" s="83">
        <v>76</v>
      </c>
      <c r="E24" s="83">
        <v>17.100000000000001</v>
      </c>
      <c r="F24" s="83">
        <v>11.1</v>
      </c>
      <c r="G24" s="85">
        <v>56.7</v>
      </c>
      <c r="H24" s="83">
        <v>203</v>
      </c>
      <c r="I24" s="266">
        <v>0.72099999999999997</v>
      </c>
      <c r="J24" s="89">
        <v>16.579999999999998</v>
      </c>
      <c r="K24" s="267" t="s">
        <v>1634</v>
      </c>
      <c r="L24" s="91">
        <v>30</v>
      </c>
      <c r="M24" s="83">
        <v>4270</v>
      </c>
      <c r="N24" s="83">
        <v>336</v>
      </c>
      <c r="O24" s="83">
        <v>434</v>
      </c>
      <c r="P24" s="83">
        <v>8.68</v>
      </c>
      <c r="Q24" s="91">
        <v>44.02</v>
      </c>
      <c r="R24" s="83">
        <v>158</v>
      </c>
      <c r="S24" s="83">
        <v>26.5</v>
      </c>
      <c r="T24" s="83">
        <v>57.4</v>
      </c>
      <c r="U24" s="83">
        <v>1.67</v>
      </c>
      <c r="V24" s="268">
        <v>35.200000000000003</v>
      </c>
      <c r="W24" s="40">
        <v>48.84</v>
      </c>
      <c r="X24" s="40">
        <v>19.53</v>
      </c>
      <c r="Y24" s="40">
        <v>1.63</v>
      </c>
      <c r="Z24" s="40">
        <v>2.5299999999999998</v>
      </c>
      <c r="AA24" s="92">
        <v>1</v>
      </c>
      <c r="AB24" s="21">
        <v>1</v>
      </c>
      <c r="AC24" s="225">
        <v>1</v>
      </c>
      <c r="AD24" s="42">
        <v>1</v>
      </c>
    </row>
    <row r="25" spans="1:30" s="141" customFormat="1" ht="13.5" customHeight="1">
      <c r="A25" s="81"/>
      <c r="B25" s="82"/>
      <c r="C25" s="83"/>
      <c r="D25" s="83"/>
      <c r="E25" s="83"/>
      <c r="F25" s="83"/>
      <c r="G25" s="85"/>
      <c r="H25" s="83"/>
      <c r="I25" s="266"/>
      <c r="J25" s="89"/>
      <c r="K25" s="267"/>
      <c r="L25" s="91"/>
      <c r="M25" s="83"/>
      <c r="N25" s="83"/>
      <c r="O25" s="83"/>
      <c r="P25" s="83"/>
      <c r="Q25" s="91"/>
      <c r="R25" s="83"/>
      <c r="S25" s="83"/>
      <c r="T25" s="83"/>
      <c r="U25" s="83"/>
      <c r="V25" s="268"/>
      <c r="W25" s="40"/>
      <c r="X25" s="40"/>
      <c r="Y25" s="40"/>
      <c r="Z25" s="40"/>
      <c r="AA25" s="92"/>
      <c r="AB25" s="21"/>
      <c r="AC25" s="225"/>
      <c r="AD25" s="42"/>
    </row>
    <row r="26" spans="1:30" s="434" customFormat="1" ht="13.5" customHeight="1">
      <c r="A26" s="387" t="s">
        <v>1635</v>
      </c>
      <c r="B26" s="388">
        <v>30.8</v>
      </c>
      <c r="C26" s="389">
        <v>305</v>
      </c>
      <c r="D26" s="389">
        <v>74</v>
      </c>
      <c r="E26" s="389">
        <v>7.2</v>
      </c>
      <c r="F26" s="389">
        <v>12.7</v>
      </c>
      <c r="G26" s="452">
        <v>39.200000000000003</v>
      </c>
      <c r="H26" s="389">
        <v>248</v>
      </c>
      <c r="I26" s="529">
        <v>0.82499999999999996</v>
      </c>
      <c r="J26" s="396">
        <v>26.6</v>
      </c>
      <c r="K26" s="530" t="s">
        <v>1636</v>
      </c>
      <c r="L26" s="392">
        <v>20.7</v>
      </c>
      <c r="M26" s="389">
        <v>5340</v>
      </c>
      <c r="N26" s="389">
        <v>350</v>
      </c>
      <c r="O26" s="389">
        <v>415</v>
      </c>
      <c r="P26" s="389">
        <v>11.7</v>
      </c>
      <c r="Q26" s="392">
        <v>24.46</v>
      </c>
      <c r="R26" s="389">
        <v>157</v>
      </c>
      <c r="S26" s="389">
        <v>27.7</v>
      </c>
      <c r="T26" s="389">
        <v>60.2</v>
      </c>
      <c r="U26" s="389">
        <v>2</v>
      </c>
      <c r="V26" s="531">
        <v>35.1</v>
      </c>
      <c r="W26" s="411">
        <v>16.03</v>
      </c>
      <c r="X26" s="411">
        <v>24.81</v>
      </c>
      <c r="Y26" s="411">
        <v>1.74</v>
      </c>
      <c r="Z26" s="411">
        <v>3.91</v>
      </c>
      <c r="AA26" s="453">
        <v>1</v>
      </c>
      <c r="AB26" s="398">
        <v>1</v>
      </c>
      <c r="AC26" s="493">
        <v>2</v>
      </c>
      <c r="AD26" s="400">
        <v>4</v>
      </c>
    </row>
    <row r="27" spans="1:30" s="141" customFormat="1" ht="13.5" customHeight="1">
      <c r="A27" s="81" t="s">
        <v>1637</v>
      </c>
      <c r="B27" s="82">
        <v>37</v>
      </c>
      <c r="C27" s="83">
        <v>305</v>
      </c>
      <c r="D27" s="83">
        <v>77</v>
      </c>
      <c r="E27" s="83">
        <v>9.8000000000000007</v>
      </c>
      <c r="F27" s="83">
        <v>12.7</v>
      </c>
      <c r="G27" s="85">
        <v>47.2</v>
      </c>
      <c r="H27" s="83">
        <v>248</v>
      </c>
      <c r="I27" s="266">
        <v>0.84099999999999997</v>
      </c>
      <c r="J27" s="89">
        <v>22.71</v>
      </c>
      <c r="K27" s="267" t="s">
        <v>1638</v>
      </c>
      <c r="L27" s="91">
        <v>25</v>
      </c>
      <c r="M27" s="83">
        <v>5970</v>
      </c>
      <c r="N27" s="83">
        <v>391</v>
      </c>
      <c r="O27" s="83">
        <v>477</v>
      </c>
      <c r="P27" s="83">
        <v>11.2</v>
      </c>
      <c r="Q27" s="91">
        <v>31.26</v>
      </c>
      <c r="R27" s="83">
        <v>183</v>
      </c>
      <c r="S27" s="83">
        <v>30.5</v>
      </c>
      <c r="T27" s="83">
        <v>66</v>
      </c>
      <c r="U27" s="83">
        <v>1.97</v>
      </c>
      <c r="V27" s="268">
        <v>33.5</v>
      </c>
      <c r="W27" s="40">
        <v>21.91</v>
      </c>
      <c r="X27" s="40">
        <v>29.49</v>
      </c>
      <c r="Y27" s="40">
        <v>1.7</v>
      </c>
      <c r="Z27" s="40">
        <v>3.58</v>
      </c>
      <c r="AA27" s="92">
        <v>1</v>
      </c>
      <c r="AB27" s="21">
        <v>1</v>
      </c>
      <c r="AC27" s="225">
        <v>1</v>
      </c>
      <c r="AD27" s="42">
        <v>1</v>
      </c>
    </row>
    <row r="28" spans="1:30" s="434" customFormat="1" ht="13.5" customHeight="1">
      <c r="A28" s="387" t="s">
        <v>1639</v>
      </c>
      <c r="B28" s="388">
        <v>45</v>
      </c>
      <c r="C28" s="389">
        <v>305</v>
      </c>
      <c r="D28" s="389">
        <v>80</v>
      </c>
      <c r="E28" s="389">
        <v>13</v>
      </c>
      <c r="F28" s="389">
        <v>12.7</v>
      </c>
      <c r="G28" s="452">
        <v>56.9</v>
      </c>
      <c r="H28" s="389">
        <v>248</v>
      </c>
      <c r="I28" s="529">
        <v>0.82399999999999995</v>
      </c>
      <c r="J28" s="396">
        <v>18.27</v>
      </c>
      <c r="K28" s="530" t="s">
        <v>1640</v>
      </c>
      <c r="L28" s="392">
        <v>30</v>
      </c>
      <c r="M28" s="389">
        <v>6720</v>
      </c>
      <c r="N28" s="389">
        <v>441</v>
      </c>
      <c r="O28" s="389">
        <v>551</v>
      </c>
      <c r="P28" s="389">
        <v>10.9</v>
      </c>
      <c r="Q28" s="392">
        <v>42.54</v>
      </c>
      <c r="R28" s="389">
        <v>209</v>
      </c>
      <c r="S28" s="389">
        <v>33.200000000000003</v>
      </c>
      <c r="T28" s="389">
        <v>72.099999999999994</v>
      </c>
      <c r="U28" s="389">
        <v>1.92</v>
      </c>
      <c r="V28" s="531">
        <v>41.8</v>
      </c>
      <c r="W28" s="411">
        <v>39.19</v>
      </c>
      <c r="X28" s="411">
        <v>34.4</v>
      </c>
      <c r="Y28" s="411">
        <v>1.7</v>
      </c>
      <c r="Z28" s="411">
        <v>3.24</v>
      </c>
      <c r="AA28" s="453">
        <v>1</v>
      </c>
      <c r="AB28" s="398">
        <v>1</v>
      </c>
      <c r="AC28" s="493">
        <v>1</v>
      </c>
      <c r="AD28" s="400">
        <v>1</v>
      </c>
    </row>
    <row r="29" spans="1:30" s="141" customFormat="1" ht="13.5" customHeight="1">
      <c r="A29" s="81"/>
      <c r="B29" s="82"/>
      <c r="C29" s="83"/>
      <c r="D29" s="83"/>
      <c r="E29" s="83"/>
      <c r="F29" s="83"/>
      <c r="G29" s="85"/>
      <c r="H29" s="83"/>
      <c r="I29" s="266"/>
      <c r="J29" s="89"/>
      <c r="K29" s="267"/>
      <c r="L29" s="91"/>
      <c r="M29" s="83"/>
      <c r="N29" s="83"/>
      <c r="O29" s="83"/>
      <c r="P29" s="83"/>
      <c r="Q29" s="91"/>
      <c r="R29" s="83"/>
      <c r="S29" s="83"/>
      <c r="T29" s="83"/>
      <c r="U29" s="83"/>
      <c r="V29" s="268"/>
      <c r="W29" s="40"/>
      <c r="X29" s="40"/>
      <c r="Y29" s="40"/>
      <c r="Z29" s="40"/>
      <c r="AA29" s="92"/>
      <c r="AB29" s="21"/>
      <c r="AC29" s="225"/>
      <c r="AD29" s="42"/>
    </row>
    <row r="30" spans="1:30" s="434" customFormat="1" ht="13.5" customHeight="1">
      <c r="A30" s="387" t="s">
        <v>1641</v>
      </c>
      <c r="B30" s="388">
        <v>50.4</v>
      </c>
      <c r="C30" s="389">
        <v>381</v>
      </c>
      <c r="D30" s="389">
        <v>86</v>
      </c>
      <c r="E30" s="389">
        <v>10.199999999999999</v>
      </c>
      <c r="F30" s="389">
        <v>16.5</v>
      </c>
      <c r="G30" s="452">
        <v>64.3</v>
      </c>
      <c r="H30" s="389">
        <v>308</v>
      </c>
      <c r="I30" s="529">
        <v>1.048</v>
      </c>
      <c r="J30" s="396">
        <v>20.96</v>
      </c>
      <c r="K30" s="530" t="s">
        <v>1642</v>
      </c>
      <c r="L30" s="392">
        <v>33.9</v>
      </c>
      <c r="M30" s="389">
        <v>13100</v>
      </c>
      <c r="N30" s="389">
        <v>688</v>
      </c>
      <c r="O30" s="389">
        <v>825</v>
      </c>
      <c r="P30" s="389">
        <v>14.3</v>
      </c>
      <c r="Q30" s="392">
        <v>38.72</v>
      </c>
      <c r="R30" s="389">
        <v>334</v>
      </c>
      <c r="S30" s="389">
        <v>50.5</v>
      </c>
      <c r="T30" s="389">
        <v>107</v>
      </c>
      <c r="U30" s="389">
        <v>2.2799999999999998</v>
      </c>
      <c r="V30" s="531">
        <v>32.1</v>
      </c>
      <c r="W30" s="411">
        <v>38.26</v>
      </c>
      <c r="X30" s="411">
        <v>83.39</v>
      </c>
      <c r="Y30" s="411">
        <v>1.99</v>
      </c>
      <c r="Z30" s="411">
        <v>4.24</v>
      </c>
      <c r="AA30" s="453">
        <v>1</v>
      </c>
      <c r="AB30" s="398">
        <v>1</v>
      </c>
      <c r="AC30" s="493">
        <v>1</v>
      </c>
      <c r="AD30" s="400">
        <v>2</v>
      </c>
    </row>
    <row r="31" spans="1:30" s="141" customFormat="1" ht="13.5" customHeight="1">
      <c r="A31" s="81" t="s">
        <v>1643</v>
      </c>
      <c r="B31" s="82">
        <v>60</v>
      </c>
      <c r="C31" s="83">
        <v>381</v>
      </c>
      <c r="D31" s="83">
        <v>89</v>
      </c>
      <c r="E31" s="83">
        <v>13.2</v>
      </c>
      <c r="F31" s="83">
        <v>16.5</v>
      </c>
      <c r="G31" s="85">
        <v>75.7</v>
      </c>
      <c r="H31" s="83">
        <v>308</v>
      </c>
      <c r="I31" s="266">
        <v>1.0369999999999999</v>
      </c>
      <c r="J31" s="89">
        <v>17.55</v>
      </c>
      <c r="K31" s="267" t="s">
        <v>1644</v>
      </c>
      <c r="L31" s="91">
        <v>40</v>
      </c>
      <c r="M31" s="83">
        <v>14400</v>
      </c>
      <c r="N31" s="83">
        <v>756</v>
      </c>
      <c r="O31" s="83">
        <v>934</v>
      </c>
      <c r="P31" s="83">
        <v>13.8</v>
      </c>
      <c r="Q31" s="91">
        <v>50.93</v>
      </c>
      <c r="R31" s="83">
        <v>379</v>
      </c>
      <c r="S31" s="83">
        <v>54.7</v>
      </c>
      <c r="T31" s="83">
        <v>115</v>
      </c>
      <c r="U31" s="83">
        <v>2.2400000000000002</v>
      </c>
      <c r="V31" s="268">
        <v>38.299999999999997</v>
      </c>
      <c r="W31" s="40">
        <v>57.31</v>
      </c>
      <c r="X31" s="40">
        <v>96.44</v>
      </c>
      <c r="Y31" s="40">
        <v>1.97</v>
      </c>
      <c r="Z31" s="40">
        <v>3.9</v>
      </c>
      <c r="AA31" s="92">
        <v>1</v>
      </c>
      <c r="AB31" s="21">
        <v>1</v>
      </c>
      <c r="AC31" s="225">
        <v>1</v>
      </c>
      <c r="AD31" s="42">
        <v>1</v>
      </c>
    </row>
    <row r="32" spans="1:30" s="434" customFormat="1" ht="13.5" customHeight="1">
      <c r="A32" s="387" t="s">
        <v>1645</v>
      </c>
      <c r="B32" s="388">
        <v>74</v>
      </c>
      <c r="C32" s="389">
        <v>381</v>
      </c>
      <c r="D32" s="389">
        <v>94</v>
      </c>
      <c r="E32" s="389">
        <v>18.2</v>
      </c>
      <c r="F32" s="389">
        <v>16.5</v>
      </c>
      <c r="G32" s="452">
        <v>94.8</v>
      </c>
      <c r="H32" s="389">
        <v>308</v>
      </c>
      <c r="I32" s="529">
        <v>1.04</v>
      </c>
      <c r="J32" s="396">
        <v>14.05</v>
      </c>
      <c r="K32" s="530" t="s">
        <v>1646</v>
      </c>
      <c r="L32" s="392">
        <v>50</v>
      </c>
      <c r="M32" s="389">
        <v>16700</v>
      </c>
      <c r="N32" s="389">
        <v>877</v>
      </c>
      <c r="O32" s="389">
        <v>1120</v>
      </c>
      <c r="P32" s="389">
        <v>13.3</v>
      </c>
      <c r="Q32" s="392">
        <v>69.7</v>
      </c>
      <c r="R32" s="389">
        <v>454</v>
      </c>
      <c r="S32" s="389">
        <v>61.5</v>
      </c>
      <c r="T32" s="389">
        <v>130</v>
      </c>
      <c r="U32" s="389">
        <v>2.19</v>
      </c>
      <c r="V32" s="531">
        <v>42.7</v>
      </c>
      <c r="W32" s="411">
        <v>107.7</v>
      </c>
      <c r="X32" s="411">
        <v>118.2</v>
      </c>
      <c r="Y32" s="411">
        <v>2.02</v>
      </c>
      <c r="Z32" s="411">
        <v>3.48</v>
      </c>
      <c r="AA32" s="453">
        <v>1</v>
      </c>
      <c r="AB32" s="398">
        <v>1</v>
      </c>
      <c r="AC32" s="493">
        <v>1</v>
      </c>
      <c r="AD32" s="400">
        <v>1</v>
      </c>
    </row>
    <row r="33" spans="1:30" s="141" customFormat="1" ht="13.5" customHeight="1">
      <c r="A33" s="81"/>
      <c r="B33" s="82"/>
      <c r="C33" s="83"/>
      <c r="D33" s="83"/>
      <c r="E33" s="83"/>
      <c r="F33" s="83"/>
      <c r="G33" s="85"/>
      <c r="H33" s="83"/>
      <c r="I33" s="266"/>
      <c r="J33" s="89"/>
      <c r="K33" s="267"/>
      <c r="L33" s="91"/>
      <c r="M33" s="83"/>
      <c r="N33" s="83"/>
      <c r="O33" s="83"/>
      <c r="P33" s="83"/>
      <c r="Q33" s="91"/>
      <c r="R33" s="83"/>
      <c r="S33" s="83"/>
      <c r="T33" s="83"/>
      <c r="U33" s="83"/>
      <c r="V33" s="268"/>
      <c r="W33" s="40"/>
      <c r="X33" s="40"/>
      <c r="Y33" s="40"/>
      <c r="Z33" s="40"/>
      <c r="AA33" s="92"/>
      <c r="AB33" s="21"/>
      <c r="AC33" s="225"/>
      <c r="AD33" s="42"/>
    </row>
    <row r="34" spans="1:30" s="141" customFormat="1" ht="13.5" customHeight="1">
      <c r="A34" s="103"/>
      <c r="B34" s="94"/>
      <c r="C34" s="94"/>
      <c r="D34" s="94"/>
      <c r="E34" s="94"/>
      <c r="F34" s="94"/>
      <c r="G34" s="94"/>
      <c r="H34" s="94"/>
      <c r="I34" s="94"/>
      <c r="J34" s="94"/>
      <c r="K34" s="103"/>
      <c r="L34" s="152"/>
      <c r="M34" s="94"/>
      <c r="N34" s="94"/>
      <c r="O34" s="94"/>
      <c r="P34" s="94"/>
      <c r="Q34" s="94"/>
      <c r="R34" s="94"/>
      <c r="S34" s="94"/>
      <c r="T34" s="94"/>
      <c r="U34" s="94"/>
      <c r="V34" s="94"/>
      <c r="W34" s="7"/>
      <c r="X34" s="7"/>
      <c r="Y34" s="7"/>
      <c r="Z34" s="7"/>
      <c r="AA34" s="7"/>
      <c r="AB34" s="7"/>
      <c r="AC34" s="7"/>
      <c r="AD34" s="7"/>
    </row>
    <row r="35" spans="1:30" s="141" customFormat="1" ht="13.5" hidden="1" customHeight="1">
      <c r="A35" s="103"/>
      <c r="B35" s="94"/>
      <c r="C35" s="94"/>
      <c r="D35" s="94"/>
      <c r="E35" s="94"/>
      <c r="F35" s="94"/>
      <c r="G35" s="94"/>
      <c r="H35" s="94"/>
      <c r="I35" s="94"/>
      <c r="J35" s="94"/>
      <c r="K35" s="103"/>
      <c r="L35" s="152"/>
      <c r="M35" s="94"/>
      <c r="N35" s="94"/>
      <c r="O35" s="94"/>
      <c r="P35" s="94"/>
      <c r="Q35" s="94"/>
      <c r="R35" s="94"/>
      <c r="S35" s="94"/>
      <c r="T35" s="94"/>
      <c r="U35" s="94"/>
      <c r="V35" s="94"/>
      <c r="W35" s="7"/>
      <c r="X35" s="7"/>
      <c r="Y35" s="7"/>
      <c r="Z35" s="7"/>
      <c r="AA35" s="7"/>
      <c r="AB35" s="7"/>
      <c r="AC35" s="7"/>
      <c r="AD35" s="7"/>
    </row>
    <row r="36" spans="1:30" s="141" customFormat="1" ht="13.5" hidden="1" customHeight="1">
      <c r="A36" s="103"/>
      <c r="B36" s="94"/>
      <c r="C36" s="94"/>
      <c r="D36" s="94"/>
      <c r="E36" s="94"/>
      <c r="F36" s="94"/>
      <c r="G36" s="94"/>
      <c r="H36" s="94"/>
      <c r="I36" s="94"/>
      <c r="J36" s="94"/>
      <c r="K36" s="103"/>
      <c r="L36" s="152"/>
      <c r="M36" s="94"/>
      <c r="N36" s="94"/>
      <c r="O36" s="94"/>
      <c r="P36" s="94"/>
      <c r="Q36" s="94"/>
      <c r="R36" s="94"/>
      <c r="S36" s="94"/>
      <c r="T36" s="94"/>
      <c r="U36" s="94"/>
      <c r="V36" s="94"/>
      <c r="W36" s="7"/>
      <c r="X36" s="7"/>
      <c r="Y36" s="7"/>
      <c r="Z36" s="7"/>
      <c r="AA36" s="7"/>
      <c r="AB36" s="7"/>
      <c r="AC36" s="7"/>
      <c r="AD36" s="7"/>
    </row>
    <row r="37" spans="1:30" ht="13.5" hidden="1" customHeight="1"/>
    <row r="38" spans="1:30" ht="13.5" hidden="1" customHeight="1"/>
    <row r="39" spans="1:30" ht="13.5" hidden="1" customHeight="1"/>
    <row r="40" spans="1:30" ht="13.5" hidden="1" customHeight="1"/>
    <row r="41" spans="1:30" ht="13.5" hidden="1" customHeight="1">
      <c r="A41" s="269"/>
      <c r="F41" s="269"/>
      <c r="L41" s="270"/>
      <c r="M41" s="102"/>
      <c r="N41" s="102"/>
      <c r="O41" s="102"/>
      <c r="P41" s="102"/>
      <c r="Q41" s="102"/>
      <c r="R41" s="101"/>
      <c r="S41" s="102"/>
      <c r="T41" s="102"/>
      <c r="U41" s="102"/>
      <c r="V41" s="102"/>
      <c r="W41" s="59"/>
      <c r="X41" s="59"/>
      <c r="Y41" s="101"/>
    </row>
    <row r="42" spans="1:30" ht="13.5" hidden="1" customHeight="1">
      <c r="F42" s="103"/>
      <c r="L42" s="270"/>
      <c r="M42" s="102"/>
      <c r="N42" s="102"/>
      <c r="O42" s="102"/>
      <c r="P42" s="102"/>
      <c r="Q42" s="102"/>
      <c r="R42" s="101"/>
      <c r="S42" s="102"/>
      <c r="T42" s="102"/>
      <c r="U42" s="102"/>
      <c r="V42" s="102"/>
      <c r="W42" s="59"/>
      <c r="X42" s="59"/>
      <c r="Y42" s="101"/>
    </row>
    <row r="43" spans="1:30" ht="13.5" hidden="1" customHeight="1">
      <c r="A43" s="4"/>
      <c r="F43" s="4"/>
      <c r="L43" s="270"/>
      <c r="M43" s="102"/>
      <c r="N43" s="102"/>
      <c r="O43" s="102"/>
      <c r="P43" s="102"/>
      <c r="Q43" s="102"/>
      <c r="R43" s="101"/>
      <c r="S43" s="102"/>
      <c r="T43" s="102"/>
      <c r="U43" s="102"/>
      <c r="V43" s="102"/>
      <c r="W43" s="59"/>
      <c r="X43" s="59"/>
      <c r="Y43" s="101"/>
    </row>
    <row r="44" spans="1:30" ht="13.5" hidden="1" customHeight="1">
      <c r="L44" s="270"/>
      <c r="M44" s="102"/>
      <c r="N44" s="102"/>
      <c r="O44" s="102"/>
      <c r="P44" s="102"/>
      <c r="Q44" s="102"/>
      <c r="R44" s="101"/>
      <c r="S44" s="102"/>
      <c r="T44" s="102"/>
      <c r="U44" s="102"/>
      <c r="V44" s="102"/>
      <c r="W44" s="59"/>
      <c r="X44" s="59"/>
      <c r="Y44" s="101"/>
    </row>
    <row r="45" spans="1:30" ht="13.5" hidden="1" customHeight="1"/>
    <row r="46" spans="1:30" ht="13.5" hidden="1" customHeight="1"/>
    <row r="47" spans="1:30" ht="13.5" hidden="1" customHeight="1"/>
    <row r="48" spans="1:30" ht="13.5" hidden="1" customHeight="1"/>
    <row r="49" ht="13.5" hidden="1" customHeight="1"/>
    <row r="50" ht="13.5" hidden="1" customHeight="1"/>
    <row r="51" ht="13.5" hidden="1" customHeight="1"/>
    <row r="52" ht="13.5" hidden="1" customHeight="1"/>
    <row r="53" ht="13.5" hidden="1" customHeight="1"/>
    <row r="54" ht="13.5" hidden="1" customHeight="1"/>
    <row r="55" ht="13.5" hidden="1" customHeight="1"/>
    <row r="56" ht="13.5" hidden="1" customHeight="1"/>
    <row r="57" ht="13.5" hidden="1" customHeight="1"/>
    <row r="58" ht="13.5" hidden="1" customHeight="1"/>
    <row r="59" ht="13.5" hidden="1" customHeight="1"/>
    <row r="60" ht="13.5" hidden="1" customHeight="1"/>
    <row r="61" ht="13.5" hidden="1" customHeight="1"/>
    <row r="62" ht="13.5" hidden="1" customHeight="1"/>
    <row r="63" ht="13.5" hidden="1" customHeight="1"/>
    <row r="64" ht="13.5" hidden="1" customHeight="1"/>
    <row r="65" ht="13.5" hidden="1" customHeight="1"/>
    <row r="66" ht="13.5" hidden="1" customHeight="1"/>
    <row r="67" ht="13.5" hidden="1" customHeight="1"/>
    <row r="68" ht="13.5" hidden="1" customHeight="1"/>
    <row r="69" ht="13.5" hidden="1" customHeight="1"/>
    <row r="70" ht="13.5" hidden="1" customHeight="1"/>
    <row r="71" ht="13.5" hidden="1" customHeight="1"/>
    <row r="72" ht="13.5" hidden="1" customHeight="1"/>
    <row r="73" ht="13.5" hidden="1" customHeight="1"/>
    <row r="74" ht="13.5" hidden="1" customHeight="1"/>
    <row r="75" ht="13.5" hidden="1" customHeight="1"/>
    <row r="76" ht="13.5" hidden="1" customHeight="1"/>
    <row r="77" ht="13.5" hidden="1" customHeight="1"/>
    <row r="78" ht="13.5" hidden="1" customHeight="1"/>
    <row r="79" ht="13.5" hidden="1" customHeight="1"/>
    <row r="80" ht="13.5" hidden="1" customHeight="1"/>
    <row r="81" ht="13.5" hidden="1" customHeight="1"/>
    <row r="82" ht="13.5" hidden="1" customHeight="1"/>
    <row r="83" ht="13.5" hidden="1" customHeight="1"/>
    <row r="84" ht="13.5" hidden="1" customHeight="1"/>
    <row r="85" ht="13.5" hidden="1" customHeight="1"/>
    <row r="86" ht="13.5" hidden="1" customHeight="1"/>
    <row r="87" ht="13.5" hidden="1" customHeight="1"/>
    <row r="88" ht="13.5" hidden="1" customHeight="1"/>
    <row r="89" ht="13.5" hidden="1" customHeight="1"/>
    <row r="90" ht="13.5" hidden="1" customHeight="1"/>
    <row r="91" ht="13.5" hidden="1" customHeight="1"/>
    <row r="92" ht="13.5" hidden="1" customHeight="1"/>
    <row r="93" ht="13.5" hidden="1" customHeight="1"/>
    <row r="94" ht="13.5" hidden="1" customHeight="1"/>
    <row r="95" ht="13.5" hidden="1" customHeight="1"/>
    <row r="96" ht="13.5" hidden="1" customHeight="1"/>
    <row r="97" ht="13.5" hidden="1" customHeight="1"/>
    <row r="98" ht="13.5" hidden="1" customHeight="1"/>
    <row r="99" ht="13.5" hidden="1" customHeight="1"/>
    <row r="100" ht="13.5" hidden="1" customHeight="1"/>
    <row r="101" ht="13.5" hidden="1" customHeight="1"/>
    <row r="102" ht="13.5" hidden="1" customHeight="1"/>
    <row r="103" ht="13.5" hidden="1" customHeight="1"/>
    <row r="104" ht="13.5" hidden="1" customHeight="1"/>
    <row r="105" ht="13.5" hidden="1" customHeight="1"/>
    <row r="106" ht="13.5" hidden="1" customHeight="1"/>
    <row r="107" ht="13.5" hidden="1" customHeight="1"/>
    <row r="108" ht="13.5" hidden="1" customHeight="1"/>
    <row r="109" ht="13.5" hidden="1" customHeight="1"/>
    <row r="110" ht="13.5" hidden="1" customHeight="1"/>
    <row r="111" ht="13.5" hidden="1" customHeight="1"/>
    <row r="112" ht="13.5" hidden="1" customHeight="1"/>
    <row r="113" ht="13.5" hidden="1" customHeight="1"/>
    <row r="114" ht="13.5" hidden="1" customHeight="1"/>
    <row r="115" ht="13.5" hidden="1" customHeight="1"/>
    <row r="116" ht="13.5" hidden="1" customHeight="1"/>
    <row r="117" ht="13.5" hidden="1" customHeight="1"/>
    <row r="118" ht="13.5" hidden="1" customHeight="1"/>
    <row r="119" ht="13.5" hidden="1" customHeight="1"/>
    <row r="120" ht="13.5" hidden="1" customHeight="1"/>
    <row r="121" ht="13.5" hidden="1" customHeight="1"/>
    <row r="122" ht="13.5" hidden="1" customHeight="1"/>
    <row r="123" ht="13.5" hidden="1" customHeight="1"/>
    <row r="124" ht="13.5" hidden="1" customHeight="1"/>
    <row r="125" ht="13.5" hidden="1" customHeight="1"/>
    <row r="126" ht="13.5" hidden="1" customHeight="1"/>
    <row r="127" ht="13.5" hidden="1" customHeight="1"/>
    <row r="128" ht="13.5" hidden="1" customHeight="1"/>
    <row r="129" ht="13.5" hidden="1" customHeight="1"/>
    <row r="130" ht="13.5" hidden="1" customHeight="1"/>
    <row r="131" ht="13.5" hidden="1" customHeight="1"/>
    <row r="132" ht="13.5" hidden="1" customHeight="1"/>
    <row r="133" ht="13.5" hidden="1" customHeight="1"/>
    <row r="134" ht="13.5" hidden="1" customHeight="1"/>
    <row r="135" ht="13.5" hidden="1" customHeight="1"/>
    <row r="136" ht="13.5" hidden="1" customHeight="1"/>
    <row r="137" ht="13.5" hidden="1" customHeight="1"/>
    <row r="138" ht="13.5" hidden="1" customHeight="1"/>
    <row r="139" ht="13.5" hidden="1" customHeight="1"/>
    <row r="140" ht="13.5" hidden="1" customHeight="1"/>
    <row r="141" ht="13.5" hidden="1" customHeight="1"/>
    <row r="142" ht="13.5" hidden="1" customHeight="1"/>
    <row r="143" ht="13.5" hidden="1" customHeight="1"/>
    <row r="144" ht="13.5" hidden="1" customHeight="1"/>
    <row r="145" ht="13.5" hidden="1" customHeight="1"/>
    <row r="146" ht="13.5" hidden="1" customHeight="1"/>
    <row r="147" ht="13.5" hidden="1" customHeight="1"/>
    <row r="148" ht="13.5" hidden="1" customHeight="1"/>
    <row r="149" ht="13.5" hidden="1" customHeight="1"/>
    <row r="150" ht="13.5" hidden="1" customHeight="1"/>
    <row r="151" ht="13.5" hidden="1" customHeight="1"/>
    <row r="152" ht="13.5" hidden="1" customHeight="1"/>
    <row r="153" ht="13.5" hidden="1" customHeight="1"/>
    <row r="154" ht="13.5" hidden="1" customHeight="1"/>
    <row r="155" ht="13.5" hidden="1" customHeight="1"/>
    <row r="156" ht="13.5" hidden="1" customHeight="1"/>
    <row r="157" ht="13.5" hidden="1" customHeight="1"/>
    <row r="158" ht="13.5" hidden="1" customHeight="1"/>
    <row r="159" ht="13.5" hidden="1" customHeight="1"/>
    <row r="160" ht="13.5" hidden="1" customHeight="1"/>
    <row r="161" ht="13.5" hidden="1" customHeight="1"/>
    <row r="162" ht="13.5" hidden="1" customHeight="1"/>
    <row r="163" ht="13.5" hidden="1" customHeight="1"/>
    <row r="164" ht="13.5" hidden="1" customHeight="1"/>
    <row r="165" ht="13.5" hidden="1" customHeight="1"/>
    <row r="166" ht="13.5" hidden="1" customHeight="1"/>
    <row r="167" ht="13.5" hidden="1" customHeight="1"/>
    <row r="168" ht="13.5" hidden="1" customHeight="1"/>
    <row r="169" ht="13.5" hidden="1" customHeight="1"/>
    <row r="170" ht="13.5" hidden="1" customHeight="1"/>
    <row r="171" ht="13.5" hidden="1" customHeight="1"/>
    <row r="172" ht="13.5" hidden="1" customHeight="1"/>
    <row r="173" ht="13.5" hidden="1" customHeight="1"/>
    <row r="174" ht="13.5" hidden="1" customHeight="1"/>
    <row r="175" ht="13.5" hidden="1" customHeight="1"/>
    <row r="176" ht="13.5" hidden="1" customHeight="1"/>
    <row r="177" ht="13.5" hidden="1" customHeight="1"/>
    <row r="178" ht="13.5" hidden="1" customHeight="1"/>
    <row r="179" ht="13.5" hidden="1" customHeight="1"/>
    <row r="180" ht="13.5" hidden="1" customHeight="1"/>
    <row r="181" ht="13.5" hidden="1" customHeight="1"/>
    <row r="182" ht="13.5" hidden="1" customHeight="1"/>
    <row r="183" ht="13.5" hidden="1" customHeight="1"/>
    <row r="184" ht="13.5" hidden="1" customHeight="1"/>
    <row r="185" ht="13.5" hidden="1" customHeight="1"/>
    <row r="186" ht="13.5" hidden="1" customHeight="1"/>
    <row r="187" ht="13.5" hidden="1" customHeight="1"/>
    <row r="188" ht="13.5" hidden="1" customHeight="1"/>
    <row r="189" ht="13.5" hidden="1" customHeight="1"/>
    <row r="190" ht="13.5" hidden="1" customHeight="1"/>
    <row r="191" ht="13.5" hidden="1" customHeight="1"/>
    <row r="192" ht="13.5" hidden="1" customHeight="1"/>
    <row r="193" ht="13.5" hidden="1" customHeight="1"/>
    <row r="194" ht="13.5" hidden="1" customHeight="1"/>
    <row r="195" ht="13.5" hidden="1" customHeight="1"/>
    <row r="196" ht="13.5" hidden="1" customHeight="1"/>
    <row r="197" ht="13.5" hidden="1" customHeight="1"/>
    <row r="198" ht="13.5" hidden="1" customHeight="1"/>
    <row r="199" ht="13.5" hidden="1" customHeight="1"/>
    <row r="200" ht="13.5" hidden="1" customHeight="1"/>
    <row r="201" ht="13.5" hidden="1" customHeight="1"/>
    <row r="202" ht="13.5" hidden="1" customHeight="1"/>
    <row r="203" ht="13.5" hidden="1" customHeight="1"/>
    <row r="204" ht="13.5" hidden="1" customHeight="1"/>
    <row r="205" ht="13.5" hidden="1" customHeight="1"/>
    <row r="206" ht="13.5" hidden="1" customHeight="1"/>
    <row r="207" ht="13.5" hidden="1" customHeight="1"/>
    <row r="208" ht="13.5" hidden="1" customHeight="1"/>
    <row r="209" ht="13.5" hidden="1" customHeight="1"/>
    <row r="210" ht="13.5" hidden="1" customHeight="1"/>
    <row r="211" ht="13.5" hidden="1" customHeight="1"/>
    <row r="212" ht="13.5" hidden="1" customHeight="1"/>
    <row r="213" ht="13.5" hidden="1" customHeight="1"/>
    <row r="214" ht="13.5" hidden="1" customHeight="1"/>
    <row r="215" ht="13.5" hidden="1" customHeight="1"/>
    <row r="216" ht="13.5" hidden="1" customHeight="1"/>
    <row r="217" ht="13.5" hidden="1" customHeight="1"/>
    <row r="218" ht="13.5" hidden="1" customHeight="1"/>
    <row r="219" ht="13.5" hidden="1" customHeight="1"/>
    <row r="220" ht="13.5" hidden="1" customHeight="1"/>
    <row r="221" ht="13.5" hidden="1" customHeight="1"/>
    <row r="222" ht="13.5" hidden="1" customHeight="1"/>
    <row r="223" ht="13.5" hidden="1" customHeight="1"/>
    <row r="224" ht="13.5" hidden="1" customHeight="1"/>
    <row r="225" ht="13.5" hidden="1" customHeight="1"/>
    <row r="226" ht="13.5" hidden="1" customHeight="1"/>
    <row r="227" ht="13.5" hidden="1" customHeight="1"/>
    <row r="228" ht="13.5" hidden="1" customHeight="1"/>
    <row r="229" ht="13.5" hidden="1" customHeight="1"/>
    <row r="230" ht="13.5" hidden="1" customHeight="1"/>
    <row r="231" ht="13.5" hidden="1" customHeight="1"/>
    <row r="232" ht="13.5" hidden="1" customHeight="1"/>
    <row r="233" ht="13.5" hidden="1" customHeight="1"/>
    <row r="234" ht="13.5" hidden="1" customHeight="1"/>
    <row r="235" ht="13.5" hidden="1" customHeight="1"/>
    <row r="236" ht="13.5" hidden="1" customHeight="1"/>
    <row r="237" ht="13.5" hidden="1" customHeight="1"/>
    <row r="238" ht="13.5" hidden="1" customHeight="1"/>
    <row r="239" ht="13.5" hidden="1" customHeight="1"/>
    <row r="240" ht="13.5" hidden="1" customHeight="1"/>
    <row r="241" ht="13.5" hidden="1" customHeight="1"/>
    <row r="242" ht="13.5" hidden="1" customHeight="1"/>
    <row r="243" ht="13.5" hidden="1" customHeight="1"/>
    <row r="244" ht="13.5" hidden="1" customHeight="1"/>
    <row r="245" ht="13.5" hidden="1" customHeight="1"/>
    <row r="246" ht="13.5" hidden="1" customHeight="1"/>
    <row r="247" ht="13.5" hidden="1" customHeight="1"/>
    <row r="248" ht="13.5" hidden="1" customHeight="1"/>
    <row r="249" ht="13.5" hidden="1" customHeight="1"/>
    <row r="250" ht="13.5" hidden="1" customHeight="1"/>
    <row r="251" ht="13.5" hidden="1" customHeight="1"/>
    <row r="252" ht="13.5" hidden="1" customHeight="1"/>
    <row r="253" ht="13.5" hidden="1" customHeight="1"/>
    <row r="254" ht="13.5" hidden="1" customHeight="1"/>
    <row r="255" ht="13.5" hidden="1" customHeight="1"/>
    <row r="256" ht="13.5" hidden="1" customHeight="1"/>
    <row r="257" ht="13.5" hidden="1" customHeight="1"/>
    <row r="258" ht="13.5" hidden="1" customHeight="1"/>
    <row r="259" ht="13.5" hidden="1" customHeight="1"/>
    <row r="260" ht="13.5" hidden="1" customHeight="1"/>
    <row r="261" ht="13.5" hidden="1" customHeight="1"/>
    <row r="262" ht="13.5" hidden="1" customHeight="1"/>
    <row r="263" ht="13.5" hidden="1" customHeight="1"/>
    <row r="264" ht="13.5" hidden="1" customHeight="1"/>
    <row r="265" ht="13.5" hidden="1" customHeight="1"/>
    <row r="266" ht="13.5" hidden="1" customHeight="1"/>
    <row r="267" ht="13.5" hidden="1" customHeight="1"/>
    <row r="268" ht="13.5" hidden="1" customHeight="1"/>
    <row r="269" ht="13.5" hidden="1" customHeight="1"/>
    <row r="270" ht="13.5" hidden="1" customHeight="1"/>
    <row r="271" ht="13.5" hidden="1" customHeight="1"/>
    <row r="272" ht="13.5" hidden="1" customHeight="1"/>
    <row r="273" ht="13.5" hidden="1" customHeight="1"/>
    <row r="274" ht="13.5" hidden="1" customHeight="1"/>
    <row r="275" ht="13.5" hidden="1" customHeight="1"/>
    <row r="276" ht="13.5" hidden="1" customHeight="1"/>
    <row r="277" ht="13.5" hidden="1" customHeight="1"/>
    <row r="278" ht="13.5" hidden="1" customHeight="1"/>
    <row r="279" ht="13.5" hidden="1" customHeight="1"/>
    <row r="280" ht="13.5" hidden="1" customHeight="1"/>
    <row r="281" ht="13.5" hidden="1" customHeight="1"/>
    <row r="282" ht="13.5" hidden="1" customHeight="1"/>
    <row r="283" ht="13.5" hidden="1" customHeight="1"/>
    <row r="284" ht="13.5" hidden="1" customHeight="1"/>
    <row r="285" ht="13.5" hidden="1" customHeight="1"/>
    <row r="286" ht="13.5" hidden="1" customHeight="1"/>
    <row r="287" ht="13.5" hidden="1" customHeight="1"/>
    <row r="288" ht="13.5" hidden="1" customHeight="1"/>
    <row r="289" ht="13.5" hidden="1" customHeight="1"/>
    <row r="290" ht="13.5" hidden="1" customHeight="1"/>
    <row r="291" ht="13.5" hidden="1" customHeight="1"/>
    <row r="292" ht="13.5" hidden="1" customHeight="1"/>
    <row r="293" ht="13.5" hidden="1" customHeight="1"/>
    <row r="294" ht="13.5" hidden="1" customHeight="1"/>
    <row r="295" ht="13.5" hidden="1" customHeight="1"/>
    <row r="296" ht="13.5" hidden="1" customHeight="1"/>
    <row r="297" ht="13.5" hidden="1" customHeight="1"/>
    <row r="298" ht="13.5" hidden="1" customHeight="1"/>
    <row r="299" ht="13.5" hidden="1" customHeight="1"/>
    <row r="300" ht="13.5" hidden="1" customHeight="1"/>
    <row r="301" ht="13.5" hidden="1" customHeight="1"/>
    <row r="302" ht="13.5" hidden="1" customHeight="1"/>
    <row r="303" ht="13.5" hidden="1" customHeight="1"/>
    <row r="304" ht="13.5" hidden="1" customHeight="1"/>
    <row r="305" ht="13.5" hidden="1" customHeight="1"/>
    <row r="306" ht="13.5" hidden="1" customHeight="1"/>
    <row r="307" ht="13.5" hidden="1" customHeight="1"/>
    <row r="308" ht="13.5" hidden="1" customHeight="1"/>
    <row r="309" ht="13.5" hidden="1" customHeight="1"/>
    <row r="310" ht="13.5" hidden="1" customHeight="1"/>
    <row r="311" ht="13.5" hidden="1" customHeight="1"/>
    <row r="312" ht="13.5" hidden="1" customHeight="1"/>
    <row r="313" ht="13.5" hidden="1" customHeight="1"/>
    <row r="314" ht="13.5" hidden="1" customHeight="1"/>
    <row r="315" ht="13.5" hidden="1" customHeight="1"/>
    <row r="316" ht="13.5" hidden="1" customHeight="1"/>
    <row r="317" ht="13.5" hidden="1" customHeight="1"/>
    <row r="318" ht="13.5" hidden="1" customHeight="1"/>
    <row r="319" ht="13.5" hidden="1" customHeight="1"/>
    <row r="320" ht="13.5" hidden="1" customHeight="1"/>
    <row r="321" ht="14.1" customHeight="1"/>
  </sheetData>
  <phoneticPr fontId="0" type="noConversion"/>
  <pageMargins left="0.75" right="0.75" top="1" bottom="1" header="0.4921259845" footer="0.4921259845"/>
  <pageSetup paperSize="9" scale="75" orientation="landscape" horizontalDpi="4294967292" verticalDpi="4294967292" r:id="rId1"/>
  <headerFooter alignWithMargins="0">
    <oddFooter>&amp;LLe &amp;D&amp;CProfilés &amp;A du &amp;F&amp;RPage &amp;P sur &amp;N</oddFooter>
  </headerFooter>
  <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AJ127"/>
  <sheetViews>
    <sheetView topLeftCell="A46" workbookViewId="0"/>
  </sheetViews>
  <sheetFormatPr defaultColWidth="0" defaultRowHeight="11.25" zeroHeight="1"/>
  <cols>
    <col min="1" max="1" width="16.140625" style="216" customWidth="1"/>
    <col min="2" max="2" width="5.7109375" style="274" customWidth="1"/>
    <col min="3" max="4" width="6.140625" style="218" customWidth="1"/>
    <col min="5" max="7" width="5.140625" style="218" customWidth="1"/>
    <col min="8" max="8" width="6.7109375" style="218" customWidth="1"/>
    <col min="9" max="10" width="6.140625" style="218" customWidth="1"/>
    <col min="11" max="11" width="4.7109375" style="218" customWidth="1"/>
    <col min="12" max="12" width="4.85546875" style="219" customWidth="1"/>
    <col min="13" max="13" width="5.28515625" style="218" customWidth="1"/>
    <col min="14" max="15" width="5.7109375" style="218" customWidth="1"/>
    <col min="16" max="16" width="16.140625" style="216" customWidth="1"/>
    <col min="17" max="17" width="5" style="218" customWidth="1"/>
    <col min="18" max="20" width="6" style="218" customWidth="1"/>
    <col min="21" max="21" width="5.140625" style="218" customWidth="1"/>
    <col min="22" max="22" width="5.85546875" style="218" customWidth="1"/>
    <col min="23" max="23" width="6.42578125" style="218" customWidth="1"/>
    <col min="24" max="24" width="5.85546875" style="218" customWidth="1"/>
    <col min="25" max="25" width="5.42578125" style="218" customWidth="1"/>
    <col min="26" max="26" width="4.7109375" style="218" customWidth="1"/>
    <col min="27" max="27" width="5.42578125" style="218" customWidth="1"/>
    <col min="28" max="28" width="5" style="218" customWidth="1"/>
    <col min="29" max="29" width="5.85546875" style="218" customWidth="1"/>
    <col min="30" max="35" width="3.42578125" style="218" customWidth="1"/>
    <col min="36" max="36" width="2.42578125" style="218" customWidth="1"/>
    <col min="37" max="16384" width="10.85546875" style="218" hidden="1"/>
  </cols>
  <sheetData>
    <row r="1" spans="1:36" s="193" customFormat="1" ht="18.75" customHeight="1">
      <c r="A1" s="321"/>
      <c r="B1" s="322"/>
      <c r="C1" s="322"/>
      <c r="D1" s="322"/>
      <c r="E1" s="321"/>
      <c r="F1" s="324"/>
      <c r="G1" s="322"/>
      <c r="H1" s="324"/>
      <c r="I1" s="322"/>
      <c r="J1" s="322"/>
      <c r="K1" s="321"/>
      <c r="L1" s="421"/>
      <c r="M1" s="417"/>
      <c r="N1" s="417"/>
      <c r="O1" s="417"/>
      <c r="P1" s="417"/>
      <c r="Q1" s="417"/>
      <c r="R1" s="417"/>
      <c r="S1" s="417"/>
      <c r="T1" s="417"/>
      <c r="U1" s="417"/>
      <c r="V1" s="417"/>
      <c r="W1" s="417"/>
      <c r="X1" s="417"/>
      <c r="Y1" s="417"/>
      <c r="Z1" s="417"/>
      <c r="AA1" s="417"/>
      <c r="AB1" s="417"/>
      <c r="AC1" s="417"/>
      <c r="AD1" s="417"/>
      <c r="AE1" s="417"/>
      <c r="AF1" s="417"/>
      <c r="AG1" s="417"/>
      <c r="AH1" s="417"/>
      <c r="AI1" s="417"/>
      <c r="AJ1" s="417"/>
    </row>
    <row r="2" spans="1:36" s="193" customFormat="1" ht="20.25">
      <c r="A2" s="423" t="s">
        <v>1851</v>
      </c>
      <c r="B2" s="322"/>
      <c r="C2" s="322"/>
      <c r="D2" s="322"/>
      <c r="E2" s="321"/>
      <c r="F2" s="324"/>
      <c r="G2" s="322"/>
      <c r="H2" s="324"/>
      <c r="I2" s="322"/>
      <c r="J2" s="322"/>
      <c r="K2" s="321"/>
      <c r="L2" s="421"/>
      <c r="M2" s="417"/>
      <c r="N2" s="417"/>
      <c r="O2" s="417"/>
      <c r="P2" s="417"/>
      <c r="Q2" s="417"/>
      <c r="R2" s="417"/>
      <c r="S2" s="417"/>
      <c r="T2" s="417"/>
      <c r="U2" s="417"/>
      <c r="V2" s="417"/>
      <c r="W2" s="417"/>
      <c r="X2" s="417"/>
      <c r="Y2" s="417"/>
      <c r="Z2" s="417"/>
      <c r="AA2" s="417"/>
      <c r="AB2" s="417"/>
      <c r="AC2" s="417"/>
      <c r="AD2" s="417"/>
      <c r="AE2" s="417"/>
      <c r="AF2" s="417"/>
      <c r="AG2" s="417"/>
      <c r="AH2" s="417"/>
      <c r="AI2" s="417"/>
      <c r="AJ2" s="417"/>
    </row>
    <row r="3" spans="1:36" s="193" customFormat="1" ht="20.25">
      <c r="A3" s="423" t="s">
        <v>1852</v>
      </c>
      <c r="B3" s="419"/>
      <c r="C3" s="419"/>
      <c r="D3" s="419"/>
      <c r="E3" s="417"/>
      <c r="F3" s="459"/>
      <c r="G3" s="459"/>
      <c r="H3" s="462"/>
      <c r="I3" s="419"/>
      <c r="J3" s="419"/>
      <c r="K3" s="419"/>
      <c r="L3" s="459"/>
      <c r="M3" s="417"/>
      <c r="N3" s="417"/>
      <c r="O3" s="417"/>
      <c r="P3" s="417"/>
      <c r="Q3" s="417"/>
      <c r="R3" s="417"/>
      <c r="S3" s="417"/>
      <c r="T3" s="417"/>
      <c r="U3" s="417"/>
      <c r="V3" s="417"/>
      <c r="W3" s="417"/>
      <c r="X3" s="417"/>
      <c r="Y3" s="417"/>
      <c r="Z3" s="417"/>
      <c r="AA3" s="417"/>
      <c r="AB3" s="417"/>
      <c r="AC3" s="417"/>
      <c r="AD3" s="417"/>
      <c r="AE3" s="417"/>
      <c r="AF3" s="417"/>
      <c r="AG3" s="417"/>
      <c r="AH3" s="417"/>
      <c r="AI3" s="417"/>
      <c r="AJ3" s="417"/>
    </row>
    <row r="4" spans="1:36" s="193" customFormat="1" ht="12.75">
      <c r="A4" s="419" t="s">
        <v>1853</v>
      </c>
      <c r="B4" s="419"/>
      <c r="C4" s="419"/>
      <c r="D4" s="419"/>
      <c r="E4" s="419"/>
      <c r="F4" s="459"/>
      <c r="G4" s="459"/>
      <c r="H4" s="462"/>
      <c r="I4" s="419"/>
      <c r="J4" s="419"/>
      <c r="K4" s="419"/>
      <c r="L4" s="459"/>
      <c r="M4" s="417"/>
      <c r="N4" s="417"/>
      <c r="O4" s="417"/>
      <c r="P4" s="417"/>
      <c r="Q4" s="417"/>
      <c r="R4" s="417"/>
      <c r="S4" s="417"/>
      <c r="T4" s="417"/>
      <c r="U4" s="417"/>
      <c r="V4" s="417"/>
      <c r="W4" s="417"/>
      <c r="X4" s="417"/>
      <c r="Y4" s="417"/>
      <c r="Z4" s="417"/>
      <c r="AA4" s="417"/>
      <c r="AB4" s="417"/>
      <c r="AC4" s="417"/>
      <c r="AD4" s="417"/>
      <c r="AE4" s="417"/>
      <c r="AF4" s="417"/>
      <c r="AG4" s="417"/>
      <c r="AH4" s="417"/>
      <c r="AI4" s="417"/>
      <c r="AJ4" s="417"/>
    </row>
    <row r="5" spans="1:36" s="193" customFormat="1" ht="12.75">
      <c r="A5" s="419"/>
      <c r="B5" s="419"/>
      <c r="C5" s="419"/>
      <c r="D5" s="419"/>
      <c r="E5" s="419"/>
      <c r="F5" s="459"/>
      <c r="G5" s="459"/>
      <c r="H5" s="462"/>
      <c r="I5" s="419"/>
      <c r="J5" s="419"/>
      <c r="K5" s="419"/>
      <c r="L5" s="459"/>
      <c r="M5" s="417"/>
      <c r="N5" s="417"/>
      <c r="O5" s="417"/>
      <c r="P5" s="417"/>
      <c r="Q5" s="417"/>
      <c r="R5" s="417"/>
      <c r="S5" s="417"/>
      <c r="T5" s="417"/>
      <c r="U5" s="417"/>
      <c r="V5" s="417"/>
      <c r="W5" s="417"/>
      <c r="X5" s="417"/>
      <c r="Y5" s="417"/>
      <c r="Z5" s="417"/>
      <c r="AA5" s="417"/>
      <c r="AB5" s="417"/>
      <c r="AC5" s="417"/>
      <c r="AD5" s="417"/>
      <c r="AE5" s="417"/>
      <c r="AF5" s="417"/>
      <c r="AG5" s="417"/>
      <c r="AH5" s="417"/>
      <c r="AI5" s="417"/>
      <c r="AJ5" s="417"/>
    </row>
    <row r="6" spans="1:36" s="193" customFormat="1" ht="12.75">
      <c r="A6" s="419"/>
      <c r="B6" s="419"/>
      <c r="C6" s="419"/>
      <c r="D6" s="419"/>
      <c r="E6" s="419"/>
      <c r="F6" s="459"/>
      <c r="G6" s="459"/>
      <c r="H6" s="462"/>
      <c r="I6" s="419"/>
      <c r="J6" s="419"/>
      <c r="K6" s="419"/>
      <c r="L6" s="459"/>
      <c r="M6" s="417"/>
      <c r="N6" s="417"/>
      <c r="O6" s="417"/>
      <c r="P6" s="417"/>
      <c r="Q6" s="417"/>
      <c r="R6" s="417"/>
      <c r="S6" s="417"/>
      <c r="T6" s="417"/>
      <c r="U6" s="417"/>
      <c r="V6" s="417"/>
      <c r="W6" s="417"/>
      <c r="X6" s="417"/>
      <c r="Y6" s="417"/>
      <c r="Z6" s="417"/>
      <c r="AA6" s="417"/>
      <c r="AB6" s="417"/>
      <c r="AC6" s="417"/>
      <c r="AD6" s="417"/>
      <c r="AE6" s="417"/>
      <c r="AF6" s="417"/>
      <c r="AG6" s="417"/>
      <c r="AH6" s="417"/>
      <c r="AI6" s="417"/>
      <c r="AJ6" s="417"/>
    </row>
    <row r="7" spans="1:36" s="193" customFormat="1" ht="12.75">
      <c r="A7" s="419"/>
      <c r="B7" s="419"/>
      <c r="C7" s="419"/>
      <c r="D7" s="419"/>
      <c r="E7" s="419"/>
      <c r="F7" s="459"/>
      <c r="G7" s="459"/>
      <c r="H7" s="462"/>
      <c r="I7" s="419"/>
      <c r="J7" s="419"/>
      <c r="K7" s="419"/>
      <c r="L7" s="459"/>
      <c r="M7" s="417"/>
      <c r="N7" s="417"/>
      <c r="O7" s="417"/>
      <c r="P7" s="417"/>
      <c r="Q7" s="417"/>
      <c r="R7" s="417"/>
      <c r="S7" s="417"/>
      <c r="T7" s="417"/>
      <c r="U7" s="417"/>
      <c r="V7" s="417"/>
      <c r="W7" s="417"/>
      <c r="X7" s="417"/>
      <c r="Y7" s="417"/>
      <c r="Z7" s="417"/>
      <c r="AA7" s="417"/>
      <c r="AB7" s="417"/>
      <c r="AC7" s="417"/>
      <c r="AD7" s="417"/>
      <c r="AE7" s="417"/>
      <c r="AF7" s="417"/>
      <c r="AG7" s="417"/>
      <c r="AH7" s="417"/>
      <c r="AI7" s="417"/>
      <c r="AJ7" s="417"/>
    </row>
    <row r="8" spans="1:36" s="193" customFormat="1" ht="12.75">
      <c r="A8" s="419"/>
      <c r="B8" s="419"/>
      <c r="C8" s="419"/>
      <c r="D8" s="419"/>
      <c r="E8" s="419"/>
      <c r="F8" s="459"/>
      <c r="G8" s="459"/>
      <c r="H8" s="462"/>
      <c r="I8" s="419"/>
      <c r="J8" s="419"/>
      <c r="K8" s="419"/>
      <c r="L8" s="459"/>
      <c r="M8" s="417"/>
      <c r="N8" s="417"/>
      <c r="O8" s="417"/>
      <c r="P8" s="417"/>
      <c r="Q8" s="417"/>
      <c r="R8" s="417"/>
      <c r="S8" s="417"/>
      <c r="T8" s="417"/>
      <c r="U8" s="417"/>
      <c r="V8" s="417"/>
      <c r="W8" s="417"/>
      <c r="X8" s="417"/>
      <c r="Y8" s="417"/>
      <c r="Z8" s="417"/>
      <c r="AA8" s="417"/>
      <c r="AB8" s="417"/>
      <c r="AC8" s="417"/>
      <c r="AD8" s="417"/>
      <c r="AE8" s="417"/>
      <c r="AF8" s="417"/>
      <c r="AG8" s="417"/>
      <c r="AH8" s="417"/>
      <c r="AI8" s="417"/>
      <c r="AJ8" s="417"/>
    </row>
    <row r="9" spans="1:36" s="193" customFormat="1" ht="12" thickBot="1">
      <c r="A9" s="417"/>
      <c r="B9" s="422"/>
      <c r="C9" s="417"/>
      <c r="D9" s="417"/>
      <c r="E9" s="417"/>
      <c r="F9" s="417"/>
      <c r="G9" s="417"/>
      <c r="H9" s="417"/>
      <c r="I9" s="417"/>
      <c r="J9" s="417"/>
      <c r="K9" s="417"/>
      <c r="L9" s="421"/>
      <c r="M9" s="417"/>
      <c r="N9" s="417"/>
      <c r="O9" s="417"/>
      <c r="P9" s="417"/>
      <c r="Q9" s="417"/>
      <c r="R9" s="417"/>
      <c r="S9" s="417"/>
      <c r="T9" s="417"/>
      <c r="U9" s="417"/>
      <c r="V9" s="417"/>
      <c r="W9" s="417"/>
      <c r="X9" s="417"/>
      <c r="Y9" s="417"/>
      <c r="Z9" s="417"/>
      <c r="AA9" s="417"/>
      <c r="AB9" s="417"/>
      <c r="AC9" s="417"/>
      <c r="AD9" s="417"/>
      <c r="AE9" s="417"/>
      <c r="AF9" s="417"/>
      <c r="AG9" s="417"/>
      <c r="AH9" s="417"/>
      <c r="AI9" s="417"/>
      <c r="AJ9" s="417"/>
    </row>
    <row r="10" spans="1:36" s="193" customFormat="1" ht="12.75" thickTop="1" thickBot="1">
      <c r="A10" s="327"/>
      <c r="B10" s="328"/>
      <c r="C10" s="327"/>
      <c r="D10" s="363"/>
      <c r="E10" s="363"/>
      <c r="F10" s="363"/>
      <c r="G10" s="364"/>
      <c r="H10" s="366" t="s">
        <v>1799</v>
      </c>
      <c r="I10" s="327"/>
      <c r="J10" s="363"/>
      <c r="K10" s="363"/>
      <c r="L10" s="368"/>
      <c r="M10" s="364"/>
      <c r="N10" s="327"/>
      <c r="O10" s="364"/>
      <c r="P10" s="327"/>
      <c r="Q10" s="364"/>
      <c r="R10" s="370"/>
      <c r="S10" s="362"/>
      <c r="T10" s="362"/>
      <c r="U10" s="362"/>
      <c r="V10" s="362"/>
      <c r="W10" s="362" t="s">
        <v>1804</v>
      </c>
      <c r="X10" s="362"/>
      <c r="Y10" s="362"/>
      <c r="Z10" s="362"/>
      <c r="AA10" s="362"/>
      <c r="AB10" s="371"/>
      <c r="AC10" s="372"/>
      <c r="AD10" s="374"/>
      <c r="AE10" s="375"/>
      <c r="AF10" s="375" t="s">
        <v>1806</v>
      </c>
      <c r="AG10" s="375"/>
      <c r="AH10" s="375"/>
      <c r="AI10" s="376"/>
      <c r="AJ10" s="66" t="s">
        <v>570</v>
      </c>
    </row>
    <row r="11" spans="1:36" s="193" customFormat="1" ht="12.75" thickTop="1" thickBot="1">
      <c r="A11" s="329" t="s">
        <v>1799</v>
      </c>
      <c r="B11" s="330"/>
      <c r="C11" s="329"/>
      <c r="D11" s="360"/>
      <c r="E11" s="360" t="s">
        <v>1800</v>
      </c>
      <c r="F11" s="360"/>
      <c r="G11" s="365"/>
      <c r="H11" s="367" t="s">
        <v>1801</v>
      </c>
      <c r="I11" s="329"/>
      <c r="J11" s="360" t="s">
        <v>1802</v>
      </c>
      <c r="K11" s="360"/>
      <c r="L11" s="369"/>
      <c r="M11" s="365"/>
      <c r="N11" s="329" t="s">
        <v>1803</v>
      </c>
      <c r="O11" s="365"/>
      <c r="P11" s="329" t="s">
        <v>1799</v>
      </c>
      <c r="Q11" s="365"/>
      <c r="R11" s="370"/>
      <c r="S11" s="362" t="s">
        <v>1859</v>
      </c>
      <c r="T11" s="362"/>
      <c r="U11" s="362"/>
      <c r="V11" s="373"/>
      <c r="W11" s="370"/>
      <c r="X11" s="362" t="s">
        <v>1860</v>
      </c>
      <c r="Y11" s="362"/>
      <c r="Z11" s="373"/>
      <c r="AA11" s="331"/>
      <c r="AB11" s="332"/>
      <c r="AC11" s="333"/>
      <c r="AD11" s="377"/>
      <c r="AE11" s="378"/>
      <c r="AF11" s="378" t="s">
        <v>1807</v>
      </c>
      <c r="AG11" s="378"/>
      <c r="AH11" s="378"/>
      <c r="AI11" s="379"/>
      <c r="AJ11" s="66" t="s">
        <v>571</v>
      </c>
    </row>
    <row r="12" spans="1:36" s="193" customFormat="1" ht="20.25" thickTop="1">
      <c r="A12" s="69"/>
      <c r="B12" s="67" t="s">
        <v>572</v>
      </c>
      <c r="C12" s="18" t="s">
        <v>573</v>
      </c>
      <c r="D12" s="18" t="s">
        <v>574</v>
      </c>
      <c r="E12" s="18" t="s">
        <v>811</v>
      </c>
      <c r="F12" s="18" t="s">
        <v>812</v>
      </c>
      <c r="G12" s="67" t="s">
        <v>577</v>
      </c>
      <c r="H12" s="67" t="s">
        <v>578</v>
      </c>
      <c r="I12" s="18" t="s">
        <v>813</v>
      </c>
      <c r="J12" s="18" t="s">
        <v>580</v>
      </c>
      <c r="K12" s="18" t="s">
        <v>581</v>
      </c>
      <c r="L12" s="130" t="s">
        <v>814</v>
      </c>
      <c r="M12" s="67" t="s">
        <v>815</v>
      </c>
      <c r="N12" s="18" t="s">
        <v>816</v>
      </c>
      <c r="O12" s="18" t="s">
        <v>817</v>
      </c>
      <c r="P12" s="69"/>
      <c r="Q12" s="67" t="s">
        <v>572</v>
      </c>
      <c r="R12" s="18" t="s">
        <v>818</v>
      </c>
      <c r="S12" s="18" t="s">
        <v>587</v>
      </c>
      <c r="T12" s="18" t="s">
        <v>588</v>
      </c>
      <c r="U12" s="18" t="s">
        <v>819</v>
      </c>
      <c r="V12" s="67" t="s">
        <v>820</v>
      </c>
      <c r="W12" s="18" t="s">
        <v>821</v>
      </c>
      <c r="X12" s="18" t="s">
        <v>592</v>
      </c>
      <c r="Y12" s="18" t="s">
        <v>593</v>
      </c>
      <c r="Z12" s="67" t="s">
        <v>822</v>
      </c>
      <c r="AA12" s="18" t="s">
        <v>823</v>
      </c>
      <c r="AB12" s="18" t="s">
        <v>1647</v>
      </c>
      <c r="AC12" s="172" t="s">
        <v>1648</v>
      </c>
      <c r="AD12" s="374"/>
      <c r="AE12" s="375"/>
      <c r="AF12" s="376"/>
      <c r="AG12" s="374"/>
      <c r="AH12" s="375"/>
      <c r="AI12" s="376"/>
      <c r="AJ12" s="66" t="s">
        <v>598</v>
      </c>
    </row>
    <row r="13" spans="1:36" s="193" customFormat="1" ht="12" thickBot="1">
      <c r="A13" s="69"/>
      <c r="B13" s="67" t="s">
        <v>599</v>
      </c>
      <c r="C13" s="18" t="s">
        <v>600</v>
      </c>
      <c r="D13" s="18" t="s">
        <v>601</v>
      </c>
      <c r="E13" s="18" t="s">
        <v>601</v>
      </c>
      <c r="F13" s="18" t="s">
        <v>601</v>
      </c>
      <c r="G13" s="67" t="s">
        <v>601</v>
      </c>
      <c r="H13" s="67" t="s">
        <v>608</v>
      </c>
      <c r="I13" s="18" t="s">
        <v>601</v>
      </c>
      <c r="J13" s="18" t="s">
        <v>601</v>
      </c>
      <c r="K13" s="18"/>
      <c r="L13" s="129" t="s">
        <v>601</v>
      </c>
      <c r="M13" s="67" t="s">
        <v>601</v>
      </c>
      <c r="N13" s="18" t="s">
        <v>603</v>
      </c>
      <c r="O13" s="18" t="s">
        <v>604</v>
      </c>
      <c r="P13" s="69"/>
      <c r="Q13" s="67" t="s">
        <v>599</v>
      </c>
      <c r="R13" s="18" t="s">
        <v>826</v>
      </c>
      <c r="S13" s="18" t="s">
        <v>610</v>
      </c>
      <c r="T13" s="18" t="s">
        <v>610</v>
      </c>
      <c r="U13" s="18" t="s">
        <v>607</v>
      </c>
      <c r="V13" s="67" t="s">
        <v>608</v>
      </c>
      <c r="W13" s="18" t="s">
        <v>609</v>
      </c>
      <c r="X13" s="18" t="s">
        <v>610</v>
      </c>
      <c r="Y13" s="18" t="s">
        <v>610</v>
      </c>
      <c r="Z13" s="67" t="s">
        <v>607</v>
      </c>
      <c r="AA13" s="18" t="s">
        <v>601</v>
      </c>
      <c r="AB13" s="18" t="s">
        <v>609</v>
      </c>
      <c r="AC13" s="172" t="s">
        <v>1333</v>
      </c>
      <c r="AD13" s="377"/>
      <c r="AE13" s="378" t="s">
        <v>1808</v>
      </c>
      <c r="AF13" s="379"/>
      <c r="AG13" s="377"/>
      <c r="AH13" s="378" t="s">
        <v>1809</v>
      </c>
      <c r="AI13" s="379"/>
      <c r="AJ13" s="66" t="s">
        <v>613</v>
      </c>
    </row>
    <row r="14" spans="1:36" s="193" customFormat="1" ht="12.75" thickTop="1" thickBot="1">
      <c r="A14" s="131"/>
      <c r="B14" s="132"/>
      <c r="C14" s="133"/>
      <c r="D14" s="133"/>
      <c r="E14" s="133"/>
      <c r="F14" s="133"/>
      <c r="G14" s="132"/>
      <c r="H14" s="132"/>
      <c r="I14" s="133"/>
      <c r="J14" s="133"/>
      <c r="K14" s="133"/>
      <c r="L14" s="134"/>
      <c r="M14" s="132"/>
      <c r="N14" s="133"/>
      <c r="O14" s="133"/>
      <c r="P14" s="131"/>
      <c r="Q14" s="132"/>
      <c r="R14" s="133"/>
      <c r="S14" s="133"/>
      <c r="T14" s="133"/>
      <c r="U14" s="133"/>
      <c r="V14" s="132"/>
      <c r="W14" s="133"/>
      <c r="X14" s="133"/>
      <c r="Y14" s="133"/>
      <c r="Z14" s="132"/>
      <c r="AA14" s="133"/>
      <c r="AB14" s="133"/>
      <c r="AC14" s="176"/>
      <c r="AD14" s="271">
        <v>235</v>
      </c>
      <c r="AE14" s="271">
        <v>355</v>
      </c>
      <c r="AF14" s="271">
        <v>460</v>
      </c>
      <c r="AG14" s="271">
        <v>235</v>
      </c>
      <c r="AH14" s="271">
        <v>355</v>
      </c>
      <c r="AI14" s="272">
        <v>460</v>
      </c>
      <c r="AJ14" s="66" t="s">
        <v>578</v>
      </c>
    </row>
    <row r="15" spans="1:36" s="193" customFormat="1" ht="12" thickTop="1">
      <c r="A15" s="195"/>
      <c r="B15" s="195"/>
      <c r="C15" s="195"/>
      <c r="D15" s="195"/>
      <c r="E15" s="195"/>
      <c r="F15" s="195"/>
      <c r="G15" s="195"/>
      <c r="H15" s="195"/>
      <c r="I15" s="195"/>
      <c r="J15" s="195"/>
      <c r="K15" s="195"/>
      <c r="L15" s="196"/>
      <c r="M15" s="195"/>
      <c r="N15" s="195"/>
      <c r="O15" s="195"/>
      <c r="P15" s="195"/>
      <c r="Q15" s="195"/>
      <c r="R15" s="195"/>
      <c r="S15" s="195"/>
      <c r="T15" s="195"/>
      <c r="U15" s="195"/>
      <c r="V15" s="195"/>
      <c r="W15" s="195"/>
      <c r="X15" s="195"/>
      <c r="Y15" s="195"/>
      <c r="Z15" s="195"/>
      <c r="AA15" s="195"/>
      <c r="AB15" s="195"/>
      <c r="AC15" s="195"/>
      <c r="AD15" s="195"/>
      <c r="AE15" s="195"/>
      <c r="AF15" s="195"/>
      <c r="AG15" s="195"/>
      <c r="AH15" s="195"/>
      <c r="AI15" s="195"/>
      <c r="AJ15" s="141" t="s">
        <v>614</v>
      </c>
    </row>
    <row r="16" spans="1:36" s="455" customFormat="1">
      <c r="A16" s="404" t="s">
        <v>1649</v>
      </c>
      <c r="B16" s="388">
        <v>16.899999999999999</v>
      </c>
      <c r="C16" s="520">
        <v>100</v>
      </c>
      <c r="D16" s="389">
        <v>100</v>
      </c>
      <c r="E16" s="389">
        <v>6</v>
      </c>
      <c r="F16" s="389">
        <v>8</v>
      </c>
      <c r="G16" s="389">
        <v>8</v>
      </c>
      <c r="H16" s="532">
        <v>21.59</v>
      </c>
      <c r="I16" s="389">
        <v>84</v>
      </c>
      <c r="J16" s="389">
        <v>68</v>
      </c>
      <c r="K16" s="389" t="s">
        <v>625</v>
      </c>
      <c r="L16" s="393">
        <v>52</v>
      </c>
      <c r="M16" s="391">
        <v>56</v>
      </c>
      <c r="N16" s="395">
        <v>0.57399999999999995</v>
      </c>
      <c r="O16" s="396">
        <v>33.880000000000003</v>
      </c>
      <c r="P16" s="404" t="s">
        <v>1649</v>
      </c>
      <c r="Q16" s="388">
        <v>16.899999999999999</v>
      </c>
      <c r="R16" s="390">
        <v>377.9</v>
      </c>
      <c r="S16" s="390">
        <v>75.59</v>
      </c>
      <c r="T16" s="389">
        <v>86.39</v>
      </c>
      <c r="U16" s="396">
        <v>4.18</v>
      </c>
      <c r="V16" s="392">
        <v>7.35</v>
      </c>
      <c r="W16" s="390">
        <v>133.6</v>
      </c>
      <c r="X16" s="396">
        <v>26.72</v>
      </c>
      <c r="Y16" s="396">
        <v>41.02</v>
      </c>
      <c r="Z16" s="392">
        <v>2.4900000000000002</v>
      </c>
      <c r="AA16" s="396">
        <v>31.37</v>
      </c>
      <c r="AB16" s="396">
        <v>4.91</v>
      </c>
      <c r="AC16" s="397">
        <v>2.82</v>
      </c>
      <c r="AD16" s="389">
        <v>1</v>
      </c>
      <c r="AE16" s="389">
        <v>1</v>
      </c>
      <c r="AF16" s="391" t="s">
        <v>616</v>
      </c>
      <c r="AG16" s="389">
        <v>1</v>
      </c>
      <c r="AH16" s="389">
        <v>1</v>
      </c>
      <c r="AI16" s="414" t="s">
        <v>616</v>
      </c>
      <c r="AJ16" s="434"/>
    </row>
    <row r="17" spans="1:36" s="138" customFormat="1" ht="13.5" customHeight="1">
      <c r="A17" s="33"/>
      <c r="B17" s="34"/>
      <c r="C17" s="200"/>
      <c r="D17" s="200"/>
      <c r="E17" s="200"/>
      <c r="F17" s="200"/>
      <c r="G17" s="201"/>
      <c r="H17" s="41"/>
      <c r="I17" s="21"/>
      <c r="J17" s="21"/>
      <c r="K17" s="21"/>
      <c r="L17" s="35"/>
      <c r="M17" s="38"/>
      <c r="N17" s="39"/>
      <c r="O17" s="40"/>
      <c r="P17" s="273"/>
      <c r="Q17" s="51"/>
      <c r="R17" s="36"/>
      <c r="S17" s="36"/>
      <c r="T17" s="36"/>
      <c r="U17" s="40"/>
      <c r="V17" s="41"/>
      <c r="W17" s="36"/>
      <c r="X17" s="40"/>
      <c r="Y17" s="40"/>
      <c r="Z17" s="41"/>
      <c r="AA17" s="40"/>
      <c r="AB17" s="21"/>
      <c r="AC17" s="40"/>
      <c r="AD17" s="199"/>
      <c r="AE17" s="200"/>
      <c r="AF17" s="201"/>
      <c r="AG17" s="200"/>
      <c r="AH17" s="200"/>
      <c r="AI17" s="202"/>
      <c r="AJ17" s="200"/>
    </row>
    <row r="18" spans="1:36" s="430" customFormat="1" ht="13.5" customHeight="1">
      <c r="A18" s="404" t="s">
        <v>1650</v>
      </c>
      <c r="B18" s="405">
        <v>23.6</v>
      </c>
      <c r="C18" s="398">
        <v>125</v>
      </c>
      <c r="D18" s="398">
        <v>125</v>
      </c>
      <c r="E18" s="398">
        <v>6.5</v>
      </c>
      <c r="F18" s="398">
        <v>9</v>
      </c>
      <c r="G18" s="399">
        <v>8</v>
      </c>
      <c r="H18" s="407">
        <v>30</v>
      </c>
      <c r="I18" s="398">
        <v>107</v>
      </c>
      <c r="J18" s="398">
        <v>91</v>
      </c>
      <c r="K18" s="398" t="s">
        <v>639</v>
      </c>
      <c r="L18" s="408">
        <v>56</v>
      </c>
      <c r="M18" s="409">
        <v>62</v>
      </c>
      <c r="N18" s="410">
        <v>0.72299999999999998</v>
      </c>
      <c r="O18" s="411">
        <v>30.71</v>
      </c>
      <c r="P18" s="404" t="s">
        <v>1650</v>
      </c>
      <c r="Q18" s="405">
        <v>23.6</v>
      </c>
      <c r="R18" s="406">
        <v>839.5</v>
      </c>
      <c r="S18" s="406">
        <v>134.30000000000001</v>
      </c>
      <c r="T18" s="406">
        <v>151.9</v>
      </c>
      <c r="U18" s="411">
        <v>5.29</v>
      </c>
      <c r="V18" s="407">
        <v>9.5299999999999994</v>
      </c>
      <c r="W18" s="406">
        <v>293.39999999999998</v>
      </c>
      <c r="X18" s="411">
        <v>46.94</v>
      </c>
      <c r="Y18" s="411">
        <v>71.72</v>
      </c>
      <c r="Z18" s="407">
        <v>3.13</v>
      </c>
      <c r="AA18" s="411">
        <v>33.869999999999997</v>
      </c>
      <c r="AB18" s="398">
        <v>8.1</v>
      </c>
      <c r="AC18" s="411">
        <v>9.86</v>
      </c>
      <c r="AD18" s="453">
        <v>1</v>
      </c>
      <c r="AE18" s="398">
        <v>1</v>
      </c>
      <c r="AF18" s="399" t="s">
        <v>616</v>
      </c>
      <c r="AG18" s="398">
        <v>1</v>
      </c>
      <c r="AH18" s="398">
        <v>1</v>
      </c>
      <c r="AI18" s="400" t="s">
        <v>616</v>
      </c>
      <c r="AJ18" s="398"/>
    </row>
    <row r="19" spans="1:36" s="138" customFormat="1" ht="13.5" customHeight="1">
      <c r="A19" s="33"/>
      <c r="B19" s="34"/>
      <c r="C19" s="200"/>
      <c r="D19" s="200"/>
      <c r="E19" s="200"/>
      <c r="F19" s="200"/>
      <c r="G19" s="201"/>
      <c r="H19" s="41"/>
      <c r="I19" s="21"/>
      <c r="J19" s="21"/>
      <c r="K19" s="21"/>
      <c r="L19" s="35"/>
      <c r="M19" s="38"/>
      <c r="N19" s="39"/>
      <c r="O19" s="40"/>
      <c r="P19" s="273"/>
      <c r="Q19" s="51"/>
      <c r="R19" s="36"/>
      <c r="S19" s="36"/>
      <c r="T19" s="36"/>
      <c r="U19" s="40"/>
      <c r="V19" s="41"/>
      <c r="W19" s="36"/>
      <c r="X19" s="40"/>
      <c r="Y19" s="40"/>
      <c r="Z19" s="41"/>
      <c r="AA19" s="40"/>
      <c r="AB19" s="21"/>
      <c r="AC19" s="40"/>
      <c r="AD19" s="199"/>
      <c r="AE19" s="200"/>
      <c r="AF19" s="201"/>
      <c r="AG19" s="200"/>
      <c r="AH19" s="200"/>
      <c r="AI19" s="202"/>
      <c r="AJ19" s="200"/>
    </row>
    <row r="20" spans="1:36" s="430" customFormat="1" ht="13.5" customHeight="1">
      <c r="A20" s="404" t="s">
        <v>1651</v>
      </c>
      <c r="B20" s="405">
        <v>14</v>
      </c>
      <c r="C20" s="398">
        <v>150</v>
      </c>
      <c r="D20" s="398">
        <v>75</v>
      </c>
      <c r="E20" s="398">
        <v>5</v>
      </c>
      <c r="F20" s="398">
        <v>7</v>
      </c>
      <c r="G20" s="399">
        <v>8</v>
      </c>
      <c r="H20" s="407">
        <v>17.850000000000001</v>
      </c>
      <c r="I20" s="398">
        <v>136</v>
      </c>
      <c r="J20" s="398">
        <v>120</v>
      </c>
      <c r="K20" s="398" t="s">
        <v>616</v>
      </c>
      <c r="L20" s="408" t="s">
        <v>616</v>
      </c>
      <c r="M20" s="409" t="s">
        <v>616</v>
      </c>
      <c r="N20" s="410">
        <v>0.57599999999999996</v>
      </c>
      <c r="O20" s="411">
        <v>41.13</v>
      </c>
      <c r="P20" s="404" t="s">
        <v>1651</v>
      </c>
      <c r="Q20" s="405">
        <v>14</v>
      </c>
      <c r="R20" s="406">
        <v>666.1</v>
      </c>
      <c r="S20" s="406">
        <v>88.8</v>
      </c>
      <c r="T20" s="406">
        <v>101.8</v>
      </c>
      <c r="U20" s="411">
        <v>6.11</v>
      </c>
      <c r="V20" s="407">
        <v>8.82</v>
      </c>
      <c r="W20" s="406">
        <v>49.47</v>
      </c>
      <c r="X20" s="411">
        <v>13.19</v>
      </c>
      <c r="Y20" s="411">
        <v>20.77</v>
      </c>
      <c r="Z20" s="407">
        <v>1.66</v>
      </c>
      <c r="AA20" s="411">
        <v>28.37</v>
      </c>
      <c r="AB20" s="398">
        <v>2.9</v>
      </c>
      <c r="AC20" s="411">
        <v>2.52</v>
      </c>
      <c r="AD20" s="453">
        <v>1</v>
      </c>
      <c r="AE20" s="398">
        <v>1</v>
      </c>
      <c r="AF20" s="399" t="s">
        <v>616</v>
      </c>
      <c r="AG20" s="398">
        <v>1</v>
      </c>
      <c r="AH20" s="398">
        <v>1</v>
      </c>
      <c r="AI20" s="400" t="s">
        <v>616</v>
      </c>
      <c r="AJ20" s="398"/>
    </row>
    <row r="21" spans="1:36" s="138" customFormat="1" ht="13.5" customHeight="1">
      <c r="A21" s="33"/>
      <c r="B21" s="34"/>
      <c r="C21" s="200"/>
      <c r="D21" s="200"/>
      <c r="E21" s="200"/>
      <c r="F21" s="200"/>
      <c r="G21" s="201"/>
      <c r="H21" s="41"/>
      <c r="I21" s="21"/>
      <c r="J21" s="21"/>
      <c r="K21" s="21"/>
      <c r="L21" s="35"/>
      <c r="M21" s="38"/>
      <c r="N21" s="39"/>
      <c r="O21" s="40"/>
      <c r="P21" s="273"/>
      <c r="Q21" s="51"/>
      <c r="R21" s="35"/>
      <c r="S21" s="36"/>
      <c r="T21" s="36"/>
      <c r="U21" s="40"/>
      <c r="V21" s="41"/>
      <c r="W21" s="36"/>
      <c r="X21" s="40"/>
      <c r="Y21" s="40"/>
      <c r="Z21" s="41"/>
      <c r="AA21" s="40"/>
      <c r="AB21" s="21"/>
      <c r="AC21" s="40"/>
      <c r="AD21" s="199"/>
      <c r="AE21" s="200"/>
      <c r="AF21" s="201"/>
      <c r="AG21" s="200"/>
      <c r="AH21" s="200"/>
      <c r="AI21" s="202"/>
      <c r="AJ21" s="200"/>
    </row>
    <row r="22" spans="1:36" s="482" customFormat="1" ht="13.5" customHeight="1">
      <c r="A22" s="404" t="s">
        <v>1652</v>
      </c>
      <c r="B22" s="405">
        <v>31.1</v>
      </c>
      <c r="C22" s="398">
        <v>150</v>
      </c>
      <c r="D22" s="398">
        <v>150</v>
      </c>
      <c r="E22" s="398">
        <v>7</v>
      </c>
      <c r="F22" s="398">
        <v>10</v>
      </c>
      <c r="G22" s="399">
        <v>8</v>
      </c>
      <c r="H22" s="407">
        <v>39.65</v>
      </c>
      <c r="I22" s="398">
        <v>130</v>
      </c>
      <c r="J22" s="398">
        <v>114</v>
      </c>
      <c r="K22" s="398" t="s">
        <v>689</v>
      </c>
      <c r="L22" s="408">
        <v>72</v>
      </c>
      <c r="M22" s="409">
        <v>76</v>
      </c>
      <c r="N22" s="410">
        <v>0.872</v>
      </c>
      <c r="O22" s="411">
        <v>28.02</v>
      </c>
      <c r="P22" s="404" t="s">
        <v>1652</v>
      </c>
      <c r="Q22" s="405">
        <v>31.1</v>
      </c>
      <c r="R22" s="408">
        <v>1623</v>
      </c>
      <c r="S22" s="406">
        <v>216.3</v>
      </c>
      <c r="T22" s="406">
        <v>243</v>
      </c>
      <c r="U22" s="411">
        <v>6.4</v>
      </c>
      <c r="V22" s="407">
        <v>11.95</v>
      </c>
      <c r="W22" s="406">
        <v>563</v>
      </c>
      <c r="X22" s="411">
        <v>75.069999999999993</v>
      </c>
      <c r="Y22" s="406">
        <v>114.4</v>
      </c>
      <c r="Z22" s="407">
        <v>3.77</v>
      </c>
      <c r="AA22" s="411">
        <v>36.369999999999997</v>
      </c>
      <c r="AB22" s="398">
        <v>12.7</v>
      </c>
      <c r="AC22" s="411">
        <v>27.56</v>
      </c>
      <c r="AD22" s="453">
        <v>1</v>
      </c>
      <c r="AE22" s="398">
        <v>1</v>
      </c>
      <c r="AF22" s="399" t="s">
        <v>616</v>
      </c>
      <c r="AG22" s="398">
        <v>1</v>
      </c>
      <c r="AH22" s="398">
        <v>1</v>
      </c>
      <c r="AI22" s="400" t="s">
        <v>616</v>
      </c>
      <c r="AJ22" s="398"/>
    </row>
    <row r="23" spans="1:36" s="195" customFormat="1" ht="13.5" customHeight="1">
      <c r="A23" s="33"/>
      <c r="B23" s="34"/>
      <c r="C23" s="200"/>
      <c r="D23" s="200"/>
      <c r="E23" s="200"/>
      <c r="F23" s="200"/>
      <c r="G23" s="201"/>
      <c r="H23" s="41"/>
      <c r="I23" s="21"/>
      <c r="J23" s="21"/>
      <c r="K23" s="21"/>
      <c r="L23" s="35"/>
      <c r="M23" s="38"/>
      <c r="N23" s="39"/>
      <c r="O23" s="40"/>
      <c r="P23" s="273"/>
      <c r="Q23" s="51"/>
      <c r="R23" s="35"/>
      <c r="S23" s="36"/>
      <c r="T23" s="36"/>
      <c r="U23" s="40"/>
      <c r="V23" s="41"/>
      <c r="W23" s="36"/>
      <c r="X23" s="36"/>
      <c r="Y23" s="36"/>
      <c r="Z23" s="41"/>
      <c r="AA23" s="40"/>
      <c r="AB23" s="21"/>
      <c r="AC23" s="40"/>
      <c r="AD23" s="199"/>
      <c r="AE23" s="200"/>
      <c r="AF23" s="201"/>
      <c r="AG23" s="200"/>
      <c r="AH23" s="200"/>
      <c r="AI23" s="202"/>
      <c r="AJ23" s="200"/>
    </row>
    <row r="24" spans="1:36" s="435" customFormat="1" ht="13.5" customHeight="1">
      <c r="A24" s="404" t="s">
        <v>1653</v>
      </c>
      <c r="B24" s="405">
        <v>40.4</v>
      </c>
      <c r="C24" s="398">
        <v>175</v>
      </c>
      <c r="D24" s="398">
        <v>175</v>
      </c>
      <c r="E24" s="398">
        <v>7.5</v>
      </c>
      <c r="F24" s="398">
        <v>11</v>
      </c>
      <c r="G24" s="399">
        <v>13</v>
      </c>
      <c r="H24" s="407">
        <v>51.43</v>
      </c>
      <c r="I24" s="398">
        <v>153</v>
      </c>
      <c r="J24" s="398">
        <v>127</v>
      </c>
      <c r="K24" s="398" t="s">
        <v>656</v>
      </c>
      <c r="L24" s="408">
        <v>82</v>
      </c>
      <c r="M24" s="409">
        <v>88</v>
      </c>
      <c r="N24" s="410">
        <v>1.0129999999999999</v>
      </c>
      <c r="O24" s="411">
        <v>25.09</v>
      </c>
      <c r="P24" s="404" t="s">
        <v>1653</v>
      </c>
      <c r="Q24" s="405">
        <v>40.4</v>
      </c>
      <c r="R24" s="408">
        <v>2895</v>
      </c>
      <c r="S24" s="406">
        <v>330.9</v>
      </c>
      <c r="T24" s="406">
        <v>370.3</v>
      </c>
      <c r="U24" s="411">
        <v>7.5</v>
      </c>
      <c r="V24" s="407">
        <v>16.61</v>
      </c>
      <c r="W24" s="406">
        <v>983.8</v>
      </c>
      <c r="X24" s="406">
        <v>112.4</v>
      </c>
      <c r="Y24" s="406">
        <v>171.6</v>
      </c>
      <c r="Z24" s="407">
        <v>4.37</v>
      </c>
      <c r="AA24" s="411">
        <v>44.73</v>
      </c>
      <c r="AB24" s="398">
        <v>21.34</v>
      </c>
      <c r="AC24" s="411">
        <v>66.069999999999993</v>
      </c>
      <c r="AD24" s="453">
        <v>1</v>
      </c>
      <c r="AE24" s="398">
        <v>1</v>
      </c>
      <c r="AF24" s="399" t="s">
        <v>616</v>
      </c>
      <c r="AG24" s="398">
        <v>1</v>
      </c>
      <c r="AH24" s="398">
        <v>1</v>
      </c>
      <c r="AI24" s="400" t="s">
        <v>616</v>
      </c>
      <c r="AJ24" s="398"/>
    </row>
    <row r="25" spans="1:36" s="215" customFormat="1" ht="13.5" customHeight="1">
      <c r="A25" s="33"/>
      <c r="B25" s="34"/>
      <c r="C25" s="200"/>
      <c r="D25" s="200"/>
      <c r="E25" s="200"/>
      <c r="F25" s="200"/>
      <c r="G25" s="201"/>
      <c r="H25" s="41"/>
      <c r="I25" s="21"/>
      <c r="J25" s="21"/>
      <c r="K25" s="21"/>
      <c r="L25" s="35"/>
      <c r="M25" s="38"/>
      <c r="N25" s="39"/>
      <c r="O25" s="40"/>
      <c r="P25" s="273"/>
      <c r="Q25" s="51"/>
      <c r="R25" s="35"/>
      <c r="S25" s="36"/>
      <c r="T25" s="36"/>
      <c r="U25" s="40"/>
      <c r="V25" s="41"/>
      <c r="W25" s="36"/>
      <c r="X25" s="40"/>
      <c r="Y25" s="40"/>
      <c r="Z25" s="41"/>
      <c r="AA25" s="40"/>
      <c r="AB25" s="21"/>
      <c r="AC25" s="40"/>
      <c r="AD25" s="199"/>
      <c r="AE25" s="200"/>
      <c r="AF25" s="201"/>
      <c r="AG25" s="200"/>
      <c r="AH25" s="200"/>
      <c r="AI25" s="202"/>
      <c r="AJ25" s="200"/>
    </row>
    <row r="26" spans="1:36" s="435" customFormat="1" ht="13.5" customHeight="1">
      <c r="A26" s="404" t="s">
        <v>1654</v>
      </c>
      <c r="B26" s="405">
        <v>17.8</v>
      </c>
      <c r="C26" s="398">
        <v>198</v>
      </c>
      <c r="D26" s="398">
        <v>99</v>
      </c>
      <c r="E26" s="398">
        <v>4.5</v>
      </c>
      <c r="F26" s="398">
        <v>7</v>
      </c>
      <c r="G26" s="399">
        <v>8</v>
      </c>
      <c r="H26" s="407">
        <v>22.69</v>
      </c>
      <c r="I26" s="398">
        <v>184</v>
      </c>
      <c r="J26" s="398">
        <v>168</v>
      </c>
      <c r="K26" s="398" t="s">
        <v>625</v>
      </c>
      <c r="L26" s="408">
        <v>54</v>
      </c>
      <c r="M26" s="409">
        <v>56</v>
      </c>
      <c r="N26" s="410">
        <v>0.76900000000000002</v>
      </c>
      <c r="O26" s="411">
        <v>43.19</v>
      </c>
      <c r="P26" s="404" t="s">
        <v>1654</v>
      </c>
      <c r="Q26" s="405">
        <v>17.8</v>
      </c>
      <c r="R26" s="408">
        <v>1543</v>
      </c>
      <c r="S26" s="406">
        <v>155.9</v>
      </c>
      <c r="T26" s="406">
        <v>175.4</v>
      </c>
      <c r="U26" s="411">
        <v>8.25</v>
      </c>
      <c r="V26" s="407">
        <v>10.26</v>
      </c>
      <c r="W26" s="406">
        <v>113.4</v>
      </c>
      <c r="X26" s="411">
        <v>22.92</v>
      </c>
      <c r="Y26" s="411">
        <v>35.46</v>
      </c>
      <c r="Z26" s="407">
        <v>2.2400000000000002</v>
      </c>
      <c r="AA26" s="411">
        <v>27.87</v>
      </c>
      <c r="AB26" s="398">
        <v>3.32</v>
      </c>
      <c r="AC26" s="411">
        <v>10.32</v>
      </c>
      <c r="AD26" s="453">
        <v>1</v>
      </c>
      <c r="AE26" s="398">
        <v>1</v>
      </c>
      <c r="AF26" s="399" t="s">
        <v>616</v>
      </c>
      <c r="AG26" s="398">
        <v>2</v>
      </c>
      <c r="AH26" s="398">
        <v>4</v>
      </c>
      <c r="AI26" s="400" t="s">
        <v>616</v>
      </c>
      <c r="AJ26" s="398"/>
    </row>
    <row r="27" spans="1:36" s="215" customFormat="1" ht="13.5" customHeight="1">
      <c r="A27" s="33" t="s">
        <v>1655</v>
      </c>
      <c r="B27" s="34">
        <v>20.9</v>
      </c>
      <c r="C27" s="200">
        <v>200</v>
      </c>
      <c r="D27" s="200">
        <v>100</v>
      </c>
      <c r="E27" s="200">
        <v>5.5</v>
      </c>
      <c r="F27" s="200">
        <v>8</v>
      </c>
      <c r="G27" s="201">
        <v>8</v>
      </c>
      <c r="H27" s="41">
        <v>26.67</v>
      </c>
      <c r="I27" s="21">
        <v>184</v>
      </c>
      <c r="J27" s="21">
        <v>168</v>
      </c>
      <c r="K27" s="21" t="s">
        <v>625</v>
      </c>
      <c r="L27" s="35">
        <v>54</v>
      </c>
      <c r="M27" s="38">
        <v>56</v>
      </c>
      <c r="N27" s="39">
        <v>0.77500000000000002</v>
      </c>
      <c r="O27" s="40">
        <v>37.03</v>
      </c>
      <c r="P27" s="273" t="s">
        <v>1655</v>
      </c>
      <c r="Q27" s="51">
        <v>20.9</v>
      </c>
      <c r="R27" s="35">
        <v>1806</v>
      </c>
      <c r="S27" s="36">
        <v>180.6</v>
      </c>
      <c r="T27" s="36">
        <v>205.1</v>
      </c>
      <c r="U27" s="40">
        <v>8.23</v>
      </c>
      <c r="V27" s="41">
        <v>12.39</v>
      </c>
      <c r="W27" s="36">
        <v>133.69999999999999</v>
      </c>
      <c r="X27" s="40">
        <v>26.74</v>
      </c>
      <c r="Y27" s="40">
        <v>41.64</v>
      </c>
      <c r="Z27" s="41">
        <v>2.2400000000000002</v>
      </c>
      <c r="AA27" s="40">
        <v>30.87</v>
      </c>
      <c r="AB27" s="21">
        <v>5.17</v>
      </c>
      <c r="AC27" s="40">
        <v>12.29</v>
      </c>
      <c r="AD27" s="199">
        <v>1</v>
      </c>
      <c r="AE27" s="200">
        <v>1</v>
      </c>
      <c r="AF27" s="201" t="s">
        <v>616</v>
      </c>
      <c r="AG27" s="200">
        <v>1</v>
      </c>
      <c r="AH27" s="200">
        <v>2</v>
      </c>
      <c r="AI27" s="202" t="s">
        <v>616</v>
      </c>
      <c r="AJ27" s="200"/>
    </row>
    <row r="28" spans="1:36" s="215" customFormat="1" ht="13.5" customHeight="1">
      <c r="A28" s="33"/>
      <c r="B28" s="34"/>
      <c r="C28" s="200"/>
      <c r="D28" s="200"/>
      <c r="E28" s="200"/>
      <c r="F28" s="200"/>
      <c r="G28" s="201"/>
      <c r="H28" s="41"/>
      <c r="I28" s="21"/>
      <c r="J28" s="21"/>
      <c r="K28" s="21"/>
      <c r="L28" s="35"/>
      <c r="M28" s="38"/>
      <c r="N28" s="39"/>
      <c r="O28" s="40"/>
      <c r="P28" s="273"/>
      <c r="Q28" s="51"/>
      <c r="R28" s="35"/>
      <c r="S28" s="36"/>
      <c r="T28" s="36"/>
      <c r="U28" s="40"/>
      <c r="V28" s="41"/>
      <c r="W28" s="35"/>
      <c r="X28" s="36"/>
      <c r="Y28" s="36"/>
      <c r="Z28" s="41"/>
      <c r="AA28" s="40"/>
      <c r="AB28" s="21"/>
      <c r="AC28" s="21"/>
      <c r="AD28" s="199"/>
      <c r="AE28" s="200"/>
      <c r="AF28" s="201"/>
      <c r="AG28" s="200"/>
      <c r="AH28" s="200"/>
      <c r="AI28" s="202"/>
      <c r="AJ28" s="200"/>
    </row>
    <row r="29" spans="1:36" s="435" customFormat="1" ht="13.5" customHeight="1">
      <c r="A29" s="404" t="s">
        <v>1656</v>
      </c>
      <c r="B29" s="405">
        <v>49.9</v>
      </c>
      <c r="C29" s="398">
        <v>200</v>
      </c>
      <c r="D29" s="398">
        <v>200</v>
      </c>
      <c r="E29" s="398">
        <v>8</v>
      </c>
      <c r="F29" s="398">
        <v>12</v>
      </c>
      <c r="G29" s="399">
        <v>13</v>
      </c>
      <c r="H29" s="407">
        <v>63.53</v>
      </c>
      <c r="I29" s="398">
        <v>176</v>
      </c>
      <c r="J29" s="398">
        <v>150</v>
      </c>
      <c r="K29" s="398" t="s">
        <v>667</v>
      </c>
      <c r="L29" s="408">
        <v>92</v>
      </c>
      <c r="M29" s="409">
        <v>102</v>
      </c>
      <c r="N29" s="410">
        <v>1.1619999999999999</v>
      </c>
      <c r="O29" s="411">
        <v>23.29</v>
      </c>
      <c r="P29" s="404" t="s">
        <v>1656</v>
      </c>
      <c r="Q29" s="405">
        <v>49.9</v>
      </c>
      <c r="R29" s="408">
        <v>4716</v>
      </c>
      <c r="S29" s="406">
        <v>471.6</v>
      </c>
      <c r="T29" s="406">
        <v>525.5</v>
      </c>
      <c r="U29" s="411">
        <v>8.6199999999999992</v>
      </c>
      <c r="V29" s="407">
        <v>19.61</v>
      </c>
      <c r="W29" s="408">
        <v>1602</v>
      </c>
      <c r="X29" s="406">
        <v>160.19999999999999</v>
      </c>
      <c r="Y29" s="406">
        <v>243.8</v>
      </c>
      <c r="Z29" s="407">
        <v>5.0199999999999996</v>
      </c>
      <c r="AA29" s="411">
        <v>47.23</v>
      </c>
      <c r="AB29" s="398">
        <v>30.16</v>
      </c>
      <c r="AC29" s="398">
        <v>141.4</v>
      </c>
      <c r="AD29" s="453">
        <v>1</v>
      </c>
      <c r="AE29" s="398">
        <v>2</v>
      </c>
      <c r="AF29" s="399" t="s">
        <v>616</v>
      </c>
      <c r="AG29" s="398">
        <v>1</v>
      </c>
      <c r="AH29" s="398">
        <v>2</v>
      </c>
      <c r="AI29" s="400" t="s">
        <v>616</v>
      </c>
      <c r="AJ29" s="398"/>
    </row>
    <row r="30" spans="1:36" s="215" customFormat="1" ht="13.5" customHeight="1">
      <c r="A30" s="33" t="s">
        <v>1657</v>
      </c>
      <c r="B30" s="34">
        <v>56.2</v>
      </c>
      <c r="C30" s="200">
        <v>200</v>
      </c>
      <c r="D30" s="200">
        <v>204</v>
      </c>
      <c r="E30" s="200">
        <v>12</v>
      </c>
      <c r="F30" s="200">
        <v>12</v>
      </c>
      <c r="G30" s="201">
        <v>13</v>
      </c>
      <c r="H30" s="41">
        <v>71.53</v>
      </c>
      <c r="I30" s="21">
        <v>176</v>
      </c>
      <c r="J30" s="21">
        <v>150</v>
      </c>
      <c r="K30" s="21" t="s">
        <v>667</v>
      </c>
      <c r="L30" s="35">
        <v>98</v>
      </c>
      <c r="M30" s="38">
        <v>104</v>
      </c>
      <c r="N30" s="39">
        <v>1.17</v>
      </c>
      <c r="O30" s="40">
        <v>20.83</v>
      </c>
      <c r="P30" s="273" t="s">
        <v>1657</v>
      </c>
      <c r="Q30" s="51">
        <v>56.2</v>
      </c>
      <c r="R30" s="35">
        <v>4982</v>
      </c>
      <c r="S30" s="36">
        <v>498.2</v>
      </c>
      <c r="T30" s="36">
        <v>565.5</v>
      </c>
      <c r="U30" s="40">
        <v>8.35</v>
      </c>
      <c r="V30" s="41">
        <v>27.13</v>
      </c>
      <c r="W30" s="35">
        <v>1702</v>
      </c>
      <c r="X30" s="36">
        <v>166.8</v>
      </c>
      <c r="Y30" s="36">
        <v>257.3</v>
      </c>
      <c r="Z30" s="41">
        <v>4.88</v>
      </c>
      <c r="AA30" s="40">
        <v>51.23</v>
      </c>
      <c r="AB30" s="21">
        <v>43.59</v>
      </c>
      <c r="AC30" s="21">
        <v>150</v>
      </c>
      <c r="AD30" s="199">
        <v>1</v>
      </c>
      <c r="AE30" s="200">
        <v>2</v>
      </c>
      <c r="AF30" s="201" t="s">
        <v>616</v>
      </c>
      <c r="AG30" s="200">
        <v>1</v>
      </c>
      <c r="AH30" s="200">
        <v>2</v>
      </c>
      <c r="AI30" s="202" t="s">
        <v>616</v>
      </c>
      <c r="AJ30" s="200"/>
    </row>
    <row r="31" spans="1:36" s="215" customFormat="1" ht="13.5" customHeight="1">
      <c r="A31" s="33"/>
      <c r="B31" s="34"/>
      <c r="C31" s="200"/>
      <c r="D31" s="200"/>
      <c r="E31" s="200"/>
      <c r="F31" s="200"/>
      <c r="G31" s="201"/>
      <c r="H31" s="41"/>
      <c r="I31" s="21"/>
      <c r="J31" s="21"/>
      <c r="K31" s="21"/>
      <c r="L31" s="35"/>
      <c r="M31" s="38"/>
      <c r="N31" s="39"/>
      <c r="O31" s="40"/>
      <c r="P31" s="273"/>
      <c r="Q31" s="51"/>
      <c r="R31" s="35"/>
      <c r="S31" s="36"/>
      <c r="T31" s="36"/>
      <c r="U31" s="40"/>
      <c r="V31" s="41"/>
      <c r="W31" s="40"/>
      <c r="X31" s="40"/>
      <c r="Y31" s="40"/>
      <c r="Z31" s="41"/>
      <c r="AA31" s="40"/>
      <c r="AB31" s="21"/>
      <c r="AC31" s="21"/>
      <c r="AD31" s="199"/>
      <c r="AE31" s="200"/>
      <c r="AF31" s="201"/>
      <c r="AG31" s="200"/>
      <c r="AH31" s="200"/>
      <c r="AI31" s="202"/>
      <c r="AJ31" s="200"/>
    </row>
    <row r="32" spans="1:36" s="435" customFormat="1" ht="13.5" customHeight="1">
      <c r="A32" s="404" t="s">
        <v>1658</v>
      </c>
      <c r="B32" s="405">
        <v>25.1</v>
      </c>
      <c r="C32" s="398">
        <v>248</v>
      </c>
      <c r="D32" s="398">
        <v>124</v>
      </c>
      <c r="E32" s="398">
        <v>5</v>
      </c>
      <c r="F32" s="398">
        <v>8</v>
      </c>
      <c r="G32" s="399">
        <v>8</v>
      </c>
      <c r="H32" s="407">
        <v>31.99</v>
      </c>
      <c r="I32" s="398">
        <v>232</v>
      </c>
      <c r="J32" s="398">
        <v>216</v>
      </c>
      <c r="K32" s="398" t="s">
        <v>632</v>
      </c>
      <c r="L32" s="408">
        <v>58</v>
      </c>
      <c r="M32" s="409">
        <v>74</v>
      </c>
      <c r="N32" s="410">
        <v>0.96799999999999997</v>
      </c>
      <c r="O32" s="411">
        <v>38.56</v>
      </c>
      <c r="P32" s="404" t="s">
        <v>1658</v>
      </c>
      <c r="Q32" s="405">
        <v>25.1</v>
      </c>
      <c r="R32" s="408">
        <v>3450</v>
      </c>
      <c r="S32" s="406">
        <v>278.2</v>
      </c>
      <c r="T32" s="406">
        <v>311.60000000000002</v>
      </c>
      <c r="U32" s="411">
        <v>10.38</v>
      </c>
      <c r="V32" s="407">
        <v>13.83</v>
      </c>
      <c r="W32" s="406">
        <v>254.6</v>
      </c>
      <c r="X32" s="411">
        <v>41.06</v>
      </c>
      <c r="Y32" s="411">
        <v>63.19</v>
      </c>
      <c r="Z32" s="407">
        <v>2.82</v>
      </c>
      <c r="AA32" s="411">
        <v>30.37</v>
      </c>
      <c r="AB32" s="398">
        <v>5.8</v>
      </c>
      <c r="AC32" s="398">
        <v>36.61</v>
      </c>
      <c r="AD32" s="453">
        <v>1</v>
      </c>
      <c r="AE32" s="398">
        <v>1</v>
      </c>
      <c r="AF32" s="399" t="s">
        <v>616</v>
      </c>
      <c r="AG32" s="398">
        <v>4</v>
      </c>
      <c r="AH32" s="398">
        <v>4</v>
      </c>
      <c r="AI32" s="400" t="s">
        <v>616</v>
      </c>
      <c r="AJ32" s="398"/>
    </row>
    <row r="33" spans="1:36" s="215" customFormat="1" ht="13.5" customHeight="1">
      <c r="A33" s="33" t="s">
        <v>1659</v>
      </c>
      <c r="B33" s="34">
        <v>29</v>
      </c>
      <c r="C33" s="200">
        <v>250</v>
      </c>
      <c r="D33" s="200">
        <v>125</v>
      </c>
      <c r="E33" s="200">
        <v>6</v>
      </c>
      <c r="F33" s="200">
        <v>9</v>
      </c>
      <c r="G33" s="201">
        <v>8</v>
      </c>
      <c r="H33" s="41">
        <v>36.97</v>
      </c>
      <c r="I33" s="21">
        <v>232</v>
      </c>
      <c r="J33" s="21">
        <v>216</v>
      </c>
      <c r="K33" s="21" t="s">
        <v>632</v>
      </c>
      <c r="L33" s="35">
        <v>58</v>
      </c>
      <c r="M33" s="38">
        <v>74</v>
      </c>
      <c r="N33" s="39">
        <v>0.97399999999999998</v>
      </c>
      <c r="O33" s="40">
        <v>33.57</v>
      </c>
      <c r="P33" s="273" t="s">
        <v>1659</v>
      </c>
      <c r="Q33" s="51">
        <v>29</v>
      </c>
      <c r="R33" s="35">
        <v>3965</v>
      </c>
      <c r="S33" s="36">
        <v>317.2</v>
      </c>
      <c r="T33" s="36">
        <v>358.1</v>
      </c>
      <c r="U33" s="40">
        <v>10.36</v>
      </c>
      <c r="V33" s="41">
        <v>16.45</v>
      </c>
      <c r="W33" s="36">
        <v>293.5</v>
      </c>
      <c r="X33" s="40">
        <v>46.96</v>
      </c>
      <c r="Y33" s="40">
        <v>72.66</v>
      </c>
      <c r="Z33" s="41">
        <v>2.82</v>
      </c>
      <c r="AA33" s="40">
        <v>33.369999999999997</v>
      </c>
      <c r="AB33" s="21">
        <v>8.61</v>
      </c>
      <c r="AC33" s="21">
        <v>42.54</v>
      </c>
      <c r="AD33" s="199">
        <v>1</v>
      </c>
      <c r="AE33" s="200">
        <v>1</v>
      </c>
      <c r="AF33" s="201" t="s">
        <v>616</v>
      </c>
      <c r="AG33" s="200">
        <v>2</v>
      </c>
      <c r="AH33" s="200">
        <v>4</v>
      </c>
      <c r="AI33" s="202" t="s">
        <v>616</v>
      </c>
      <c r="AJ33" s="200"/>
    </row>
    <row r="34" spans="1:36" s="215" customFormat="1" ht="13.5" customHeight="1">
      <c r="A34" s="33"/>
      <c r="B34" s="34"/>
      <c r="C34" s="200"/>
      <c r="D34" s="200"/>
      <c r="E34" s="200"/>
      <c r="F34" s="200"/>
      <c r="G34" s="201"/>
      <c r="H34" s="41"/>
      <c r="I34" s="21"/>
      <c r="J34" s="21"/>
      <c r="K34" s="21"/>
      <c r="L34" s="35"/>
      <c r="M34" s="38"/>
      <c r="N34" s="39"/>
      <c r="O34" s="40"/>
      <c r="P34" s="273"/>
      <c r="Q34" s="51"/>
      <c r="R34" s="35"/>
      <c r="S34" s="36"/>
      <c r="T34" s="36"/>
      <c r="U34" s="40"/>
      <c r="V34" s="41"/>
      <c r="W34" s="36"/>
      <c r="X34" s="40"/>
      <c r="Y34" s="40"/>
      <c r="Z34" s="41"/>
      <c r="AA34" s="40"/>
      <c r="AB34" s="21"/>
      <c r="AC34" s="21"/>
      <c r="AD34" s="199"/>
      <c r="AE34" s="200"/>
      <c r="AF34" s="201"/>
      <c r="AG34" s="200"/>
      <c r="AH34" s="200"/>
      <c r="AI34" s="202"/>
      <c r="AJ34" s="200"/>
    </row>
    <row r="35" spans="1:36" s="435" customFormat="1" ht="13.5" customHeight="1">
      <c r="A35" s="404" t="s">
        <v>1660</v>
      </c>
      <c r="B35" s="405">
        <v>63.8</v>
      </c>
      <c r="C35" s="398">
        <v>244</v>
      </c>
      <c r="D35" s="398">
        <v>252</v>
      </c>
      <c r="E35" s="398">
        <v>11</v>
      </c>
      <c r="F35" s="398">
        <v>11</v>
      </c>
      <c r="G35" s="399">
        <v>13</v>
      </c>
      <c r="H35" s="407">
        <v>81.31</v>
      </c>
      <c r="I35" s="398">
        <v>222</v>
      </c>
      <c r="J35" s="398">
        <v>196</v>
      </c>
      <c r="K35" s="398" t="s">
        <v>667</v>
      </c>
      <c r="L35" s="408">
        <v>102</v>
      </c>
      <c r="M35" s="409">
        <v>152</v>
      </c>
      <c r="N35" s="410">
        <v>1.452</v>
      </c>
      <c r="O35" s="411">
        <v>22.74</v>
      </c>
      <c r="P35" s="404" t="s">
        <v>1660</v>
      </c>
      <c r="Q35" s="405">
        <v>63.8</v>
      </c>
      <c r="R35" s="408">
        <v>8703</v>
      </c>
      <c r="S35" s="406">
        <v>713.3</v>
      </c>
      <c r="T35" s="406">
        <v>797.1</v>
      </c>
      <c r="U35" s="411">
        <v>10.35</v>
      </c>
      <c r="V35" s="407">
        <v>29.94</v>
      </c>
      <c r="W35" s="408">
        <v>2937</v>
      </c>
      <c r="X35" s="406">
        <v>233.1</v>
      </c>
      <c r="Y35" s="406">
        <v>357.2</v>
      </c>
      <c r="Z35" s="407">
        <v>6.01</v>
      </c>
      <c r="AA35" s="411">
        <v>48.23</v>
      </c>
      <c r="AB35" s="398">
        <v>40.450000000000003</v>
      </c>
      <c r="AC35" s="398">
        <v>398.2</v>
      </c>
      <c r="AD35" s="453">
        <v>3</v>
      </c>
      <c r="AE35" s="398">
        <v>3</v>
      </c>
      <c r="AF35" s="399" t="s">
        <v>616</v>
      </c>
      <c r="AG35" s="398">
        <v>3</v>
      </c>
      <c r="AH35" s="398">
        <v>3</v>
      </c>
      <c r="AI35" s="400" t="s">
        <v>616</v>
      </c>
      <c r="AJ35" s="398"/>
    </row>
    <row r="36" spans="1:36" s="215" customFormat="1" ht="13.5" customHeight="1">
      <c r="A36" s="33" t="s">
        <v>1661</v>
      </c>
      <c r="B36" s="34">
        <v>71.8</v>
      </c>
      <c r="C36" s="200">
        <v>250</v>
      </c>
      <c r="D36" s="200">
        <v>250</v>
      </c>
      <c r="E36" s="200">
        <v>9</v>
      </c>
      <c r="F36" s="200">
        <v>14</v>
      </c>
      <c r="G36" s="201">
        <v>13</v>
      </c>
      <c r="H36" s="41">
        <v>91.43</v>
      </c>
      <c r="I36" s="21">
        <v>222</v>
      </c>
      <c r="J36" s="21">
        <v>196</v>
      </c>
      <c r="K36" s="21" t="s">
        <v>667</v>
      </c>
      <c r="L36" s="35">
        <v>100</v>
      </c>
      <c r="M36" s="38">
        <v>150</v>
      </c>
      <c r="N36" s="39">
        <v>1.46</v>
      </c>
      <c r="O36" s="40">
        <v>20.34</v>
      </c>
      <c r="P36" s="273" t="s">
        <v>1661</v>
      </c>
      <c r="Q36" s="51">
        <v>71.8</v>
      </c>
      <c r="R36" s="35">
        <v>10750</v>
      </c>
      <c r="S36" s="36">
        <v>859.9</v>
      </c>
      <c r="T36" s="36">
        <v>952.6</v>
      </c>
      <c r="U36" s="40">
        <v>10.84</v>
      </c>
      <c r="V36" s="41">
        <v>26.33</v>
      </c>
      <c r="W36" s="35">
        <v>3648</v>
      </c>
      <c r="X36" s="36">
        <v>291.8</v>
      </c>
      <c r="Y36" s="36">
        <v>443.1</v>
      </c>
      <c r="Z36" s="41">
        <v>6.32</v>
      </c>
      <c r="AA36" s="40">
        <v>52.23</v>
      </c>
      <c r="AB36" s="21">
        <v>56.24</v>
      </c>
      <c r="AC36" s="21">
        <v>507.6</v>
      </c>
      <c r="AD36" s="199">
        <v>1</v>
      </c>
      <c r="AE36" s="200">
        <v>2</v>
      </c>
      <c r="AF36" s="201" t="s">
        <v>616</v>
      </c>
      <c r="AG36" s="200">
        <v>1</v>
      </c>
      <c r="AH36" s="200">
        <v>2</v>
      </c>
      <c r="AI36" s="202" t="s">
        <v>616</v>
      </c>
      <c r="AJ36" s="200"/>
    </row>
    <row r="37" spans="1:36" s="435" customFormat="1" ht="13.5" customHeight="1">
      <c r="A37" s="404" t="s">
        <v>1662</v>
      </c>
      <c r="B37" s="405">
        <v>81.599999999999994</v>
      </c>
      <c r="C37" s="398">
        <v>250</v>
      </c>
      <c r="D37" s="398">
        <v>255</v>
      </c>
      <c r="E37" s="398">
        <v>14</v>
      </c>
      <c r="F37" s="398">
        <v>14</v>
      </c>
      <c r="G37" s="399">
        <v>13</v>
      </c>
      <c r="H37" s="405">
        <v>103.9</v>
      </c>
      <c r="I37" s="398">
        <v>222</v>
      </c>
      <c r="J37" s="398">
        <v>196</v>
      </c>
      <c r="K37" s="398" t="s">
        <v>667</v>
      </c>
      <c r="L37" s="408">
        <v>106</v>
      </c>
      <c r="M37" s="409">
        <v>154</v>
      </c>
      <c r="N37" s="410">
        <v>1.47</v>
      </c>
      <c r="O37" s="411">
        <v>18.010000000000002</v>
      </c>
      <c r="P37" s="404" t="s">
        <v>1662</v>
      </c>
      <c r="Q37" s="405">
        <v>81.599999999999994</v>
      </c>
      <c r="R37" s="408">
        <v>11400</v>
      </c>
      <c r="S37" s="406">
        <v>912</v>
      </c>
      <c r="T37" s="406">
        <v>1031</v>
      </c>
      <c r="U37" s="411">
        <v>10.47</v>
      </c>
      <c r="V37" s="407">
        <v>38.130000000000003</v>
      </c>
      <c r="W37" s="408">
        <v>3876</v>
      </c>
      <c r="X37" s="406">
        <v>304</v>
      </c>
      <c r="Y37" s="406">
        <v>467.5</v>
      </c>
      <c r="Z37" s="407">
        <v>6.11</v>
      </c>
      <c r="AA37" s="411">
        <v>57.23</v>
      </c>
      <c r="AB37" s="398">
        <v>81.12</v>
      </c>
      <c r="AC37" s="398">
        <v>538.70000000000005</v>
      </c>
      <c r="AD37" s="453">
        <v>1</v>
      </c>
      <c r="AE37" s="398">
        <v>3</v>
      </c>
      <c r="AF37" s="399" t="s">
        <v>616</v>
      </c>
      <c r="AG37" s="398">
        <v>1</v>
      </c>
      <c r="AH37" s="398">
        <v>3</v>
      </c>
      <c r="AI37" s="400" t="s">
        <v>616</v>
      </c>
      <c r="AJ37" s="398"/>
    </row>
    <row r="38" spans="1:36" s="215" customFormat="1" ht="13.5" customHeight="1">
      <c r="A38" s="33"/>
      <c r="B38" s="34"/>
      <c r="C38" s="200"/>
      <c r="D38" s="200"/>
      <c r="E38" s="200"/>
      <c r="F38" s="200"/>
      <c r="G38" s="201"/>
      <c r="H38" s="41"/>
      <c r="I38" s="21"/>
      <c r="J38" s="21"/>
      <c r="K38" s="21"/>
      <c r="L38" s="35"/>
      <c r="M38" s="38"/>
      <c r="N38" s="39"/>
      <c r="O38" s="40"/>
      <c r="P38" s="273"/>
      <c r="Q38" s="51"/>
      <c r="R38" s="35"/>
      <c r="S38" s="36"/>
      <c r="T38" s="36"/>
      <c r="U38" s="40"/>
      <c r="V38" s="41"/>
      <c r="W38" s="36"/>
      <c r="X38" s="40"/>
      <c r="Y38" s="40"/>
      <c r="Z38" s="41"/>
      <c r="AA38" s="40"/>
      <c r="AB38" s="21"/>
      <c r="AC38" s="21"/>
      <c r="AD38" s="199"/>
      <c r="AE38" s="200"/>
      <c r="AF38" s="201"/>
      <c r="AG38" s="200"/>
      <c r="AH38" s="200"/>
      <c r="AI38" s="202"/>
      <c r="AJ38" s="200"/>
    </row>
    <row r="39" spans="1:36" s="435" customFormat="1" ht="13.5" customHeight="1">
      <c r="A39" s="404" t="s">
        <v>1663</v>
      </c>
      <c r="B39" s="405">
        <v>32</v>
      </c>
      <c r="C39" s="398">
        <v>298</v>
      </c>
      <c r="D39" s="398">
        <v>149</v>
      </c>
      <c r="E39" s="398">
        <v>5.5</v>
      </c>
      <c r="F39" s="398">
        <v>8</v>
      </c>
      <c r="G39" s="399">
        <v>13</v>
      </c>
      <c r="H39" s="407">
        <v>40.799999999999997</v>
      </c>
      <c r="I39" s="398">
        <v>282</v>
      </c>
      <c r="J39" s="398">
        <v>256</v>
      </c>
      <c r="K39" s="398" t="s">
        <v>639</v>
      </c>
      <c r="L39" s="408">
        <v>76</v>
      </c>
      <c r="M39" s="409">
        <v>86</v>
      </c>
      <c r="N39" s="410">
        <v>1.159</v>
      </c>
      <c r="O39" s="411">
        <v>36.18</v>
      </c>
      <c r="P39" s="404" t="s">
        <v>1663</v>
      </c>
      <c r="Q39" s="405">
        <v>32</v>
      </c>
      <c r="R39" s="408">
        <v>6318</v>
      </c>
      <c r="S39" s="406">
        <v>424</v>
      </c>
      <c r="T39" s="406">
        <v>475.1</v>
      </c>
      <c r="U39" s="411">
        <v>12.44</v>
      </c>
      <c r="V39" s="407">
        <v>19.48</v>
      </c>
      <c r="W39" s="406">
        <v>442</v>
      </c>
      <c r="X39" s="411">
        <v>59.33</v>
      </c>
      <c r="Y39" s="411">
        <v>91.76</v>
      </c>
      <c r="Z39" s="407">
        <v>3.29</v>
      </c>
      <c r="AA39" s="411">
        <v>36.729999999999997</v>
      </c>
      <c r="AB39" s="398">
        <v>8.7899999999999991</v>
      </c>
      <c r="AC39" s="398">
        <v>92.73</v>
      </c>
      <c r="AD39" s="453">
        <v>1</v>
      </c>
      <c r="AE39" s="398">
        <v>3</v>
      </c>
      <c r="AF39" s="399" t="s">
        <v>616</v>
      </c>
      <c r="AG39" s="398">
        <v>4</v>
      </c>
      <c r="AH39" s="398">
        <v>4</v>
      </c>
      <c r="AI39" s="400" t="s">
        <v>616</v>
      </c>
      <c r="AJ39" s="398"/>
    </row>
    <row r="40" spans="1:36" s="215" customFormat="1" ht="13.5" customHeight="1">
      <c r="A40" s="33" t="s">
        <v>1664</v>
      </c>
      <c r="B40" s="34">
        <v>36.700000000000003</v>
      </c>
      <c r="C40" s="200">
        <v>300</v>
      </c>
      <c r="D40" s="200">
        <v>150</v>
      </c>
      <c r="E40" s="200">
        <v>6.5</v>
      </c>
      <c r="F40" s="200">
        <v>9</v>
      </c>
      <c r="G40" s="201">
        <v>13</v>
      </c>
      <c r="H40" s="41">
        <v>46.78</v>
      </c>
      <c r="I40" s="21">
        <v>282</v>
      </c>
      <c r="J40" s="21">
        <v>256</v>
      </c>
      <c r="K40" s="21" t="s">
        <v>639</v>
      </c>
      <c r="L40" s="35">
        <v>76</v>
      </c>
      <c r="M40" s="38">
        <v>88</v>
      </c>
      <c r="N40" s="39">
        <v>1.165</v>
      </c>
      <c r="O40" s="40">
        <v>31.72</v>
      </c>
      <c r="P40" s="273" t="s">
        <v>1664</v>
      </c>
      <c r="Q40" s="51">
        <v>36.700000000000003</v>
      </c>
      <c r="R40" s="35">
        <v>7209</v>
      </c>
      <c r="S40" s="36">
        <v>480.6</v>
      </c>
      <c r="T40" s="36">
        <v>542.1</v>
      </c>
      <c r="U40" s="40">
        <v>12.41</v>
      </c>
      <c r="V40" s="41">
        <v>22.71</v>
      </c>
      <c r="W40" s="36">
        <v>507.5</v>
      </c>
      <c r="X40" s="40">
        <v>67.67</v>
      </c>
      <c r="Y40" s="36">
        <v>105.1</v>
      </c>
      <c r="Z40" s="41">
        <v>3.29</v>
      </c>
      <c r="AA40" s="40">
        <v>39.729999999999997</v>
      </c>
      <c r="AB40" s="21">
        <v>12.73</v>
      </c>
      <c r="AC40" s="21">
        <v>107.2</v>
      </c>
      <c r="AD40" s="199">
        <v>1</v>
      </c>
      <c r="AE40" s="200">
        <v>2</v>
      </c>
      <c r="AF40" s="201" t="s">
        <v>616</v>
      </c>
      <c r="AG40" s="200">
        <v>3</v>
      </c>
      <c r="AH40" s="200">
        <v>4</v>
      </c>
      <c r="AI40" s="202" t="s">
        <v>616</v>
      </c>
      <c r="AJ40" s="200"/>
    </row>
    <row r="41" spans="1:36" s="215" customFormat="1" ht="13.5" customHeight="1">
      <c r="A41" s="33"/>
      <c r="B41" s="34"/>
      <c r="C41" s="200"/>
      <c r="D41" s="200"/>
      <c r="E41" s="200"/>
      <c r="F41" s="200"/>
      <c r="G41" s="201"/>
      <c r="H41" s="41"/>
      <c r="I41" s="21"/>
      <c r="J41" s="21"/>
      <c r="K41" s="21"/>
      <c r="L41" s="35"/>
      <c r="M41" s="38"/>
      <c r="N41" s="39"/>
      <c r="O41" s="40"/>
      <c r="P41" s="273"/>
      <c r="Q41" s="51"/>
      <c r="R41" s="35"/>
      <c r="S41" s="36"/>
      <c r="T41" s="36"/>
      <c r="U41" s="40"/>
      <c r="V41" s="41"/>
      <c r="W41" s="36"/>
      <c r="X41" s="40"/>
      <c r="Y41" s="36"/>
      <c r="Z41" s="41"/>
      <c r="AA41" s="40"/>
      <c r="AB41" s="21"/>
      <c r="AC41" s="21"/>
      <c r="AD41" s="199"/>
      <c r="AE41" s="200"/>
      <c r="AF41" s="201"/>
      <c r="AG41" s="200"/>
      <c r="AH41" s="200"/>
      <c r="AI41" s="202"/>
      <c r="AJ41" s="200"/>
    </row>
    <row r="42" spans="1:36" s="435" customFormat="1" ht="13.5" customHeight="1">
      <c r="A42" s="404" t="s">
        <v>1665</v>
      </c>
      <c r="B42" s="405">
        <v>83.5</v>
      </c>
      <c r="C42" s="398">
        <v>294</v>
      </c>
      <c r="D42" s="398">
        <v>302</v>
      </c>
      <c r="E42" s="398">
        <v>12</v>
      </c>
      <c r="F42" s="398">
        <v>12</v>
      </c>
      <c r="G42" s="399">
        <v>13</v>
      </c>
      <c r="H42" s="405">
        <v>106.3</v>
      </c>
      <c r="I42" s="398">
        <v>270</v>
      </c>
      <c r="J42" s="398">
        <v>244</v>
      </c>
      <c r="K42" s="398" t="s">
        <v>667</v>
      </c>
      <c r="L42" s="408">
        <v>104</v>
      </c>
      <c r="M42" s="409">
        <v>202</v>
      </c>
      <c r="N42" s="410">
        <v>1.75</v>
      </c>
      <c r="O42" s="411">
        <v>20.96</v>
      </c>
      <c r="P42" s="404" t="s">
        <v>1665</v>
      </c>
      <c r="Q42" s="405">
        <v>83.5</v>
      </c>
      <c r="R42" s="408">
        <v>16640</v>
      </c>
      <c r="S42" s="408">
        <v>1132</v>
      </c>
      <c r="T42" s="408">
        <v>1260</v>
      </c>
      <c r="U42" s="411">
        <v>12.51</v>
      </c>
      <c r="V42" s="407">
        <v>38.409999999999997</v>
      </c>
      <c r="W42" s="408">
        <v>5514</v>
      </c>
      <c r="X42" s="406">
        <v>365.2</v>
      </c>
      <c r="Y42" s="406">
        <v>558.20000000000005</v>
      </c>
      <c r="Z42" s="407">
        <v>7.2</v>
      </c>
      <c r="AA42" s="411">
        <v>51.23</v>
      </c>
      <c r="AB42" s="398">
        <v>60.3</v>
      </c>
      <c r="AC42" s="398">
        <v>1095</v>
      </c>
      <c r="AD42" s="453">
        <v>3</v>
      </c>
      <c r="AE42" s="398">
        <v>4</v>
      </c>
      <c r="AF42" s="399" t="s">
        <v>616</v>
      </c>
      <c r="AG42" s="398">
        <v>3</v>
      </c>
      <c r="AH42" s="398">
        <v>4</v>
      </c>
      <c r="AI42" s="400" t="s">
        <v>616</v>
      </c>
      <c r="AJ42" s="398"/>
    </row>
    <row r="43" spans="1:36" s="215" customFormat="1" ht="13.5" customHeight="1">
      <c r="A43" s="33" t="s">
        <v>1666</v>
      </c>
      <c r="B43" s="34">
        <v>93</v>
      </c>
      <c r="C43" s="200">
        <v>300</v>
      </c>
      <c r="D43" s="200">
        <v>300</v>
      </c>
      <c r="E43" s="200">
        <v>10</v>
      </c>
      <c r="F43" s="200">
        <v>15</v>
      </c>
      <c r="G43" s="201">
        <v>13</v>
      </c>
      <c r="H43" s="51">
        <v>118.4</v>
      </c>
      <c r="I43" s="21">
        <v>270</v>
      </c>
      <c r="J43" s="21">
        <v>244</v>
      </c>
      <c r="K43" s="21" t="s">
        <v>667</v>
      </c>
      <c r="L43" s="35">
        <v>102</v>
      </c>
      <c r="M43" s="38">
        <v>200</v>
      </c>
      <c r="N43" s="39">
        <v>1.758</v>
      </c>
      <c r="O43" s="40">
        <v>18.899999999999999</v>
      </c>
      <c r="P43" s="273" t="s">
        <v>1666</v>
      </c>
      <c r="Q43" s="51">
        <v>93</v>
      </c>
      <c r="R43" s="35">
        <v>20190</v>
      </c>
      <c r="S43" s="35">
        <v>1346</v>
      </c>
      <c r="T43" s="35">
        <v>1484</v>
      </c>
      <c r="U43" s="40">
        <v>13.05</v>
      </c>
      <c r="V43" s="41">
        <v>33.85</v>
      </c>
      <c r="W43" s="35">
        <v>6753</v>
      </c>
      <c r="X43" s="36">
        <v>450.2</v>
      </c>
      <c r="Y43" s="36">
        <v>682.9</v>
      </c>
      <c r="Z43" s="41">
        <v>7.55</v>
      </c>
      <c r="AA43" s="40">
        <v>55.23</v>
      </c>
      <c r="AB43" s="21">
        <v>82.87</v>
      </c>
      <c r="AC43" s="21">
        <v>1371</v>
      </c>
      <c r="AD43" s="199">
        <v>1</v>
      </c>
      <c r="AE43" s="200">
        <v>3</v>
      </c>
      <c r="AF43" s="201" t="s">
        <v>616</v>
      </c>
      <c r="AG43" s="200">
        <v>1</v>
      </c>
      <c r="AH43" s="200">
        <v>3</v>
      </c>
      <c r="AI43" s="202" t="s">
        <v>616</v>
      </c>
      <c r="AJ43" s="200"/>
    </row>
    <row r="44" spans="1:36" s="435" customFormat="1" ht="13.5" customHeight="1">
      <c r="A44" s="404" t="s">
        <v>1667</v>
      </c>
      <c r="B44" s="405">
        <v>104.8</v>
      </c>
      <c r="C44" s="398">
        <v>300</v>
      </c>
      <c r="D44" s="398">
        <v>305</v>
      </c>
      <c r="E44" s="398">
        <v>15</v>
      </c>
      <c r="F44" s="398">
        <v>15</v>
      </c>
      <c r="G44" s="399">
        <v>13</v>
      </c>
      <c r="H44" s="405">
        <v>133.4</v>
      </c>
      <c r="I44" s="398">
        <v>270</v>
      </c>
      <c r="J44" s="398">
        <v>244</v>
      </c>
      <c r="K44" s="398" t="s">
        <v>667</v>
      </c>
      <c r="L44" s="408">
        <v>106</v>
      </c>
      <c r="M44" s="409">
        <v>204</v>
      </c>
      <c r="N44" s="410">
        <v>1.768</v>
      </c>
      <c r="O44" s="411">
        <v>16.87</v>
      </c>
      <c r="P44" s="404" t="s">
        <v>1667</v>
      </c>
      <c r="Q44" s="405">
        <v>104.8</v>
      </c>
      <c r="R44" s="408">
        <v>21310</v>
      </c>
      <c r="S44" s="408">
        <v>1421</v>
      </c>
      <c r="T44" s="408">
        <v>1596</v>
      </c>
      <c r="U44" s="411">
        <v>12.64</v>
      </c>
      <c r="V44" s="407">
        <v>48.1</v>
      </c>
      <c r="W44" s="408">
        <v>7102</v>
      </c>
      <c r="X44" s="406">
        <v>465.7</v>
      </c>
      <c r="Y44" s="406">
        <v>714.4</v>
      </c>
      <c r="Z44" s="407">
        <v>7.3</v>
      </c>
      <c r="AA44" s="411">
        <v>60.23</v>
      </c>
      <c r="AB44" s="398">
        <v>115.7</v>
      </c>
      <c r="AC44" s="398">
        <v>1440</v>
      </c>
      <c r="AD44" s="453">
        <v>2</v>
      </c>
      <c r="AE44" s="398">
        <v>3</v>
      </c>
      <c r="AF44" s="399" t="s">
        <v>616</v>
      </c>
      <c r="AG44" s="398">
        <v>2</v>
      </c>
      <c r="AH44" s="398">
        <v>3</v>
      </c>
      <c r="AI44" s="400" t="s">
        <v>616</v>
      </c>
      <c r="AJ44" s="398"/>
    </row>
    <row r="45" spans="1:36" s="215" customFormat="1" ht="13.5" customHeight="1">
      <c r="A45" s="33"/>
      <c r="B45" s="34"/>
      <c r="C45" s="200"/>
      <c r="D45" s="200"/>
      <c r="E45" s="200"/>
      <c r="F45" s="200"/>
      <c r="G45" s="201"/>
      <c r="H45" s="51"/>
      <c r="I45" s="21"/>
      <c r="J45" s="21"/>
      <c r="K45" s="21"/>
      <c r="L45" s="35"/>
      <c r="M45" s="38"/>
      <c r="N45" s="39"/>
      <c r="O45" s="40"/>
      <c r="P45" s="273"/>
      <c r="Q45" s="51"/>
      <c r="R45" s="35"/>
      <c r="S45" s="35"/>
      <c r="T45" s="35"/>
      <c r="U45" s="40"/>
      <c r="V45" s="41"/>
      <c r="W45" s="35"/>
      <c r="X45" s="36"/>
      <c r="Y45" s="36"/>
      <c r="Z45" s="41"/>
      <c r="AA45" s="40"/>
      <c r="AB45" s="21"/>
      <c r="AC45" s="21"/>
      <c r="AD45" s="199"/>
      <c r="AE45" s="200"/>
      <c r="AF45" s="201"/>
      <c r="AG45" s="200"/>
      <c r="AH45" s="200"/>
      <c r="AI45" s="202"/>
      <c r="AJ45" s="200"/>
    </row>
    <row r="46" spans="1:36" s="435" customFormat="1" ht="13.5" customHeight="1">
      <c r="A46" s="404" t="s">
        <v>1668</v>
      </c>
      <c r="B46" s="405">
        <v>41.2</v>
      </c>
      <c r="C46" s="398">
        <v>346</v>
      </c>
      <c r="D46" s="398">
        <v>174</v>
      </c>
      <c r="E46" s="398">
        <v>6</v>
      </c>
      <c r="F46" s="398">
        <v>9</v>
      </c>
      <c r="G46" s="399">
        <v>13</v>
      </c>
      <c r="H46" s="405">
        <v>52.5</v>
      </c>
      <c r="I46" s="398">
        <v>328</v>
      </c>
      <c r="J46" s="398">
        <v>302</v>
      </c>
      <c r="K46" s="398" t="s">
        <v>649</v>
      </c>
      <c r="L46" s="408">
        <v>90</v>
      </c>
      <c r="M46" s="409">
        <v>92</v>
      </c>
      <c r="N46" s="410">
        <v>1.3540000000000001</v>
      </c>
      <c r="O46" s="411">
        <v>32.880000000000003</v>
      </c>
      <c r="P46" s="404" t="s">
        <v>1668</v>
      </c>
      <c r="Q46" s="405">
        <v>41.2</v>
      </c>
      <c r="R46" s="408">
        <v>11040</v>
      </c>
      <c r="S46" s="408">
        <v>638</v>
      </c>
      <c r="T46" s="408">
        <v>712</v>
      </c>
      <c r="U46" s="411">
        <v>14.51</v>
      </c>
      <c r="V46" s="407">
        <v>24.01</v>
      </c>
      <c r="W46" s="408">
        <v>791</v>
      </c>
      <c r="X46" s="406">
        <v>91</v>
      </c>
      <c r="Y46" s="406">
        <v>140.1</v>
      </c>
      <c r="Z46" s="407">
        <v>3.88</v>
      </c>
      <c r="AA46" s="411">
        <v>39.229999999999997</v>
      </c>
      <c r="AB46" s="398">
        <v>13.28</v>
      </c>
      <c r="AC46" s="398">
        <v>224.4</v>
      </c>
      <c r="AD46" s="453">
        <v>1</v>
      </c>
      <c r="AE46" s="398">
        <v>3</v>
      </c>
      <c r="AF46" s="399" t="s">
        <v>616</v>
      </c>
      <c r="AG46" s="398">
        <v>4</v>
      </c>
      <c r="AH46" s="398">
        <v>4</v>
      </c>
      <c r="AI46" s="400" t="s">
        <v>616</v>
      </c>
      <c r="AJ46" s="398"/>
    </row>
    <row r="47" spans="1:36" s="215" customFormat="1" ht="13.5" customHeight="1">
      <c r="A47" s="33" t="s">
        <v>1669</v>
      </c>
      <c r="B47" s="34">
        <v>49.4</v>
      </c>
      <c r="C47" s="200">
        <v>350</v>
      </c>
      <c r="D47" s="200">
        <v>175</v>
      </c>
      <c r="E47" s="200">
        <v>7</v>
      </c>
      <c r="F47" s="200">
        <v>11</v>
      </c>
      <c r="G47" s="201">
        <v>13</v>
      </c>
      <c r="H47" s="51">
        <v>62.9</v>
      </c>
      <c r="I47" s="21">
        <v>328</v>
      </c>
      <c r="J47" s="21">
        <v>302</v>
      </c>
      <c r="K47" s="21" t="s">
        <v>649</v>
      </c>
      <c r="L47" s="35">
        <v>92</v>
      </c>
      <c r="M47" s="38">
        <v>92</v>
      </c>
      <c r="N47" s="39">
        <v>1.3640000000000001</v>
      </c>
      <c r="O47" s="40">
        <v>27.61</v>
      </c>
      <c r="P47" s="273" t="s">
        <v>1669</v>
      </c>
      <c r="Q47" s="51">
        <v>49.4</v>
      </c>
      <c r="R47" s="35">
        <v>13500</v>
      </c>
      <c r="S47" s="35">
        <v>771</v>
      </c>
      <c r="T47" s="35">
        <v>864</v>
      </c>
      <c r="U47" s="40">
        <v>14.65</v>
      </c>
      <c r="V47" s="41">
        <v>28.04</v>
      </c>
      <c r="W47" s="35">
        <v>984</v>
      </c>
      <c r="X47" s="36">
        <v>112.5</v>
      </c>
      <c r="Y47" s="36">
        <v>173.4</v>
      </c>
      <c r="Z47" s="41">
        <v>3.96</v>
      </c>
      <c r="AA47" s="40">
        <v>44.23</v>
      </c>
      <c r="AB47" s="21">
        <v>22.47</v>
      </c>
      <c r="AC47" s="21">
        <v>282.3</v>
      </c>
      <c r="AD47" s="199">
        <v>1</v>
      </c>
      <c r="AE47" s="200">
        <v>1</v>
      </c>
      <c r="AF47" s="201" t="s">
        <v>616</v>
      </c>
      <c r="AG47" s="200">
        <v>4</v>
      </c>
      <c r="AH47" s="200">
        <v>4</v>
      </c>
      <c r="AI47" s="202" t="s">
        <v>616</v>
      </c>
      <c r="AJ47" s="200"/>
    </row>
    <row r="48" spans="1:36" s="215" customFormat="1" ht="13.5" customHeight="1">
      <c r="A48" s="33"/>
      <c r="B48" s="34"/>
      <c r="C48" s="200"/>
      <c r="D48" s="200"/>
      <c r="E48" s="200"/>
      <c r="F48" s="200"/>
      <c r="G48" s="201"/>
      <c r="H48" s="51"/>
      <c r="I48" s="21"/>
      <c r="J48" s="21"/>
      <c r="K48" s="21"/>
      <c r="L48" s="35"/>
      <c r="M48" s="38"/>
      <c r="N48" s="39"/>
      <c r="O48" s="40"/>
      <c r="P48" s="273"/>
      <c r="Q48" s="51"/>
      <c r="R48" s="35"/>
      <c r="S48" s="35"/>
      <c r="T48" s="35"/>
      <c r="U48" s="40"/>
      <c r="V48" s="41"/>
      <c r="W48" s="35"/>
      <c r="X48" s="36"/>
      <c r="Y48" s="36"/>
      <c r="Z48" s="41"/>
      <c r="AA48" s="40"/>
      <c r="AB48" s="21"/>
      <c r="AC48" s="21"/>
      <c r="AD48" s="199"/>
      <c r="AE48" s="200"/>
      <c r="AF48" s="201"/>
      <c r="AG48" s="200"/>
      <c r="AH48" s="200"/>
      <c r="AI48" s="202"/>
      <c r="AJ48" s="200"/>
    </row>
    <row r="49" spans="1:36" s="435" customFormat="1" ht="13.5" customHeight="1">
      <c r="A49" s="404" t="s">
        <v>1670</v>
      </c>
      <c r="B49" s="405">
        <v>104.6</v>
      </c>
      <c r="C49" s="398">
        <v>338</v>
      </c>
      <c r="D49" s="398">
        <v>351</v>
      </c>
      <c r="E49" s="398">
        <v>13</v>
      </c>
      <c r="F49" s="398">
        <v>13</v>
      </c>
      <c r="G49" s="399">
        <v>13</v>
      </c>
      <c r="H49" s="405">
        <v>133.30000000000001</v>
      </c>
      <c r="I49" s="398">
        <v>312</v>
      </c>
      <c r="J49" s="398">
        <v>286</v>
      </c>
      <c r="K49" s="398" t="s">
        <v>667</v>
      </c>
      <c r="L49" s="408">
        <v>110</v>
      </c>
      <c r="M49" s="409">
        <v>248</v>
      </c>
      <c r="N49" s="410">
        <v>2.032</v>
      </c>
      <c r="O49" s="411">
        <v>19.420000000000002</v>
      </c>
      <c r="P49" s="404" t="s">
        <v>1670</v>
      </c>
      <c r="Q49" s="405">
        <v>104.6</v>
      </c>
      <c r="R49" s="408">
        <v>27740</v>
      </c>
      <c r="S49" s="408">
        <v>1642</v>
      </c>
      <c r="T49" s="408">
        <v>1822</v>
      </c>
      <c r="U49" s="411">
        <v>14.43</v>
      </c>
      <c r="V49" s="407">
        <v>47.08</v>
      </c>
      <c r="W49" s="408">
        <v>9377</v>
      </c>
      <c r="X49" s="406">
        <v>534.29999999999995</v>
      </c>
      <c r="Y49" s="406">
        <v>815.4</v>
      </c>
      <c r="Z49" s="407">
        <v>8.39</v>
      </c>
      <c r="AA49" s="411">
        <v>54.23</v>
      </c>
      <c r="AB49" s="398">
        <v>86.18</v>
      </c>
      <c r="AC49" s="398">
        <v>2474</v>
      </c>
      <c r="AD49" s="453">
        <v>3</v>
      </c>
      <c r="AE49" s="398">
        <v>4</v>
      </c>
      <c r="AF49" s="399" t="s">
        <v>616</v>
      </c>
      <c r="AG49" s="398">
        <v>3</v>
      </c>
      <c r="AH49" s="398">
        <v>4</v>
      </c>
      <c r="AI49" s="400" t="s">
        <v>616</v>
      </c>
      <c r="AJ49" s="398"/>
    </row>
    <row r="50" spans="1:36" s="215" customFormat="1" ht="13.5" customHeight="1">
      <c r="A50" s="33" t="s">
        <v>1671</v>
      </c>
      <c r="B50" s="34">
        <v>113</v>
      </c>
      <c r="C50" s="200">
        <v>344</v>
      </c>
      <c r="D50" s="200">
        <v>348</v>
      </c>
      <c r="E50" s="200">
        <v>10</v>
      </c>
      <c r="F50" s="200">
        <v>16</v>
      </c>
      <c r="G50" s="201">
        <v>13</v>
      </c>
      <c r="H50" s="51">
        <v>144</v>
      </c>
      <c r="I50" s="21">
        <v>312</v>
      </c>
      <c r="J50" s="21">
        <v>286</v>
      </c>
      <c r="K50" s="21" t="s">
        <v>667</v>
      </c>
      <c r="L50" s="35">
        <v>106</v>
      </c>
      <c r="M50" s="38">
        <v>248</v>
      </c>
      <c r="N50" s="39">
        <v>2.0379999999999998</v>
      </c>
      <c r="O50" s="40">
        <v>18.02</v>
      </c>
      <c r="P50" s="273" t="s">
        <v>1671</v>
      </c>
      <c r="Q50" s="51">
        <v>113</v>
      </c>
      <c r="R50" s="35">
        <v>32850</v>
      </c>
      <c r="S50" s="35">
        <v>1910</v>
      </c>
      <c r="T50" s="35">
        <v>2092</v>
      </c>
      <c r="U50" s="40">
        <v>15.1</v>
      </c>
      <c r="V50" s="41">
        <v>38.409999999999997</v>
      </c>
      <c r="W50" s="35">
        <v>11240</v>
      </c>
      <c r="X50" s="36">
        <v>646.1</v>
      </c>
      <c r="Y50" s="36">
        <v>977.8</v>
      </c>
      <c r="Z50" s="41">
        <v>8.84</v>
      </c>
      <c r="AA50" s="40">
        <v>57.23</v>
      </c>
      <c r="AB50" s="21">
        <v>111.6</v>
      </c>
      <c r="AC50" s="21">
        <v>3023</v>
      </c>
      <c r="AD50" s="199">
        <v>2</v>
      </c>
      <c r="AE50" s="200">
        <v>3</v>
      </c>
      <c r="AF50" s="201" t="s">
        <v>616</v>
      </c>
      <c r="AG50" s="200">
        <v>2</v>
      </c>
      <c r="AH50" s="200">
        <v>3</v>
      </c>
      <c r="AI50" s="202" t="s">
        <v>616</v>
      </c>
      <c r="AJ50" s="200"/>
    </row>
    <row r="51" spans="1:36" s="435" customFormat="1" ht="13.5" customHeight="1">
      <c r="A51" s="404" t="s">
        <v>1672</v>
      </c>
      <c r="B51" s="405">
        <v>129.30000000000001</v>
      </c>
      <c r="C51" s="398">
        <v>344</v>
      </c>
      <c r="D51" s="398">
        <v>354</v>
      </c>
      <c r="E51" s="398">
        <v>16</v>
      </c>
      <c r="F51" s="398">
        <v>16</v>
      </c>
      <c r="G51" s="399">
        <v>13</v>
      </c>
      <c r="H51" s="405">
        <v>164.6</v>
      </c>
      <c r="I51" s="398">
        <v>312</v>
      </c>
      <c r="J51" s="398">
        <v>286</v>
      </c>
      <c r="K51" s="398" t="s">
        <v>667</v>
      </c>
      <c r="L51" s="408">
        <v>112</v>
      </c>
      <c r="M51" s="409">
        <v>252</v>
      </c>
      <c r="N51" s="410">
        <v>2.0499999999999998</v>
      </c>
      <c r="O51" s="411">
        <v>15.86</v>
      </c>
      <c r="P51" s="404" t="s">
        <v>1672</v>
      </c>
      <c r="Q51" s="405">
        <v>129.30000000000001</v>
      </c>
      <c r="R51" s="408">
        <v>34880</v>
      </c>
      <c r="S51" s="408">
        <v>2028</v>
      </c>
      <c r="T51" s="408">
        <v>2269</v>
      </c>
      <c r="U51" s="411">
        <v>14.56</v>
      </c>
      <c r="V51" s="407">
        <v>58.09</v>
      </c>
      <c r="W51" s="408">
        <v>11840</v>
      </c>
      <c r="X51" s="406">
        <v>669.1</v>
      </c>
      <c r="Y51" s="408">
        <v>1024</v>
      </c>
      <c r="Z51" s="407">
        <v>8.48</v>
      </c>
      <c r="AA51" s="411">
        <v>63.23</v>
      </c>
      <c r="AB51" s="398">
        <v>158.80000000000001</v>
      </c>
      <c r="AC51" s="398">
        <v>3182</v>
      </c>
      <c r="AD51" s="453">
        <v>3</v>
      </c>
      <c r="AE51" s="398">
        <v>3</v>
      </c>
      <c r="AF51" s="399" t="s">
        <v>616</v>
      </c>
      <c r="AG51" s="398">
        <v>3</v>
      </c>
      <c r="AH51" s="398">
        <v>3</v>
      </c>
      <c r="AI51" s="400" t="s">
        <v>616</v>
      </c>
      <c r="AJ51" s="398"/>
    </row>
    <row r="52" spans="1:36" s="215" customFormat="1" ht="13.5" customHeight="1">
      <c r="A52" s="33" t="s">
        <v>1673</v>
      </c>
      <c r="B52" s="34">
        <v>134.9</v>
      </c>
      <c r="C52" s="200">
        <v>350</v>
      </c>
      <c r="D52" s="200">
        <v>350</v>
      </c>
      <c r="E52" s="200">
        <v>12</v>
      </c>
      <c r="F52" s="200">
        <v>19</v>
      </c>
      <c r="G52" s="201">
        <v>13</v>
      </c>
      <c r="H52" s="51">
        <v>171.9</v>
      </c>
      <c r="I52" s="21">
        <v>312</v>
      </c>
      <c r="J52" s="21">
        <v>286</v>
      </c>
      <c r="K52" s="21" t="s">
        <v>667</v>
      </c>
      <c r="L52" s="35">
        <v>108</v>
      </c>
      <c r="M52" s="38">
        <v>248</v>
      </c>
      <c r="N52" s="39">
        <v>2.0539999999999998</v>
      </c>
      <c r="O52" s="40">
        <v>15.22</v>
      </c>
      <c r="P52" s="273" t="s">
        <v>1673</v>
      </c>
      <c r="Q52" s="51">
        <v>134.9</v>
      </c>
      <c r="R52" s="35">
        <v>39850</v>
      </c>
      <c r="S52" s="35">
        <v>2277</v>
      </c>
      <c r="T52" s="35">
        <v>2515</v>
      </c>
      <c r="U52" s="40">
        <v>15.23</v>
      </c>
      <c r="V52" s="41">
        <v>46.11</v>
      </c>
      <c r="W52" s="35">
        <v>13580</v>
      </c>
      <c r="X52" s="36">
        <v>776.2</v>
      </c>
      <c r="Y52" s="35">
        <v>1176</v>
      </c>
      <c r="Z52" s="41">
        <v>8.89</v>
      </c>
      <c r="AA52" s="40">
        <v>65.23</v>
      </c>
      <c r="AB52" s="21">
        <v>186.9</v>
      </c>
      <c r="AC52" s="21">
        <v>3719</v>
      </c>
      <c r="AD52" s="199">
        <v>1</v>
      </c>
      <c r="AE52" s="200">
        <v>3</v>
      </c>
      <c r="AF52" s="201" t="s">
        <v>616</v>
      </c>
      <c r="AG52" s="200">
        <v>1</v>
      </c>
      <c r="AH52" s="200">
        <v>3</v>
      </c>
      <c r="AI52" s="202" t="s">
        <v>616</v>
      </c>
      <c r="AJ52" s="200"/>
    </row>
    <row r="53" spans="1:36" s="435" customFormat="1" ht="13.5" customHeight="1">
      <c r="A53" s="404" t="s">
        <v>1674</v>
      </c>
      <c r="B53" s="405">
        <v>154.19999999999999</v>
      </c>
      <c r="C53" s="398">
        <v>350</v>
      </c>
      <c r="D53" s="398">
        <v>357</v>
      </c>
      <c r="E53" s="398">
        <v>19</v>
      </c>
      <c r="F53" s="398">
        <v>19</v>
      </c>
      <c r="G53" s="399">
        <v>13</v>
      </c>
      <c r="H53" s="405">
        <v>196.4</v>
      </c>
      <c r="I53" s="398">
        <v>312</v>
      </c>
      <c r="J53" s="398">
        <v>286</v>
      </c>
      <c r="K53" s="398" t="s">
        <v>667</v>
      </c>
      <c r="L53" s="408">
        <v>116</v>
      </c>
      <c r="M53" s="409">
        <v>254</v>
      </c>
      <c r="N53" s="410">
        <v>2.0680000000000001</v>
      </c>
      <c r="O53" s="411">
        <v>13.41</v>
      </c>
      <c r="P53" s="404" t="s">
        <v>1674</v>
      </c>
      <c r="Q53" s="405">
        <v>154.19999999999999</v>
      </c>
      <c r="R53" s="408">
        <v>42350</v>
      </c>
      <c r="S53" s="408">
        <v>2420</v>
      </c>
      <c r="T53" s="408">
        <v>2730</v>
      </c>
      <c r="U53" s="411">
        <v>14.68</v>
      </c>
      <c r="V53" s="407">
        <v>69.28</v>
      </c>
      <c r="W53" s="408">
        <v>14430</v>
      </c>
      <c r="X53" s="406">
        <v>808.3</v>
      </c>
      <c r="Y53" s="408">
        <v>1241</v>
      </c>
      <c r="Z53" s="407">
        <v>8.57</v>
      </c>
      <c r="AA53" s="411">
        <v>72.23</v>
      </c>
      <c r="AB53" s="398">
        <v>264.8</v>
      </c>
      <c r="AC53" s="398">
        <v>3946</v>
      </c>
      <c r="AD53" s="453">
        <v>1</v>
      </c>
      <c r="AE53" s="398">
        <v>3</v>
      </c>
      <c r="AF53" s="399" t="s">
        <v>616</v>
      </c>
      <c r="AG53" s="398">
        <v>1</v>
      </c>
      <c r="AH53" s="398">
        <v>3</v>
      </c>
      <c r="AI53" s="400" t="s">
        <v>616</v>
      </c>
      <c r="AJ53" s="398"/>
    </row>
    <row r="54" spans="1:36" s="215" customFormat="1" ht="13.5" customHeight="1">
      <c r="A54" s="33"/>
      <c r="B54" s="34"/>
      <c r="C54" s="200"/>
      <c r="D54" s="200"/>
      <c r="E54" s="200"/>
      <c r="F54" s="200"/>
      <c r="G54" s="201"/>
      <c r="H54" s="51"/>
      <c r="I54" s="21"/>
      <c r="J54" s="21"/>
      <c r="K54" s="21"/>
      <c r="L54" s="35"/>
      <c r="M54" s="38"/>
      <c r="N54" s="39"/>
      <c r="O54" s="40"/>
      <c r="P54" s="273"/>
      <c r="Q54" s="51"/>
      <c r="R54" s="35"/>
      <c r="S54" s="35"/>
      <c r="T54" s="35"/>
      <c r="U54" s="40"/>
      <c r="V54" s="41"/>
      <c r="W54" s="35"/>
      <c r="X54" s="36"/>
      <c r="Y54" s="35"/>
      <c r="Z54" s="41"/>
      <c r="AA54" s="40"/>
      <c r="AB54" s="21"/>
      <c r="AC54" s="21"/>
      <c r="AD54" s="199"/>
      <c r="AE54" s="200"/>
      <c r="AF54" s="201"/>
      <c r="AG54" s="200"/>
      <c r="AH54" s="200"/>
      <c r="AI54" s="202"/>
      <c r="AJ54" s="200"/>
    </row>
    <row r="55" spans="1:36" s="435" customFormat="1" ht="13.5" customHeight="1">
      <c r="A55" s="404" t="s">
        <v>1675</v>
      </c>
      <c r="B55" s="405">
        <v>104.6</v>
      </c>
      <c r="C55" s="398">
        <v>390</v>
      </c>
      <c r="D55" s="398">
        <v>300</v>
      </c>
      <c r="E55" s="398">
        <v>10</v>
      </c>
      <c r="F55" s="398">
        <v>16</v>
      </c>
      <c r="G55" s="399">
        <v>13</v>
      </c>
      <c r="H55" s="405">
        <v>133.19999999999999</v>
      </c>
      <c r="I55" s="398">
        <v>358</v>
      </c>
      <c r="J55" s="398">
        <v>332</v>
      </c>
      <c r="K55" s="398" t="s">
        <v>667</v>
      </c>
      <c r="L55" s="408">
        <v>110</v>
      </c>
      <c r="M55" s="409">
        <v>200</v>
      </c>
      <c r="N55" s="410">
        <v>1.9379999999999999</v>
      </c>
      <c r="O55" s="411">
        <v>18.52</v>
      </c>
      <c r="P55" s="404" t="s">
        <v>1675</v>
      </c>
      <c r="Q55" s="405">
        <v>104.6</v>
      </c>
      <c r="R55" s="408">
        <v>37860</v>
      </c>
      <c r="S55" s="408">
        <v>1942</v>
      </c>
      <c r="T55" s="408">
        <v>2141</v>
      </c>
      <c r="U55" s="411">
        <v>16.86</v>
      </c>
      <c r="V55" s="407">
        <v>43.01</v>
      </c>
      <c r="W55" s="408">
        <v>7204</v>
      </c>
      <c r="X55" s="406">
        <v>480.3</v>
      </c>
      <c r="Y55" s="406">
        <v>730.1</v>
      </c>
      <c r="Z55" s="407">
        <v>7.35</v>
      </c>
      <c r="AA55" s="411">
        <v>57.23</v>
      </c>
      <c r="AB55" s="398">
        <v>100</v>
      </c>
      <c r="AC55" s="398">
        <v>2518</v>
      </c>
      <c r="AD55" s="453">
        <v>1</v>
      </c>
      <c r="AE55" s="398">
        <v>3</v>
      </c>
      <c r="AF55" s="399" t="s">
        <v>616</v>
      </c>
      <c r="AG55" s="398">
        <v>2</v>
      </c>
      <c r="AH55" s="398">
        <v>3</v>
      </c>
      <c r="AI55" s="400" t="s">
        <v>616</v>
      </c>
      <c r="AJ55" s="398"/>
    </row>
    <row r="56" spans="1:36" s="215" customFormat="1" ht="13.5" customHeight="1">
      <c r="A56" s="33"/>
      <c r="B56" s="34"/>
      <c r="C56" s="200"/>
      <c r="D56" s="200"/>
      <c r="E56" s="200"/>
      <c r="F56" s="200"/>
      <c r="G56" s="201"/>
      <c r="H56" s="51"/>
      <c r="I56" s="21"/>
      <c r="J56" s="21"/>
      <c r="K56" s="21"/>
      <c r="L56" s="35"/>
      <c r="M56" s="38"/>
      <c r="N56" s="39"/>
      <c r="O56" s="40"/>
      <c r="P56" s="273"/>
      <c r="Q56" s="51"/>
      <c r="R56" s="35"/>
      <c r="S56" s="35"/>
      <c r="T56" s="35"/>
      <c r="U56" s="40"/>
      <c r="V56" s="41"/>
      <c r="W56" s="35"/>
      <c r="X56" s="36"/>
      <c r="Y56" s="36"/>
      <c r="Z56" s="41"/>
      <c r="AA56" s="40"/>
      <c r="AB56" s="21"/>
      <c r="AC56" s="21"/>
      <c r="AD56" s="199"/>
      <c r="AE56" s="200"/>
      <c r="AF56" s="201"/>
      <c r="AG56" s="200"/>
      <c r="AH56" s="200"/>
      <c r="AI56" s="202"/>
      <c r="AJ56" s="200"/>
    </row>
    <row r="57" spans="1:36" s="435" customFormat="1" ht="13.5" customHeight="1">
      <c r="A57" s="404" t="s">
        <v>1676</v>
      </c>
      <c r="B57" s="405">
        <v>140.1</v>
      </c>
      <c r="C57" s="398">
        <v>388</v>
      </c>
      <c r="D57" s="398">
        <v>402</v>
      </c>
      <c r="E57" s="398">
        <v>15</v>
      </c>
      <c r="F57" s="398">
        <v>15</v>
      </c>
      <c r="G57" s="399">
        <v>22</v>
      </c>
      <c r="H57" s="405">
        <v>178.4</v>
      </c>
      <c r="I57" s="398">
        <v>358</v>
      </c>
      <c r="J57" s="398">
        <v>314</v>
      </c>
      <c r="K57" s="398" t="s">
        <v>667</v>
      </c>
      <c r="L57" s="408">
        <v>116</v>
      </c>
      <c r="M57" s="409">
        <v>300</v>
      </c>
      <c r="N57" s="410">
        <v>2.3159999999999998</v>
      </c>
      <c r="O57" s="411">
        <v>16.53</v>
      </c>
      <c r="P57" s="404" t="s">
        <v>1676</v>
      </c>
      <c r="Q57" s="405">
        <v>140.1</v>
      </c>
      <c r="R57" s="408">
        <v>48970</v>
      </c>
      <c r="S57" s="408">
        <v>2524</v>
      </c>
      <c r="T57" s="408">
        <v>2802</v>
      </c>
      <c r="U57" s="411">
        <v>16.559999999999999</v>
      </c>
      <c r="V57" s="407">
        <v>66.7</v>
      </c>
      <c r="W57" s="408">
        <v>16260</v>
      </c>
      <c r="X57" s="406">
        <v>808.9</v>
      </c>
      <c r="Y57" s="408">
        <v>1237</v>
      </c>
      <c r="Z57" s="407">
        <v>9.5399999999999991</v>
      </c>
      <c r="AA57" s="411">
        <v>70.77</v>
      </c>
      <c r="AB57" s="398">
        <v>174.3</v>
      </c>
      <c r="AC57" s="398">
        <v>5649</v>
      </c>
      <c r="AD57" s="453">
        <v>3</v>
      </c>
      <c r="AE57" s="398">
        <v>4</v>
      </c>
      <c r="AF57" s="399" t="s">
        <v>616</v>
      </c>
      <c r="AG57" s="398">
        <v>3</v>
      </c>
      <c r="AH57" s="398">
        <v>4</v>
      </c>
      <c r="AI57" s="400" t="s">
        <v>616</v>
      </c>
      <c r="AJ57" s="398"/>
    </row>
    <row r="58" spans="1:36" s="215" customFormat="1" ht="13.5" customHeight="1">
      <c r="A58" s="33" t="s">
        <v>1677</v>
      </c>
      <c r="B58" s="34">
        <v>146.6</v>
      </c>
      <c r="C58" s="200">
        <v>394</v>
      </c>
      <c r="D58" s="200">
        <v>398</v>
      </c>
      <c r="E58" s="200">
        <v>11</v>
      </c>
      <c r="F58" s="200">
        <v>18</v>
      </c>
      <c r="G58" s="201">
        <v>22</v>
      </c>
      <c r="H58" s="51">
        <v>186.8</v>
      </c>
      <c r="I58" s="21">
        <v>358</v>
      </c>
      <c r="J58" s="21">
        <v>314</v>
      </c>
      <c r="K58" s="21" t="s">
        <v>667</v>
      </c>
      <c r="L58" s="35">
        <v>110</v>
      </c>
      <c r="M58" s="38">
        <v>298</v>
      </c>
      <c r="N58" s="39">
        <v>2.3199999999999998</v>
      </c>
      <c r="O58" s="40">
        <v>15.82</v>
      </c>
      <c r="P58" s="273" t="s">
        <v>1677</v>
      </c>
      <c r="Q58" s="51">
        <v>146.6</v>
      </c>
      <c r="R58" s="35">
        <v>56150</v>
      </c>
      <c r="S58" s="35">
        <v>2850</v>
      </c>
      <c r="T58" s="35">
        <v>3118</v>
      </c>
      <c r="U58" s="40">
        <v>17.34</v>
      </c>
      <c r="V58" s="41">
        <v>53.43</v>
      </c>
      <c r="W58" s="35">
        <v>18920</v>
      </c>
      <c r="X58" s="36">
        <v>950.9</v>
      </c>
      <c r="Y58" s="35">
        <v>1441</v>
      </c>
      <c r="Z58" s="41">
        <v>10.06</v>
      </c>
      <c r="AA58" s="40">
        <v>72.77</v>
      </c>
      <c r="AB58" s="21">
        <v>193.4</v>
      </c>
      <c r="AC58" s="21">
        <v>6685</v>
      </c>
      <c r="AD58" s="199">
        <v>3</v>
      </c>
      <c r="AE58" s="200">
        <v>3</v>
      </c>
      <c r="AF58" s="201" t="s">
        <v>616</v>
      </c>
      <c r="AG58" s="200">
        <v>3</v>
      </c>
      <c r="AH58" s="200">
        <v>3</v>
      </c>
      <c r="AI58" s="202" t="s">
        <v>616</v>
      </c>
      <c r="AJ58" s="200"/>
    </row>
    <row r="59" spans="1:36" s="435" customFormat="1" ht="13.5" customHeight="1">
      <c r="A59" s="404" t="s">
        <v>1678</v>
      </c>
      <c r="B59" s="405">
        <v>168.3</v>
      </c>
      <c r="C59" s="398">
        <v>394</v>
      </c>
      <c r="D59" s="398">
        <v>405</v>
      </c>
      <c r="E59" s="398">
        <v>18</v>
      </c>
      <c r="F59" s="398">
        <v>18</v>
      </c>
      <c r="G59" s="399">
        <v>22</v>
      </c>
      <c r="H59" s="405">
        <v>214.4</v>
      </c>
      <c r="I59" s="398">
        <v>358</v>
      </c>
      <c r="J59" s="398">
        <v>314</v>
      </c>
      <c r="K59" s="398" t="s">
        <v>667</v>
      </c>
      <c r="L59" s="408">
        <v>118</v>
      </c>
      <c r="M59" s="409">
        <v>302</v>
      </c>
      <c r="N59" s="410">
        <v>2.3340000000000001</v>
      </c>
      <c r="O59" s="411">
        <v>13.87</v>
      </c>
      <c r="P59" s="404" t="s">
        <v>1678</v>
      </c>
      <c r="Q59" s="405">
        <v>168.3</v>
      </c>
      <c r="R59" s="408">
        <v>59710</v>
      </c>
      <c r="S59" s="408">
        <v>3031</v>
      </c>
      <c r="T59" s="408">
        <v>3390</v>
      </c>
      <c r="U59" s="411">
        <v>16.690000000000001</v>
      </c>
      <c r="V59" s="407">
        <v>79.75</v>
      </c>
      <c r="W59" s="408">
        <v>19960</v>
      </c>
      <c r="X59" s="406">
        <v>985.4</v>
      </c>
      <c r="Y59" s="408">
        <v>1511</v>
      </c>
      <c r="Z59" s="407">
        <v>9.65</v>
      </c>
      <c r="AA59" s="411">
        <v>79.77</v>
      </c>
      <c r="AB59" s="398">
        <v>290</v>
      </c>
      <c r="AC59" s="398">
        <v>7044</v>
      </c>
      <c r="AD59" s="453">
        <v>3</v>
      </c>
      <c r="AE59" s="398">
        <v>3</v>
      </c>
      <c r="AF59" s="399" t="s">
        <v>616</v>
      </c>
      <c r="AG59" s="398">
        <v>3</v>
      </c>
      <c r="AH59" s="398">
        <v>3</v>
      </c>
      <c r="AI59" s="400" t="s">
        <v>616</v>
      </c>
      <c r="AJ59" s="398"/>
    </row>
    <row r="60" spans="1:36" s="215" customFormat="1" ht="13.5" customHeight="1">
      <c r="A60" s="33" t="s">
        <v>1679</v>
      </c>
      <c r="B60" s="34">
        <v>171.7</v>
      </c>
      <c r="C60" s="200">
        <v>400</v>
      </c>
      <c r="D60" s="200">
        <v>400</v>
      </c>
      <c r="E60" s="200">
        <v>13</v>
      </c>
      <c r="F60" s="200">
        <v>21</v>
      </c>
      <c r="G60" s="201">
        <v>22</v>
      </c>
      <c r="H60" s="51">
        <v>218.7</v>
      </c>
      <c r="I60" s="21">
        <v>358</v>
      </c>
      <c r="J60" s="21">
        <v>314</v>
      </c>
      <c r="K60" s="21" t="s">
        <v>667</v>
      </c>
      <c r="L60" s="35">
        <v>114</v>
      </c>
      <c r="M60" s="38">
        <v>298</v>
      </c>
      <c r="N60" s="39">
        <v>2.3359999999999999</v>
      </c>
      <c r="O60" s="40">
        <v>13.61</v>
      </c>
      <c r="P60" s="273" t="s">
        <v>1679</v>
      </c>
      <c r="Q60" s="51">
        <v>171.7</v>
      </c>
      <c r="R60" s="35">
        <v>66620</v>
      </c>
      <c r="S60" s="35">
        <v>3331</v>
      </c>
      <c r="T60" s="35">
        <v>3672</v>
      </c>
      <c r="U60" s="40">
        <v>17.45</v>
      </c>
      <c r="V60" s="41">
        <v>62.66</v>
      </c>
      <c r="W60" s="35">
        <v>22410</v>
      </c>
      <c r="X60" s="35">
        <v>1121</v>
      </c>
      <c r="Y60" s="35">
        <v>1700</v>
      </c>
      <c r="Z60" s="41">
        <v>10.119999999999999</v>
      </c>
      <c r="AA60" s="40">
        <v>80.77</v>
      </c>
      <c r="AB60" s="21">
        <v>303.89999999999998</v>
      </c>
      <c r="AC60" s="21">
        <v>8044</v>
      </c>
      <c r="AD60" s="199">
        <v>1</v>
      </c>
      <c r="AE60" s="200">
        <v>3</v>
      </c>
      <c r="AF60" s="201" t="s">
        <v>616</v>
      </c>
      <c r="AG60" s="200">
        <v>1</v>
      </c>
      <c r="AH60" s="200">
        <v>3</v>
      </c>
      <c r="AI60" s="202" t="s">
        <v>616</v>
      </c>
      <c r="AJ60" s="200"/>
    </row>
    <row r="61" spans="1:36" s="435" customFormat="1" ht="13.5" customHeight="1">
      <c r="A61" s="404" t="s">
        <v>1680</v>
      </c>
      <c r="B61" s="405">
        <v>196.8</v>
      </c>
      <c r="C61" s="398">
        <v>400</v>
      </c>
      <c r="D61" s="398">
        <v>408</v>
      </c>
      <c r="E61" s="398">
        <v>21</v>
      </c>
      <c r="F61" s="398">
        <v>21</v>
      </c>
      <c r="G61" s="399">
        <v>22</v>
      </c>
      <c r="H61" s="405">
        <v>250.7</v>
      </c>
      <c r="I61" s="398">
        <v>358</v>
      </c>
      <c r="J61" s="398">
        <v>314</v>
      </c>
      <c r="K61" s="398" t="s">
        <v>667</v>
      </c>
      <c r="L61" s="408">
        <v>122</v>
      </c>
      <c r="M61" s="409">
        <v>306</v>
      </c>
      <c r="N61" s="410">
        <v>2.3519999999999999</v>
      </c>
      <c r="O61" s="411">
        <v>11.95</v>
      </c>
      <c r="P61" s="404" t="s">
        <v>1680</v>
      </c>
      <c r="Q61" s="405">
        <v>196.8</v>
      </c>
      <c r="R61" s="408">
        <v>70890</v>
      </c>
      <c r="S61" s="408">
        <v>3544</v>
      </c>
      <c r="T61" s="408">
        <v>3992</v>
      </c>
      <c r="U61" s="411">
        <v>16.82</v>
      </c>
      <c r="V61" s="407">
        <v>92.98</v>
      </c>
      <c r="W61" s="408">
        <v>23810</v>
      </c>
      <c r="X61" s="408">
        <v>1167</v>
      </c>
      <c r="Y61" s="408">
        <v>1794</v>
      </c>
      <c r="Z61" s="407">
        <v>9.75</v>
      </c>
      <c r="AA61" s="411">
        <v>88.77</v>
      </c>
      <c r="AB61" s="398">
        <v>450.4</v>
      </c>
      <c r="AC61" s="398">
        <v>8536</v>
      </c>
      <c r="AD61" s="453">
        <v>1</v>
      </c>
      <c r="AE61" s="398">
        <v>3</v>
      </c>
      <c r="AF61" s="399" t="s">
        <v>616</v>
      </c>
      <c r="AG61" s="398">
        <v>1</v>
      </c>
      <c r="AH61" s="398">
        <v>3</v>
      </c>
      <c r="AI61" s="400" t="s">
        <v>616</v>
      </c>
      <c r="AJ61" s="398"/>
    </row>
    <row r="62" spans="1:36" s="215" customFormat="1" ht="13.5" customHeight="1">
      <c r="A62" s="33" t="s">
        <v>1681</v>
      </c>
      <c r="B62" s="34">
        <v>231.9</v>
      </c>
      <c r="C62" s="200">
        <v>414</v>
      </c>
      <c r="D62" s="200">
        <v>405</v>
      </c>
      <c r="E62" s="200">
        <v>18</v>
      </c>
      <c r="F62" s="200">
        <v>28</v>
      </c>
      <c r="G62" s="201">
        <v>22</v>
      </c>
      <c r="H62" s="51">
        <v>295.39999999999998</v>
      </c>
      <c r="I62" s="21">
        <v>358</v>
      </c>
      <c r="J62" s="21">
        <v>314</v>
      </c>
      <c r="K62" s="21" t="s">
        <v>667</v>
      </c>
      <c r="L62" s="35">
        <v>118</v>
      </c>
      <c r="M62" s="38">
        <v>302</v>
      </c>
      <c r="N62" s="39">
        <v>2.3740000000000001</v>
      </c>
      <c r="O62" s="40">
        <v>10.24</v>
      </c>
      <c r="P62" s="273" t="s">
        <v>1681</v>
      </c>
      <c r="Q62" s="51">
        <v>231.9</v>
      </c>
      <c r="R62" s="35">
        <v>92770</v>
      </c>
      <c r="S62" s="35">
        <v>4482</v>
      </c>
      <c r="T62" s="35">
        <v>5026</v>
      </c>
      <c r="U62" s="40">
        <v>17.72</v>
      </c>
      <c r="V62" s="41">
        <v>85.95</v>
      </c>
      <c r="W62" s="35">
        <v>31030</v>
      </c>
      <c r="X62" s="35">
        <v>1532</v>
      </c>
      <c r="Y62" s="35">
        <v>2331</v>
      </c>
      <c r="Z62" s="41">
        <v>10.25</v>
      </c>
      <c r="AA62" s="40">
        <v>99.77</v>
      </c>
      <c r="AB62" s="21">
        <v>720.5</v>
      </c>
      <c r="AC62" s="21">
        <v>11550</v>
      </c>
      <c r="AD62" s="199">
        <v>1</v>
      </c>
      <c r="AE62" s="200">
        <v>1</v>
      </c>
      <c r="AF62" s="201" t="s">
        <v>616</v>
      </c>
      <c r="AG62" s="200">
        <v>1</v>
      </c>
      <c r="AH62" s="200">
        <v>1</v>
      </c>
      <c r="AI62" s="202" t="s">
        <v>616</v>
      </c>
      <c r="AJ62" s="200"/>
    </row>
    <row r="63" spans="1:36" s="435" customFormat="1" ht="13.5" customHeight="1">
      <c r="A63" s="404" t="s">
        <v>1682</v>
      </c>
      <c r="B63" s="405">
        <v>283.10000000000002</v>
      </c>
      <c r="C63" s="398">
        <v>428</v>
      </c>
      <c r="D63" s="398">
        <v>407</v>
      </c>
      <c r="E63" s="398">
        <v>20</v>
      </c>
      <c r="F63" s="398">
        <v>35</v>
      </c>
      <c r="G63" s="399">
        <v>22</v>
      </c>
      <c r="H63" s="405">
        <v>360.6</v>
      </c>
      <c r="I63" s="398">
        <v>358</v>
      </c>
      <c r="J63" s="398">
        <v>314</v>
      </c>
      <c r="K63" s="398" t="s">
        <v>667</v>
      </c>
      <c r="L63" s="408">
        <v>120</v>
      </c>
      <c r="M63" s="409">
        <v>304</v>
      </c>
      <c r="N63" s="410">
        <v>2.4060000000000001</v>
      </c>
      <c r="O63" s="411">
        <v>8.5</v>
      </c>
      <c r="P63" s="404" t="s">
        <v>1682</v>
      </c>
      <c r="Q63" s="405">
        <v>283.10000000000002</v>
      </c>
      <c r="R63" s="408">
        <v>119200</v>
      </c>
      <c r="S63" s="408">
        <v>5570</v>
      </c>
      <c r="T63" s="408">
        <v>6311</v>
      </c>
      <c r="U63" s="411">
        <v>18.18</v>
      </c>
      <c r="V63" s="407">
        <v>98.15</v>
      </c>
      <c r="W63" s="408">
        <v>39360</v>
      </c>
      <c r="X63" s="408">
        <v>1934</v>
      </c>
      <c r="Y63" s="408">
        <v>2941</v>
      </c>
      <c r="Z63" s="407">
        <v>10.45</v>
      </c>
      <c r="AA63" s="406">
        <v>115.8</v>
      </c>
      <c r="AB63" s="398">
        <v>1321</v>
      </c>
      <c r="AC63" s="398">
        <v>15190</v>
      </c>
      <c r="AD63" s="453">
        <v>1</v>
      </c>
      <c r="AE63" s="398">
        <v>1</v>
      </c>
      <c r="AF63" s="399" t="s">
        <v>616</v>
      </c>
      <c r="AG63" s="398">
        <v>1</v>
      </c>
      <c r="AH63" s="398">
        <v>1</v>
      </c>
      <c r="AI63" s="400" t="s">
        <v>616</v>
      </c>
      <c r="AJ63" s="398"/>
    </row>
    <row r="64" spans="1:36" s="215" customFormat="1" ht="13.5" customHeight="1">
      <c r="A64" s="33" t="s">
        <v>1683</v>
      </c>
      <c r="B64" s="34">
        <v>414.9</v>
      </c>
      <c r="C64" s="200">
        <v>458</v>
      </c>
      <c r="D64" s="200">
        <v>417</v>
      </c>
      <c r="E64" s="200">
        <v>30</v>
      </c>
      <c r="F64" s="200">
        <v>50</v>
      </c>
      <c r="G64" s="201">
        <v>22</v>
      </c>
      <c r="H64" s="51">
        <v>528.5</v>
      </c>
      <c r="I64" s="21">
        <v>358</v>
      </c>
      <c r="J64" s="21">
        <v>314</v>
      </c>
      <c r="K64" s="21" t="s">
        <v>667</v>
      </c>
      <c r="L64" s="35">
        <v>130</v>
      </c>
      <c r="M64" s="38">
        <v>316</v>
      </c>
      <c r="N64" s="39">
        <v>2.4860000000000002</v>
      </c>
      <c r="O64" s="40">
        <v>5.99</v>
      </c>
      <c r="P64" s="273" t="s">
        <v>1683</v>
      </c>
      <c r="Q64" s="51">
        <v>414.9</v>
      </c>
      <c r="R64" s="35">
        <v>187100</v>
      </c>
      <c r="S64" s="35">
        <v>8172</v>
      </c>
      <c r="T64" s="35">
        <v>9540</v>
      </c>
      <c r="U64" s="40">
        <v>18.82</v>
      </c>
      <c r="V64" s="41">
        <v>148.6</v>
      </c>
      <c r="W64" s="35">
        <v>60520</v>
      </c>
      <c r="X64" s="35">
        <v>2903</v>
      </c>
      <c r="Y64" s="35">
        <v>4436</v>
      </c>
      <c r="Z64" s="41">
        <v>10.7</v>
      </c>
      <c r="AA64" s="36">
        <v>155.80000000000001</v>
      </c>
      <c r="AB64" s="21">
        <v>3929</v>
      </c>
      <c r="AC64" s="21">
        <v>25150</v>
      </c>
      <c r="AD64" s="199">
        <v>1</v>
      </c>
      <c r="AE64" s="200">
        <v>1</v>
      </c>
      <c r="AF64" s="201" t="s">
        <v>616</v>
      </c>
      <c r="AG64" s="200">
        <v>1</v>
      </c>
      <c r="AH64" s="200">
        <v>1</v>
      </c>
      <c r="AI64" s="202" t="s">
        <v>616</v>
      </c>
      <c r="AJ64" s="200"/>
    </row>
    <row r="65" spans="1:36" s="215" customFormat="1" ht="13.5" customHeight="1">
      <c r="A65" s="33"/>
      <c r="B65" s="34"/>
      <c r="C65" s="200"/>
      <c r="D65" s="200"/>
      <c r="E65" s="200"/>
      <c r="F65" s="200"/>
      <c r="G65" s="201"/>
      <c r="H65" s="51"/>
      <c r="I65" s="21"/>
      <c r="J65" s="21"/>
      <c r="K65" s="21"/>
      <c r="L65" s="35"/>
      <c r="M65" s="38"/>
      <c r="N65" s="39"/>
      <c r="O65" s="40"/>
      <c r="P65" s="273"/>
      <c r="Q65" s="51"/>
      <c r="R65" s="35"/>
      <c r="S65" s="35"/>
      <c r="T65" s="35"/>
      <c r="U65" s="40"/>
      <c r="V65" s="41"/>
      <c r="W65" s="35"/>
      <c r="X65" s="36"/>
      <c r="Y65" s="35"/>
      <c r="Z65" s="41"/>
      <c r="AA65" s="40"/>
      <c r="AB65" s="21"/>
      <c r="AC65" s="21"/>
      <c r="AD65" s="199"/>
      <c r="AE65" s="200"/>
      <c r="AF65" s="201"/>
      <c r="AG65" s="200"/>
      <c r="AH65" s="200"/>
      <c r="AI65" s="202"/>
      <c r="AJ65" s="200"/>
    </row>
    <row r="66" spans="1:36" s="435" customFormat="1" ht="13.5" customHeight="1">
      <c r="A66" s="404" t="s">
        <v>1684</v>
      </c>
      <c r="B66" s="405">
        <v>77.900000000000006</v>
      </c>
      <c r="C66" s="398">
        <v>496</v>
      </c>
      <c r="D66" s="398">
        <v>199</v>
      </c>
      <c r="E66" s="398">
        <v>9</v>
      </c>
      <c r="F66" s="398">
        <v>14</v>
      </c>
      <c r="G66" s="399">
        <v>13</v>
      </c>
      <c r="H66" s="407">
        <v>99.29</v>
      </c>
      <c r="I66" s="398">
        <v>468</v>
      </c>
      <c r="J66" s="398">
        <v>442</v>
      </c>
      <c r="K66" s="398" t="s">
        <v>656</v>
      </c>
      <c r="L66" s="408">
        <v>100</v>
      </c>
      <c r="M66" s="409">
        <v>110</v>
      </c>
      <c r="N66" s="410">
        <v>1.748</v>
      </c>
      <c r="O66" s="411">
        <v>22.42</v>
      </c>
      <c r="P66" s="404" t="s">
        <v>1684</v>
      </c>
      <c r="Q66" s="405">
        <v>77.900000000000006</v>
      </c>
      <c r="R66" s="408">
        <v>40830</v>
      </c>
      <c r="S66" s="408">
        <v>1647</v>
      </c>
      <c r="T66" s="408">
        <v>1869</v>
      </c>
      <c r="U66" s="411">
        <v>20.28</v>
      </c>
      <c r="V66" s="407">
        <v>48.47</v>
      </c>
      <c r="W66" s="408">
        <v>1843</v>
      </c>
      <c r="X66" s="406">
        <v>185.2</v>
      </c>
      <c r="Y66" s="406">
        <v>287.8</v>
      </c>
      <c r="Z66" s="407">
        <v>4.3099999999999996</v>
      </c>
      <c r="AA66" s="411">
        <v>52.23</v>
      </c>
      <c r="AB66" s="398">
        <v>52.89</v>
      </c>
      <c r="AC66" s="398">
        <v>1068</v>
      </c>
      <c r="AD66" s="453">
        <v>1</v>
      </c>
      <c r="AE66" s="398">
        <v>1</v>
      </c>
      <c r="AF66" s="399" t="s">
        <v>616</v>
      </c>
      <c r="AG66" s="398">
        <v>4</v>
      </c>
      <c r="AH66" s="398">
        <v>4</v>
      </c>
      <c r="AI66" s="400" t="s">
        <v>616</v>
      </c>
      <c r="AJ66" s="398"/>
    </row>
    <row r="67" spans="1:36" s="215" customFormat="1" ht="13.5" customHeight="1">
      <c r="A67" s="33" t="s">
        <v>1685</v>
      </c>
      <c r="B67" s="34">
        <v>88.1</v>
      </c>
      <c r="C67" s="200">
        <v>500</v>
      </c>
      <c r="D67" s="200">
        <v>200</v>
      </c>
      <c r="E67" s="200">
        <v>10</v>
      </c>
      <c r="F67" s="200">
        <v>16</v>
      </c>
      <c r="G67" s="201">
        <v>13</v>
      </c>
      <c r="H67" s="51">
        <v>112.2</v>
      </c>
      <c r="I67" s="21">
        <v>468</v>
      </c>
      <c r="J67" s="21">
        <v>442</v>
      </c>
      <c r="K67" s="21" t="s">
        <v>656</v>
      </c>
      <c r="L67" s="35">
        <v>102</v>
      </c>
      <c r="M67" s="38">
        <v>112</v>
      </c>
      <c r="N67" s="39">
        <v>1.758</v>
      </c>
      <c r="O67" s="40">
        <v>19.95</v>
      </c>
      <c r="P67" s="273" t="s">
        <v>1685</v>
      </c>
      <c r="Q67" s="51">
        <v>88.1</v>
      </c>
      <c r="R67" s="35">
        <v>46810</v>
      </c>
      <c r="S67" s="35">
        <v>1872</v>
      </c>
      <c r="T67" s="35">
        <v>2130</v>
      </c>
      <c r="U67" s="40">
        <v>20.420000000000002</v>
      </c>
      <c r="V67" s="41">
        <v>54.01</v>
      </c>
      <c r="W67" s="35">
        <v>2138</v>
      </c>
      <c r="X67" s="36">
        <v>213.8</v>
      </c>
      <c r="Y67" s="36">
        <v>332.8</v>
      </c>
      <c r="Z67" s="41">
        <v>4.3600000000000003</v>
      </c>
      <c r="AA67" s="40">
        <v>57.23</v>
      </c>
      <c r="AB67" s="21">
        <v>76.400000000000006</v>
      </c>
      <c r="AC67" s="21">
        <v>1249</v>
      </c>
      <c r="AD67" s="199">
        <v>1</v>
      </c>
      <c r="AE67" s="200">
        <v>1</v>
      </c>
      <c r="AF67" s="201" t="s">
        <v>616</v>
      </c>
      <c r="AG67" s="200">
        <v>4</v>
      </c>
      <c r="AH67" s="200">
        <v>4</v>
      </c>
      <c r="AI67" s="202" t="s">
        <v>616</v>
      </c>
      <c r="AJ67" s="200"/>
    </row>
    <row r="68" spans="1:36" s="435" customFormat="1" ht="13.5" customHeight="1">
      <c r="A68" s="404" t="s">
        <v>1686</v>
      </c>
      <c r="B68" s="405">
        <v>101.5</v>
      </c>
      <c r="C68" s="398">
        <v>506</v>
      </c>
      <c r="D68" s="398">
        <v>201</v>
      </c>
      <c r="E68" s="398">
        <v>11</v>
      </c>
      <c r="F68" s="398">
        <v>19</v>
      </c>
      <c r="G68" s="399">
        <v>13</v>
      </c>
      <c r="H68" s="405">
        <v>129.30000000000001</v>
      </c>
      <c r="I68" s="398">
        <v>468</v>
      </c>
      <c r="J68" s="398">
        <v>442</v>
      </c>
      <c r="K68" s="398" t="s">
        <v>656</v>
      </c>
      <c r="L68" s="408">
        <v>102</v>
      </c>
      <c r="M68" s="409">
        <v>112</v>
      </c>
      <c r="N68" s="410">
        <v>1.772</v>
      </c>
      <c r="O68" s="411">
        <v>17.45</v>
      </c>
      <c r="P68" s="404" t="s">
        <v>1686</v>
      </c>
      <c r="Q68" s="405">
        <v>101.5</v>
      </c>
      <c r="R68" s="408">
        <v>55480</v>
      </c>
      <c r="S68" s="408">
        <v>2193</v>
      </c>
      <c r="T68" s="408">
        <v>2496</v>
      </c>
      <c r="U68" s="411">
        <v>20.71</v>
      </c>
      <c r="V68" s="407">
        <v>59.96</v>
      </c>
      <c r="W68" s="408">
        <v>2578</v>
      </c>
      <c r="X68" s="406">
        <v>256.5</v>
      </c>
      <c r="Y68" s="406">
        <v>399.2</v>
      </c>
      <c r="Z68" s="407">
        <v>4.46</v>
      </c>
      <c r="AA68" s="411">
        <v>64.23</v>
      </c>
      <c r="AB68" s="398">
        <v>119.6</v>
      </c>
      <c r="AC68" s="398">
        <v>1525</v>
      </c>
      <c r="AD68" s="453">
        <v>1</v>
      </c>
      <c r="AE68" s="398">
        <v>1</v>
      </c>
      <c r="AF68" s="399" t="s">
        <v>616</v>
      </c>
      <c r="AG68" s="398">
        <v>3</v>
      </c>
      <c r="AH68" s="398">
        <v>4</v>
      </c>
      <c r="AI68" s="400" t="s">
        <v>616</v>
      </c>
      <c r="AJ68" s="398"/>
    </row>
    <row r="69" spans="1:36" s="215" customFormat="1" ht="13.5" customHeight="1">
      <c r="A69" s="33"/>
      <c r="B69" s="34"/>
      <c r="C69" s="200"/>
      <c r="D69" s="200"/>
      <c r="E69" s="200"/>
      <c r="F69" s="200"/>
      <c r="G69" s="201"/>
      <c r="H69" s="51"/>
      <c r="I69" s="21"/>
      <c r="J69" s="21"/>
      <c r="K69" s="21"/>
      <c r="L69" s="35"/>
      <c r="M69" s="38"/>
      <c r="N69" s="39"/>
      <c r="O69" s="40"/>
      <c r="P69" s="273"/>
      <c r="Q69" s="51"/>
      <c r="R69" s="35"/>
      <c r="S69" s="35"/>
      <c r="T69" s="35"/>
      <c r="U69" s="40"/>
      <c r="V69" s="41"/>
      <c r="W69" s="35"/>
      <c r="X69" s="36"/>
      <c r="Y69" s="36"/>
      <c r="Z69" s="41"/>
      <c r="AA69" s="40"/>
      <c r="AB69" s="21"/>
      <c r="AC69" s="21"/>
      <c r="AD69" s="199"/>
      <c r="AE69" s="200"/>
      <c r="AF69" s="201"/>
      <c r="AG69" s="200"/>
      <c r="AH69" s="200"/>
      <c r="AI69" s="202"/>
      <c r="AJ69" s="200"/>
    </row>
    <row r="70" spans="1:36" s="435" customFormat="1" ht="13.5" customHeight="1">
      <c r="A70" s="404" t="s">
        <v>1687</v>
      </c>
      <c r="B70" s="405">
        <v>110.8</v>
      </c>
      <c r="C70" s="398">
        <v>482</v>
      </c>
      <c r="D70" s="398">
        <v>300</v>
      </c>
      <c r="E70" s="398">
        <v>11</v>
      </c>
      <c r="F70" s="398">
        <v>15</v>
      </c>
      <c r="G70" s="399">
        <v>13</v>
      </c>
      <c r="H70" s="405">
        <v>141.19999999999999</v>
      </c>
      <c r="I70" s="398">
        <v>452</v>
      </c>
      <c r="J70" s="398">
        <v>426</v>
      </c>
      <c r="K70" s="398" t="s">
        <v>667</v>
      </c>
      <c r="L70" s="408">
        <v>118</v>
      </c>
      <c r="M70" s="409">
        <v>200</v>
      </c>
      <c r="N70" s="410">
        <v>2.12</v>
      </c>
      <c r="O70" s="411">
        <v>19.13</v>
      </c>
      <c r="P70" s="404" t="s">
        <v>1687</v>
      </c>
      <c r="Q70" s="405">
        <v>110.8</v>
      </c>
      <c r="R70" s="408">
        <v>58270</v>
      </c>
      <c r="S70" s="408">
        <v>2418</v>
      </c>
      <c r="T70" s="408">
        <v>2696</v>
      </c>
      <c r="U70" s="411">
        <v>20.32</v>
      </c>
      <c r="V70" s="407">
        <v>56.72</v>
      </c>
      <c r="W70" s="408">
        <v>6756</v>
      </c>
      <c r="X70" s="406">
        <v>450.4</v>
      </c>
      <c r="Y70" s="406">
        <v>689.9</v>
      </c>
      <c r="Z70" s="407">
        <v>6.92</v>
      </c>
      <c r="AA70" s="411">
        <v>56.23</v>
      </c>
      <c r="AB70" s="398">
        <v>95.52</v>
      </c>
      <c r="AC70" s="398">
        <v>3680</v>
      </c>
      <c r="AD70" s="453">
        <v>1</v>
      </c>
      <c r="AE70" s="398">
        <v>3</v>
      </c>
      <c r="AF70" s="399" t="s">
        <v>616</v>
      </c>
      <c r="AG70" s="398">
        <v>3</v>
      </c>
      <c r="AH70" s="398">
        <v>4</v>
      </c>
      <c r="AI70" s="400" t="s">
        <v>616</v>
      </c>
      <c r="AJ70" s="398"/>
    </row>
    <row r="71" spans="1:36" s="215" customFormat="1" ht="13.5" customHeight="1">
      <c r="A71" s="33" t="s">
        <v>1688</v>
      </c>
      <c r="B71" s="34">
        <v>124.9</v>
      </c>
      <c r="C71" s="200">
        <v>488</v>
      </c>
      <c r="D71" s="200">
        <v>300</v>
      </c>
      <c r="E71" s="200">
        <v>11</v>
      </c>
      <c r="F71" s="200">
        <v>18</v>
      </c>
      <c r="G71" s="201">
        <v>13</v>
      </c>
      <c r="H71" s="51">
        <v>159.19999999999999</v>
      </c>
      <c r="I71" s="21">
        <v>452</v>
      </c>
      <c r="J71" s="21">
        <v>426</v>
      </c>
      <c r="K71" s="21" t="s">
        <v>667</v>
      </c>
      <c r="L71" s="35">
        <v>118</v>
      </c>
      <c r="M71" s="38">
        <v>200</v>
      </c>
      <c r="N71" s="39">
        <v>2.1320000000000001</v>
      </c>
      <c r="O71" s="40">
        <v>17.059999999999999</v>
      </c>
      <c r="P71" s="273" t="s">
        <v>1688</v>
      </c>
      <c r="Q71" s="51">
        <v>124.9</v>
      </c>
      <c r="R71" s="35">
        <v>68860</v>
      </c>
      <c r="S71" s="35">
        <v>2822</v>
      </c>
      <c r="T71" s="35">
        <v>3132</v>
      </c>
      <c r="U71" s="40">
        <v>20.8</v>
      </c>
      <c r="V71" s="41">
        <v>57.83</v>
      </c>
      <c r="W71" s="35">
        <v>8106</v>
      </c>
      <c r="X71" s="36">
        <v>540.4</v>
      </c>
      <c r="Y71" s="36">
        <v>824.9</v>
      </c>
      <c r="Z71" s="41">
        <v>7.14</v>
      </c>
      <c r="AA71" s="40">
        <v>62.23</v>
      </c>
      <c r="AB71" s="21">
        <v>144</v>
      </c>
      <c r="AC71" s="21">
        <v>4473</v>
      </c>
      <c r="AD71" s="199">
        <v>1</v>
      </c>
      <c r="AE71" s="200">
        <v>2</v>
      </c>
      <c r="AF71" s="201" t="s">
        <v>616</v>
      </c>
      <c r="AG71" s="200">
        <v>3</v>
      </c>
      <c r="AH71" s="200">
        <v>4</v>
      </c>
      <c r="AI71" s="202" t="s">
        <v>616</v>
      </c>
      <c r="AJ71" s="200"/>
    </row>
    <row r="72" spans="1:36" s="215" customFormat="1" ht="13.5" customHeight="1">
      <c r="A72" s="33"/>
      <c r="B72" s="34"/>
      <c r="C72" s="200"/>
      <c r="D72" s="200"/>
      <c r="E72" s="200"/>
      <c r="F72" s="200"/>
      <c r="G72" s="201"/>
      <c r="H72" s="51"/>
      <c r="I72" s="21"/>
      <c r="J72" s="21"/>
      <c r="K72" s="21"/>
      <c r="L72" s="35"/>
      <c r="M72" s="38"/>
      <c r="N72" s="39"/>
      <c r="O72" s="40"/>
      <c r="P72" s="273"/>
      <c r="Q72" s="51"/>
      <c r="R72" s="35"/>
      <c r="S72" s="35"/>
      <c r="T72" s="35"/>
      <c r="U72" s="40"/>
      <c r="V72" s="41"/>
      <c r="W72" s="35"/>
      <c r="X72" s="36"/>
      <c r="Y72" s="36"/>
      <c r="Z72" s="41"/>
      <c r="AA72" s="40"/>
      <c r="AB72" s="21"/>
      <c r="AC72" s="21"/>
      <c r="AD72" s="199"/>
      <c r="AE72" s="200"/>
      <c r="AF72" s="201"/>
      <c r="AG72" s="200"/>
      <c r="AH72" s="200"/>
      <c r="AI72" s="202"/>
      <c r="AJ72" s="200"/>
    </row>
    <row r="73" spans="1:36" s="435" customFormat="1" ht="13.5" customHeight="1">
      <c r="A73" s="404" t="s">
        <v>1689</v>
      </c>
      <c r="B73" s="405">
        <v>132.80000000000001</v>
      </c>
      <c r="C73" s="398">
        <v>582</v>
      </c>
      <c r="D73" s="398">
        <v>300</v>
      </c>
      <c r="E73" s="398">
        <v>12</v>
      </c>
      <c r="F73" s="398">
        <v>17</v>
      </c>
      <c r="G73" s="399">
        <v>13</v>
      </c>
      <c r="H73" s="405">
        <v>169.2</v>
      </c>
      <c r="I73" s="398">
        <v>548</v>
      </c>
      <c r="J73" s="398">
        <v>522</v>
      </c>
      <c r="K73" s="398" t="s">
        <v>667</v>
      </c>
      <c r="L73" s="408">
        <v>124</v>
      </c>
      <c r="M73" s="409">
        <v>200</v>
      </c>
      <c r="N73" s="410">
        <v>2.3180000000000001</v>
      </c>
      <c r="O73" s="411">
        <v>17.45</v>
      </c>
      <c r="P73" s="404" t="s">
        <v>1689</v>
      </c>
      <c r="Q73" s="405">
        <v>132.80000000000001</v>
      </c>
      <c r="R73" s="408">
        <v>98950</v>
      </c>
      <c r="S73" s="408">
        <v>3400</v>
      </c>
      <c r="T73" s="408">
        <v>3822</v>
      </c>
      <c r="U73" s="411">
        <v>24.18</v>
      </c>
      <c r="V73" s="407">
        <v>73.67</v>
      </c>
      <c r="W73" s="408">
        <v>7659</v>
      </c>
      <c r="X73" s="406">
        <v>510.6</v>
      </c>
      <c r="Y73" s="406">
        <v>786</v>
      </c>
      <c r="Z73" s="407">
        <v>6.73</v>
      </c>
      <c r="AA73" s="411">
        <v>61.23</v>
      </c>
      <c r="AB73" s="398">
        <v>139.30000000000001</v>
      </c>
      <c r="AC73" s="398">
        <v>6105</v>
      </c>
      <c r="AD73" s="453">
        <v>1</v>
      </c>
      <c r="AE73" s="398">
        <v>2</v>
      </c>
      <c r="AF73" s="399" t="s">
        <v>616</v>
      </c>
      <c r="AG73" s="398">
        <v>4</v>
      </c>
      <c r="AH73" s="398">
        <v>4</v>
      </c>
      <c r="AI73" s="400" t="s">
        <v>616</v>
      </c>
      <c r="AJ73" s="398"/>
    </row>
    <row r="74" spans="1:36" s="215" customFormat="1" ht="13.5" customHeight="1">
      <c r="A74" s="33" t="s">
        <v>1690</v>
      </c>
      <c r="B74" s="34">
        <v>147</v>
      </c>
      <c r="C74" s="200">
        <v>588</v>
      </c>
      <c r="D74" s="200">
        <v>300</v>
      </c>
      <c r="E74" s="200">
        <v>12</v>
      </c>
      <c r="F74" s="200">
        <v>20</v>
      </c>
      <c r="G74" s="201">
        <v>13</v>
      </c>
      <c r="H74" s="51">
        <v>187.2</v>
      </c>
      <c r="I74" s="21">
        <v>548</v>
      </c>
      <c r="J74" s="21">
        <v>522</v>
      </c>
      <c r="K74" s="21" t="s">
        <v>667</v>
      </c>
      <c r="L74" s="35">
        <v>124</v>
      </c>
      <c r="M74" s="38">
        <v>200</v>
      </c>
      <c r="N74" s="39">
        <v>2.33</v>
      </c>
      <c r="O74" s="40">
        <v>15.85</v>
      </c>
      <c r="P74" s="273" t="s">
        <v>1690</v>
      </c>
      <c r="Q74" s="51">
        <v>147</v>
      </c>
      <c r="R74" s="35">
        <v>114400</v>
      </c>
      <c r="S74" s="35">
        <v>3889</v>
      </c>
      <c r="T74" s="35">
        <v>4348</v>
      </c>
      <c r="U74" s="40">
        <v>24.71</v>
      </c>
      <c r="V74" s="41">
        <v>74.81</v>
      </c>
      <c r="W74" s="35">
        <v>9009</v>
      </c>
      <c r="X74" s="36">
        <v>600.6</v>
      </c>
      <c r="Y74" s="36">
        <v>921</v>
      </c>
      <c r="Z74" s="41">
        <v>6.94</v>
      </c>
      <c r="AA74" s="40">
        <v>67.23</v>
      </c>
      <c r="AB74" s="21">
        <v>200</v>
      </c>
      <c r="AC74" s="21">
        <v>7259</v>
      </c>
      <c r="AD74" s="199">
        <v>1</v>
      </c>
      <c r="AE74" s="200">
        <v>1</v>
      </c>
      <c r="AF74" s="201" t="s">
        <v>616</v>
      </c>
      <c r="AG74" s="200">
        <v>4</v>
      </c>
      <c r="AH74" s="200">
        <v>4</v>
      </c>
      <c r="AI74" s="202" t="s">
        <v>616</v>
      </c>
      <c r="AJ74" s="200"/>
    </row>
    <row r="75" spans="1:36" s="435" customFormat="1" ht="13.5" customHeight="1">
      <c r="A75" s="404" t="s">
        <v>1691</v>
      </c>
      <c r="B75" s="405">
        <v>170.4</v>
      </c>
      <c r="C75" s="398">
        <v>594</v>
      </c>
      <c r="D75" s="398">
        <v>302</v>
      </c>
      <c r="E75" s="398">
        <v>14</v>
      </c>
      <c r="F75" s="398">
        <v>23</v>
      </c>
      <c r="G75" s="399">
        <v>13</v>
      </c>
      <c r="H75" s="405">
        <v>217.1</v>
      </c>
      <c r="I75" s="398">
        <v>548</v>
      </c>
      <c r="J75" s="398">
        <v>522</v>
      </c>
      <c r="K75" s="398" t="s">
        <v>667</v>
      </c>
      <c r="L75" s="408">
        <v>126</v>
      </c>
      <c r="M75" s="409">
        <v>202</v>
      </c>
      <c r="N75" s="410">
        <v>2.3460000000000001</v>
      </c>
      <c r="O75" s="411">
        <v>13.76</v>
      </c>
      <c r="P75" s="404" t="s">
        <v>1691</v>
      </c>
      <c r="Q75" s="405">
        <v>170.4</v>
      </c>
      <c r="R75" s="408">
        <v>133600</v>
      </c>
      <c r="S75" s="408">
        <v>4497</v>
      </c>
      <c r="T75" s="408">
        <v>5057</v>
      </c>
      <c r="U75" s="411">
        <v>24.8</v>
      </c>
      <c r="V75" s="407">
        <v>87.37</v>
      </c>
      <c r="W75" s="408">
        <v>10570</v>
      </c>
      <c r="X75" s="406">
        <v>700.2</v>
      </c>
      <c r="Y75" s="408">
        <v>1077</v>
      </c>
      <c r="Z75" s="407">
        <v>6.98</v>
      </c>
      <c r="AA75" s="411">
        <v>75.23</v>
      </c>
      <c r="AB75" s="398">
        <v>306.5</v>
      </c>
      <c r="AC75" s="398">
        <v>8606</v>
      </c>
      <c r="AD75" s="453">
        <v>1</v>
      </c>
      <c r="AE75" s="398">
        <v>1</v>
      </c>
      <c r="AF75" s="399" t="s">
        <v>616</v>
      </c>
      <c r="AG75" s="398">
        <v>2</v>
      </c>
      <c r="AH75" s="398">
        <v>4</v>
      </c>
      <c r="AI75" s="400" t="s">
        <v>616</v>
      </c>
      <c r="AJ75" s="398"/>
    </row>
    <row r="76" spans="1:36" s="215" customFormat="1" ht="13.5" customHeight="1">
      <c r="A76" s="33"/>
      <c r="B76" s="34"/>
      <c r="C76" s="200"/>
      <c r="D76" s="200"/>
      <c r="E76" s="200"/>
      <c r="F76" s="200"/>
      <c r="G76" s="201"/>
      <c r="H76" s="51"/>
      <c r="I76" s="21"/>
      <c r="J76" s="21"/>
      <c r="K76" s="21"/>
      <c r="L76" s="35"/>
      <c r="M76" s="38"/>
      <c r="N76" s="39"/>
      <c r="O76" s="40"/>
      <c r="P76" s="273"/>
      <c r="Q76" s="51"/>
      <c r="R76" s="35"/>
      <c r="S76" s="35"/>
      <c r="T76" s="35"/>
      <c r="U76" s="40"/>
      <c r="V76" s="41"/>
      <c r="W76" s="35"/>
      <c r="X76" s="36"/>
      <c r="Y76" s="36"/>
      <c r="Z76" s="41"/>
      <c r="AA76" s="40"/>
      <c r="AB76" s="21"/>
      <c r="AC76" s="21"/>
      <c r="AD76" s="199"/>
      <c r="AE76" s="200"/>
      <c r="AF76" s="201"/>
      <c r="AG76" s="200"/>
      <c r="AH76" s="200"/>
      <c r="AI76" s="202"/>
      <c r="AJ76" s="200"/>
    </row>
    <row r="77" spans="1:36" s="435" customFormat="1" ht="13.5" customHeight="1">
      <c r="A77" s="404" t="s">
        <v>1692</v>
      </c>
      <c r="B77" s="405">
        <v>162.9</v>
      </c>
      <c r="C77" s="398">
        <v>692</v>
      </c>
      <c r="D77" s="398">
        <v>300</v>
      </c>
      <c r="E77" s="398">
        <v>13</v>
      </c>
      <c r="F77" s="398">
        <v>20</v>
      </c>
      <c r="G77" s="399">
        <v>18</v>
      </c>
      <c r="H77" s="405">
        <v>207.5</v>
      </c>
      <c r="I77" s="398">
        <v>652</v>
      </c>
      <c r="J77" s="398">
        <v>616</v>
      </c>
      <c r="K77" s="398" t="s">
        <v>667</v>
      </c>
      <c r="L77" s="408">
        <v>124</v>
      </c>
      <c r="M77" s="409">
        <v>200</v>
      </c>
      <c r="N77" s="410">
        <v>2.5270000000000001</v>
      </c>
      <c r="O77" s="411">
        <v>15.51</v>
      </c>
      <c r="P77" s="404" t="s">
        <v>1692</v>
      </c>
      <c r="Q77" s="405">
        <v>162.9</v>
      </c>
      <c r="R77" s="408">
        <v>168400</v>
      </c>
      <c r="S77" s="408">
        <v>4868</v>
      </c>
      <c r="T77" s="408">
        <v>5503</v>
      </c>
      <c r="U77" s="411">
        <v>28.49</v>
      </c>
      <c r="V77" s="407">
        <v>97.34</v>
      </c>
      <c r="W77" s="408">
        <v>9015</v>
      </c>
      <c r="X77" s="406">
        <v>601</v>
      </c>
      <c r="Y77" s="406">
        <v>930.5</v>
      </c>
      <c r="Z77" s="407">
        <v>6.59</v>
      </c>
      <c r="AA77" s="411">
        <v>74.09</v>
      </c>
      <c r="AB77" s="398">
        <v>228.2</v>
      </c>
      <c r="AC77" s="398">
        <v>10160</v>
      </c>
      <c r="AD77" s="453">
        <v>1</v>
      </c>
      <c r="AE77" s="398">
        <v>1</v>
      </c>
      <c r="AF77" s="399" t="s">
        <v>616</v>
      </c>
      <c r="AG77" s="398">
        <v>4</v>
      </c>
      <c r="AH77" s="398">
        <v>4</v>
      </c>
      <c r="AI77" s="400" t="s">
        <v>616</v>
      </c>
      <c r="AJ77" s="398"/>
    </row>
    <row r="78" spans="1:36" s="215" customFormat="1" ht="13.5" customHeight="1">
      <c r="A78" s="33" t="s">
        <v>1693</v>
      </c>
      <c r="B78" s="34">
        <v>181.8</v>
      </c>
      <c r="C78" s="200">
        <v>700</v>
      </c>
      <c r="D78" s="200">
        <v>300</v>
      </c>
      <c r="E78" s="200">
        <v>13</v>
      </c>
      <c r="F78" s="200">
        <v>24</v>
      </c>
      <c r="G78" s="201">
        <v>18</v>
      </c>
      <c r="H78" s="51">
        <v>231.5</v>
      </c>
      <c r="I78" s="21">
        <v>652</v>
      </c>
      <c r="J78" s="21">
        <v>616</v>
      </c>
      <c r="K78" s="21" t="s">
        <v>667</v>
      </c>
      <c r="L78" s="35">
        <v>124</v>
      </c>
      <c r="M78" s="38">
        <v>200</v>
      </c>
      <c r="N78" s="39">
        <v>2.5430000000000001</v>
      </c>
      <c r="O78" s="40">
        <v>13.99</v>
      </c>
      <c r="P78" s="273" t="s">
        <v>1693</v>
      </c>
      <c r="Q78" s="51">
        <v>181.8</v>
      </c>
      <c r="R78" s="35">
        <v>197500</v>
      </c>
      <c r="S78" s="35">
        <v>5643</v>
      </c>
      <c r="T78" s="35">
        <v>6338</v>
      </c>
      <c r="U78" s="40">
        <v>29.21</v>
      </c>
      <c r="V78" s="41">
        <v>99.3</v>
      </c>
      <c r="W78" s="35">
        <v>10820</v>
      </c>
      <c r="X78" s="36">
        <v>721</v>
      </c>
      <c r="Y78" s="35">
        <v>1110</v>
      </c>
      <c r="Z78" s="41">
        <v>6.83</v>
      </c>
      <c r="AA78" s="40">
        <v>82.09</v>
      </c>
      <c r="AB78" s="21">
        <v>342.2</v>
      </c>
      <c r="AC78" s="21">
        <v>12340</v>
      </c>
      <c r="AD78" s="199">
        <v>1</v>
      </c>
      <c r="AE78" s="200">
        <v>1</v>
      </c>
      <c r="AF78" s="201" t="s">
        <v>616</v>
      </c>
      <c r="AG78" s="200">
        <v>4</v>
      </c>
      <c r="AH78" s="200">
        <v>4</v>
      </c>
      <c r="AI78" s="202" t="s">
        <v>616</v>
      </c>
      <c r="AJ78" s="200"/>
    </row>
    <row r="79" spans="1:36" s="215" customFormat="1" ht="13.5" customHeight="1">
      <c r="A79" s="33"/>
      <c r="B79" s="34"/>
      <c r="C79" s="200"/>
      <c r="D79" s="200"/>
      <c r="E79" s="200"/>
      <c r="F79" s="200"/>
      <c r="G79" s="201"/>
      <c r="H79" s="51"/>
      <c r="I79" s="21"/>
      <c r="J79" s="21"/>
      <c r="K79" s="21"/>
      <c r="L79" s="35"/>
      <c r="M79" s="38"/>
      <c r="N79" s="39"/>
      <c r="O79" s="40"/>
      <c r="P79" s="273"/>
      <c r="Q79" s="51"/>
      <c r="R79" s="35"/>
      <c r="S79" s="35"/>
      <c r="T79" s="35"/>
      <c r="U79" s="40"/>
      <c r="V79" s="41"/>
      <c r="W79" s="35"/>
      <c r="X79" s="36"/>
      <c r="Y79" s="35"/>
      <c r="Z79" s="41"/>
      <c r="AA79" s="40"/>
      <c r="AB79" s="21"/>
      <c r="AC79" s="21"/>
      <c r="AD79" s="199"/>
      <c r="AE79" s="200"/>
      <c r="AF79" s="201"/>
      <c r="AG79" s="200"/>
      <c r="AH79" s="200"/>
      <c r="AI79" s="202"/>
      <c r="AJ79" s="200"/>
    </row>
    <row r="80" spans="1:36" s="435" customFormat="1" ht="13.5" customHeight="1">
      <c r="A80" s="404" t="s">
        <v>1694</v>
      </c>
      <c r="B80" s="405">
        <v>188</v>
      </c>
      <c r="C80" s="398">
        <v>792</v>
      </c>
      <c r="D80" s="398">
        <v>300</v>
      </c>
      <c r="E80" s="398">
        <v>14</v>
      </c>
      <c r="F80" s="398">
        <v>22</v>
      </c>
      <c r="G80" s="399">
        <v>18</v>
      </c>
      <c r="H80" s="405">
        <v>239.5</v>
      </c>
      <c r="I80" s="398">
        <v>748</v>
      </c>
      <c r="J80" s="398">
        <v>712</v>
      </c>
      <c r="K80" s="398" t="s">
        <v>667</v>
      </c>
      <c r="L80" s="408">
        <v>126</v>
      </c>
      <c r="M80" s="409">
        <v>200</v>
      </c>
      <c r="N80" s="410">
        <v>2.7250000000000001</v>
      </c>
      <c r="O80" s="411">
        <v>14.49</v>
      </c>
      <c r="P80" s="404" t="s">
        <v>1694</v>
      </c>
      <c r="Q80" s="405">
        <v>188</v>
      </c>
      <c r="R80" s="408">
        <v>248300</v>
      </c>
      <c r="S80" s="408">
        <v>6271</v>
      </c>
      <c r="T80" s="408">
        <v>7143</v>
      </c>
      <c r="U80" s="411">
        <v>32.200000000000003</v>
      </c>
      <c r="V80" s="407">
        <v>118.5</v>
      </c>
      <c r="W80" s="408">
        <v>9921</v>
      </c>
      <c r="X80" s="406">
        <v>661.4</v>
      </c>
      <c r="Y80" s="408">
        <v>1030</v>
      </c>
      <c r="Z80" s="407">
        <v>6.44</v>
      </c>
      <c r="AA80" s="411">
        <v>79.09</v>
      </c>
      <c r="AB80" s="398">
        <v>304.89999999999998</v>
      </c>
      <c r="AC80" s="398">
        <v>14670</v>
      </c>
      <c r="AD80" s="453">
        <v>1</v>
      </c>
      <c r="AE80" s="398">
        <v>1</v>
      </c>
      <c r="AF80" s="399" t="s">
        <v>616</v>
      </c>
      <c r="AG80" s="398">
        <v>4</v>
      </c>
      <c r="AH80" s="398">
        <v>4</v>
      </c>
      <c r="AI80" s="400" t="s">
        <v>616</v>
      </c>
      <c r="AJ80" s="398"/>
    </row>
    <row r="81" spans="1:36" s="215" customFormat="1" ht="13.5" customHeight="1">
      <c r="A81" s="33" t="s">
        <v>1695</v>
      </c>
      <c r="B81" s="34">
        <v>206.8</v>
      </c>
      <c r="C81" s="200">
        <v>800</v>
      </c>
      <c r="D81" s="200">
        <v>300</v>
      </c>
      <c r="E81" s="200">
        <v>14</v>
      </c>
      <c r="F81" s="200">
        <v>26</v>
      </c>
      <c r="G81" s="201">
        <v>18</v>
      </c>
      <c r="H81" s="51">
        <v>263.5</v>
      </c>
      <c r="I81" s="21">
        <v>748</v>
      </c>
      <c r="J81" s="21">
        <v>712</v>
      </c>
      <c r="K81" s="21" t="s">
        <v>667</v>
      </c>
      <c r="L81" s="35">
        <v>126</v>
      </c>
      <c r="M81" s="38">
        <v>200</v>
      </c>
      <c r="N81" s="39">
        <v>2.7410000000000001</v>
      </c>
      <c r="O81" s="40">
        <v>13.25</v>
      </c>
      <c r="P81" s="273" t="s">
        <v>1695</v>
      </c>
      <c r="Q81" s="51">
        <v>206.8</v>
      </c>
      <c r="R81" s="35">
        <v>286400</v>
      </c>
      <c r="S81" s="35">
        <v>7159</v>
      </c>
      <c r="T81" s="35">
        <v>8098</v>
      </c>
      <c r="U81" s="40">
        <v>32.97</v>
      </c>
      <c r="V81" s="41">
        <v>120.5</v>
      </c>
      <c r="W81" s="35">
        <v>11720</v>
      </c>
      <c r="X81" s="36">
        <v>781.4</v>
      </c>
      <c r="Y81" s="35">
        <v>1210</v>
      </c>
      <c r="Z81" s="41">
        <v>6.67</v>
      </c>
      <c r="AA81" s="40">
        <v>87.09</v>
      </c>
      <c r="AB81" s="21">
        <v>439.8</v>
      </c>
      <c r="AC81" s="21">
        <v>17520</v>
      </c>
      <c r="AD81" s="199">
        <v>1</v>
      </c>
      <c r="AE81" s="200">
        <v>1</v>
      </c>
      <c r="AF81" s="201" t="s">
        <v>616</v>
      </c>
      <c r="AG81" s="200">
        <v>4</v>
      </c>
      <c r="AH81" s="200">
        <v>4</v>
      </c>
      <c r="AI81" s="202" t="s">
        <v>616</v>
      </c>
      <c r="AJ81" s="200"/>
    </row>
    <row r="82" spans="1:36" s="215" customFormat="1" ht="13.5" customHeight="1">
      <c r="A82" s="33"/>
      <c r="B82" s="34"/>
      <c r="C82" s="200"/>
      <c r="D82" s="200"/>
      <c r="E82" s="200"/>
      <c r="F82" s="200"/>
      <c r="G82" s="201"/>
      <c r="H82" s="51"/>
      <c r="I82" s="21"/>
      <c r="J82" s="21"/>
      <c r="K82" s="21"/>
      <c r="L82" s="35"/>
      <c r="M82" s="38"/>
      <c r="N82" s="39"/>
      <c r="O82" s="40"/>
      <c r="P82" s="273"/>
      <c r="Q82" s="51"/>
      <c r="R82" s="35"/>
      <c r="S82" s="35"/>
      <c r="T82" s="35"/>
      <c r="U82" s="40"/>
      <c r="V82" s="41"/>
      <c r="W82" s="35"/>
      <c r="X82" s="36"/>
      <c r="Y82" s="35"/>
      <c r="Z82" s="41"/>
      <c r="AA82" s="40"/>
      <c r="AB82" s="21"/>
      <c r="AC82" s="21"/>
      <c r="AD82" s="199"/>
      <c r="AE82" s="200"/>
      <c r="AF82" s="201"/>
      <c r="AG82" s="200"/>
      <c r="AH82" s="200"/>
      <c r="AI82" s="202"/>
      <c r="AJ82" s="200"/>
    </row>
    <row r="83" spans="1:36" s="435" customFormat="1" ht="13.5" customHeight="1">
      <c r="A83" s="404" t="s">
        <v>1696</v>
      </c>
      <c r="B83" s="405">
        <v>209.5</v>
      </c>
      <c r="C83" s="398">
        <v>890</v>
      </c>
      <c r="D83" s="398">
        <v>299</v>
      </c>
      <c r="E83" s="398">
        <v>15</v>
      </c>
      <c r="F83" s="398">
        <v>23</v>
      </c>
      <c r="G83" s="399">
        <v>18</v>
      </c>
      <c r="H83" s="405">
        <v>266.89999999999998</v>
      </c>
      <c r="I83" s="398">
        <v>844</v>
      </c>
      <c r="J83" s="398">
        <v>808</v>
      </c>
      <c r="K83" s="398" t="s">
        <v>667</v>
      </c>
      <c r="L83" s="408">
        <v>126</v>
      </c>
      <c r="M83" s="409">
        <v>198</v>
      </c>
      <c r="N83" s="410">
        <v>2.915</v>
      </c>
      <c r="O83" s="411">
        <v>13.91</v>
      </c>
      <c r="P83" s="404" t="s">
        <v>1696</v>
      </c>
      <c r="Q83" s="405">
        <v>209.5</v>
      </c>
      <c r="R83" s="408">
        <v>338500</v>
      </c>
      <c r="S83" s="408">
        <v>7608</v>
      </c>
      <c r="T83" s="408">
        <v>8750</v>
      </c>
      <c r="U83" s="411">
        <v>35.61</v>
      </c>
      <c r="V83" s="407">
        <v>141.1</v>
      </c>
      <c r="W83" s="408">
        <v>10280</v>
      </c>
      <c r="X83" s="406">
        <v>687.3</v>
      </c>
      <c r="Y83" s="408">
        <v>1079</v>
      </c>
      <c r="Z83" s="407">
        <v>6.2</v>
      </c>
      <c r="AA83" s="411">
        <v>82.09</v>
      </c>
      <c r="AB83" s="398">
        <v>364.7</v>
      </c>
      <c r="AC83" s="398">
        <v>19260</v>
      </c>
      <c r="AD83" s="453">
        <v>1</v>
      </c>
      <c r="AE83" s="398">
        <v>1</v>
      </c>
      <c r="AF83" s="399" t="s">
        <v>616</v>
      </c>
      <c r="AG83" s="398">
        <v>4</v>
      </c>
      <c r="AH83" s="398">
        <v>4</v>
      </c>
      <c r="AI83" s="400" t="s">
        <v>616</v>
      </c>
      <c r="AJ83" s="398"/>
    </row>
    <row r="84" spans="1:36" s="215" customFormat="1" ht="13.5" customHeight="1">
      <c r="A84" s="33" t="s">
        <v>1697</v>
      </c>
      <c r="B84" s="34">
        <v>240.1</v>
      </c>
      <c r="C84" s="200">
        <v>900</v>
      </c>
      <c r="D84" s="200">
        <v>300</v>
      </c>
      <c r="E84" s="200">
        <v>16</v>
      </c>
      <c r="F84" s="200">
        <v>28</v>
      </c>
      <c r="G84" s="201">
        <v>18</v>
      </c>
      <c r="H84" s="51">
        <v>305.8</v>
      </c>
      <c r="I84" s="21">
        <v>844</v>
      </c>
      <c r="J84" s="21">
        <v>808</v>
      </c>
      <c r="K84" s="21" t="s">
        <v>667</v>
      </c>
      <c r="L84" s="35">
        <v>128</v>
      </c>
      <c r="M84" s="38">
        <v>200</v>
      </c>
      <c r="N84" s="39">
        <v>2.9369999999999998</v>
      </c>
      <c r="O84" s="40">
        <v>12.23</v>
      </c>
      <c r="P84" s="273" t="s">
        <v>1697</v>
      </c>
      <c r="Q84" s="51">
        <v>240.1</v>
      </c>
      <c r="R84" s="35">
        <v>404500</v>
      </c>
      <c r="S84" s="35">
        <v>8989</v>
      </c>
      <c r="T84" s="35">
        <v>10290</v>
      </c>
      <c r="U84" s="40">
        <v>36.369999999999997</v>
      </c>
      <c r="V84" s="41">
        <v>152.4</v>
      </c>
      <c r="W84" s="35">
        <v>12630</v>
      </c>
      <c r="X84" s="36">
        <v>842.2</v>
      </c>
      <c r="Y84" s="35">
        <v>1317</v>
      </c>
      <c r="Z84" s="41">
        <v>6.43</v>
      </c>
      <c r="AA84" s="40">
        <v>93.09</v>
      </c>
      <c r="AB84" s="21">
        <v>581.4</v>
      </c>
      <c r="AC84" s="21">
        <v>23950</v>
      </c>
      <c r="AD84" s="199">
        <v>1</v>
      </c>
      <c r="AE84" s="200">
        <v>1</v>
      </c>
      <c r="AF84" s="201" t="s">
        <v>616</v>
      </c>
      <c r="AG84" s="200">
        <v>4</v>
      </c>
      <c r="AH84" s="200">
        <v>4</v>
      </c>
      <c r="AI84" s="202" t="s">
        <v>616</v>
      </c>
      <c r="AJ84" s="200"/>
    </row>
    <row r="85" spans="1:36" s="435" customFormat="1" ht="13.5" customHeight="1">
      <c r="A85" s="404" t="s">
        <v>1698</v>
      </c>
      <c r="B85" s="405">
        <v>282.60000000000002</v>
      </c>
      <c r="C85" s="398">
        <v>912</v>
      </c>
      <c r="D85" s="398">
        <v>302</v>
      </c>
      <c r="E85" s="398">
        <v>18</v>
      </c>
      <c r="F85" s="398">
        <v>34</v>
      </c>
      <c r="G85" s="399">
        <v>18</v>
      </c>
      <c r="H85" s="405">
        <v>360.1</v>
      </c>
      <c r="I85" s="398">
        <v>844</v>
      </c>
      <c r="J85" s="398">
        <v>808</v>
      </c>
      <c r="K85" s="398" t="s">
        <v>667</v>
      </c>
      <c r="L85" s="408">
        <v>130</v>
      </c>
      <c r="M85" s="409">
        <v>202</v>
      </c>
      <c r="N85" s="410">
        <v>2.9649999999999999</v>
      </c>
      <c r="O85" s="411">
        <v>10.49</v>
      </c>
      <c r="P85" s="404" t="s">
        <v>1698</v>
      </c>
      <c r="Q85" s="405">
        <v>282.60000000000002</v>
      </c>
      <c r="R85" s="408">
        <v>491000</v>
      </c>
      <c r="S85" s="408">
        <v>10770</v>
      </c>
      <c r="T85" s="408">
        <v>12340</v>
      </c>
      <c r="U85" s="411">
        <v>36.93</v>
      </c>
      <c r="V85" s="407">
        <v>173.1</v>
      </c>
      <c r="W85" s="408">
        <v>15650</v>
      </c>
      <c r="X85" s="406">
        <v>1037</v>
      </c>
      <c r="Y85" s="408">
        <v>1622</v>
      </c>
      <c r="Z85" s="407">
        <v>6.59</v>
      </c>
      <c r="AA85" s="411">
        <v>107.1</v>
      </c>
      <c r="AB85" s="398">
        <v>980.8</v>
      </c>
      <c r="AC85" s="398">
        <v>30080</v>
      </c>
      <c r="AD85" s="453">
        <v>1</v>
      </c>
      <c r="AE85" s="398">
        <v>1</v>
      </c>
      <c r="AF85" s="399" t="s">
        <v>616</v>
      </c>
      <c r="AG85" s="398">
        <v>4</v>
      </c>
      <c r="AH85" s="398">
        <v>4</v>
      </c>
      <c r="AI85" s="400" t="s">
        <v>616</v>
      </c>
      <c r="AJ85" s="398"/>
    </row>
    <row r="86" spans="1:36" s="215" customFormat="1" ht="13.5" customHeight="1">
      <c r="A86" s="33"/>
      <c r="B86" s="34"/>
      <c r="C86" s="200"/>
      <c r="D86" s="200"/>
      <c r="E86" s="200"/>
      <c r="F86" s="200"/>
      <c r="G86" s="201"/>
      <c r="H86" s="51"/>
      <c r="I86" s="21"/>
      <c r="J86" s="21"/>
      <c r="K86" s="21"/>
      <c r="L86" s="35"/>
      <c r="M86" s="38"/>
      <c r="N86" s="39"/>
      <c r="O86" s="40"/>
      <c r="P86" s="273"/>
      <c r="Q86" s="51"/>
      <c r="R86" s="35"/>
      <c r="S86" s="35"/>
      <c r="T86" s="35"/>
      <c r="U86" s="40"/>
      <c r="V86" s="51"/>
      <c r="W86" s="35"/>
      <c r="X86" s="36"/>
      <c r="Y86" s="35"/>
      <c r="Z86" s="41"/>
      <c r="AA86" s="40"/>
      <c r="AB86" s="21"/>
      <c r="AC86" s="21"/>
      <c r="AD86" s="199"/>
      <c r="AE86" s="200"/>
      <c r="AF86" s="201"/>
      <c r="AG86" s="200"/>
      <c r="AH86" s="200"/>
      <c r="AI86" s="202"/>
      <c r="AJ86" s="200"/>
    </row>
    <row r="87" spans="1:36" s="215" customFormat="1" ht="13.5" hidden="1" customHeight="1">
      <c r="A87" s="213"/>
      <c r="B87" s="212"/>
      <c r="C87" s="203"/>
      <c r="D87" s="203"/>
      <c r="E87" s="203"/>
      <c r="F87" s="203"/>
      <c r="G87" s="203"/>
      <c r="H87" s="203"/>
      <c r="I87" s="203"/>
      <c r="J87" s="203"/>
      <c r="K87" s="203"/>
      <c r="L87" s="214"/>
      <c r="M87" s="203"/>
      <c r="N87" s="203"/>
      <c r="O87" s="203"/>
      <c r="P87" s="213"/>
      <c r="Q87" s="203"/>
      <c r="R87" s="203"/>
      <c r="S87" s="203"/>
      <c r="T87" s="203"/>
      <c r="U87" s="203"/>
      <c r="V87" s="203"/>
      <c r="W87" s="203"/>
      <c r="X87" s="203"/>
      <c r="Y87" s="203"/>
      <c r="Z87" s="203"/>
      <c r="AA87" s="203"/>
      <c r="AB87" s="203"/>
      <c r="AC87" s="203"/>
      <c r="AD87" s="203"/>
      <c r="AE87" s="203"/>
      <c r="AF87" s="203"/>
      <c r="AG87" s="203"/>
      <c r="AH87" s="203"/>
      <c r="AI87" s="203"/>
      <c r="AJ87" s="203"/>
    </row>
    <row r="88" spans="1:36" s="215" customFormat="1" ht="13.5" hidden="1" customHeight="1">
      <c r="A88" s="213"/>
      <c r="B88" s="212"/>
      <c r="C88" s="203"/>
      <c r="D88" s="203"/>
      <c r="E88" s="203"/>
      <c r="F88" s="203"/>
      <c r="G88" s="203"/>
      <c r="H88" s="203"/>
      <c r="I88" s="203"/>
      <c r="J88" s="203"/>
      <c r="K88" s="203"/>
      <c r="L88" s="214"/>
      <c r="M88" s="203"/>
      <c r="N88" s="203"/>
      <c r="O88" s="203"/>
      <c r="P88" s="213"/>
      <c r="Q88" s="203"/>
      <c r="R88" s="203"/>
      <c r="S88" s="203"/>
      <c r="T88" s="203"/>
      <c r="U88" s="203"/>
      <c r="V88" s="203"/>
      <c r="W88" s="203"/>
      <c r="X88" s="203"/>
      <c r="Y88" s="203"/>
      <c r="Z88" s="203"/>
      <c r="AA88" s="203"/>
      <c r="AB88" s="203"/>
      <c r="AC88" s="203"/>
      <c r="AD88" s="203"/>
      <c r="AE88" s="203"/>
      <c r="AF88" s="203"/>
      <c r="AG88" s="203"/>
      <c r="AH88" s="203"/>
      <c r="AI88" s="203"/>
      <c r="AJ88" s="203"/>
    </row>
    <row r="89" spans="1:36" s="215" customFormat="1" ht="13.5" hidden="1" customHeight="1">
      <c r="A89" s="216"/>
      <c r="B89" s="217"/>
      <c r="C89" s="218"/>
      <c r="D89" s="218"/>
      <c r="E89" s="218"/>
      <c r="F89" s="218"/>
      <c r="G89" s="218"/>
      <c r="H89" s="218"/>
      <c r="I89" s="218"/>
      <c r="J89" s="218"/>
      <c r="K89" s="218"/>
      <c r="L89" s="219"/>
      <c r="M89" s="218"/>
      <c r="N89" s="218"/>
      <c r="O89" s="218"/>
      <c r="P89" s="216"/>
      <c r="Q89" s="218"/>
      <c r="R89" s="218"/>
      <c r="S89" s="218"/>
      <c r="T89" s="218"/>
      <c r="U89" s="218"/>
      <c r="V89" s="218"/>
      <c r="W89" s="218"/>
      <c r="X89" s="218"/>
      <c r="Y89" s="218"/>
      <c r="Z89" s="218"/>
      <c r="AA89" s="218"/>
      <c r="AB89" s="218"/>
      <c r="AC89" s="218"/>
      <c r="AD89" s="218"/>
      <c r="AE89" s="218"/>
      <c r="AF89" s="218"/>
      <c r="AG89" s="218"/>
      <c r="AH89" s="218"/>
      <c r="AI89" s="218"/>
      <c r="AJ89" s="218"/>
    </row>
    <row r="90" spans="1:36" s="215" customFormat="1" ht="13.5" hidden="1" customHeight="1">
      <c r="A90" s="216"/>
      <c r="B90" s="217"/>
      <c r="C90" s="218"/>
      <c r="D90" s="218"/>
      <c r="E90" s="218"/>
      <c r="F90" s="218"/>
      <c r="G90" s="218"/>
      <c r="H90" s="218"/>
      <c r="I90" s="218"/>
      <c r="J90" s="218"/>
      <c r="K90" s="218"/>
      <c r="L90" s="219"/>
      <c r="M90" s="218"/>
      <c r="N90" s="218"/>
      <c r="O90" s="218"/>
      <c r="P90" s="216"/>
      <c r="Q90" s="218"/>
      <c r="R90" s="218"/>
      <c r="S90" s="218"/>
      <c r="T90" s="218"/>
      <c r="U90" s="218"/>
      <c r="V90" s="218"/>
      <c r="W90" s="218"/>
      <c r="X90" s="218"/>
      <c r="Y90" s="218"/>
      <c r="Z90" s="218"/>
      <c r="AA90" s="218"/>
      <c r="AB90" s="218"/>
      <c r="AC90" s="218"/>
      <c r="AD90" s="218"/>
      <c r="AE90" s="218"/>
      <c r="AF90" s="218"/>
      <c r="AG90" s="218"/>
      <c r="AH90" s="218"/>
      <c r="AI90" s="218"/>
      <c r="AJ90" s="218"/>
    </row>
    <row r="91" spans="1:36" s="215" customFormat="1" ht="13.5" hidden="1" customHeight="1">
      <c r="A91" s="216"/>
      <c r="B91" s="217"/>
      <c r="C91" s="218"/>
      <c r="D91" s="218"/>
      <c r="E91" s="218"/>
      <c r="F91" s="218"/>
      <c r="G91" s="218"/>
      <c r="H91" s="218"/>
      <c r="I91" s="218"/>
      <c r="J91" s="218"/>
      <c r="K91" s="218"/>
      <c r="L91" s="219"/>
      <c r="M91" s="218"/>
      <c r="N91" s="218"/>
      <c r="O91" s="218"/>
      <c r="P91" s="216"/>
      <c r="Q91" s="218"/>
      <c r="R91" s="218"/>
      <c r="S91" s="218"/>
      <c r="T91" s="218"/>
      <c r="U91" s="218"/>
      <c r="V91" s="218"/>
      <c r="W91" s="218"/>
      <c r="X91" s="218"/>
      <c r="Y91" s="218"/>
      <c r="Z91" s="218"/>
      <c r="AA91" s="218"/>
      <c r="AB91" s="218"/>
      <c r="AC91" s="218"/>
      <c r="AD91" s="218"/>
      <c r="AE91" s="218"/>
      <c r="AF91" s="218"/>
      <c r="AG91" s="218"/>
      <c r="AH91" s="218"/>
      <c r="AI91" s="218"/>
      <c r="AJ91" s="218"/>
    </row>
    <row r="92" spans="1:36" s="215" customFormat="1" ht="13.5" hidden="1" customHeight="1">
      <c r="A92" s="216"/>
      <c r="B92" s="217"/>
      <c r="C92" s="218"/>
      <c r="D92" s="218"/>
      <c r="E92" s="218"/>
      <c r="F92" s="218"/>
      <c r="G92" s="218"/>
      <c r="H92" s="218"/>
      <c r="I92" s="218"/>
      <c r="J92" s="218"/>
      <c r="K92" s="218"/>
      <c r="L92" s="219"/>
      <c r="M92" s="218"/>
      <c r="N92" s="218"/>
      <c r="O92" s="218"/>
      <c r="P92" s="216"/>
      <c r="Q92" s="218"/>
      <c r="R92" s="218"/>
      <c r="S92" s="218"/>
      <c r="T92" s="218"/>
      <c r="U92" s="218"/>
      <c r="V92" s="218"/>
      <c r="W92" s="218"/>
      <c r="X92" s="218"/>
      <c r="Y92" s="218"/>
      <c r="Z92" s="218"/>
      <c r="AA92" s="218"/>
      <c r="AB92" s="218"/>
      <c r="AC92" s="218"/>
      <c r="AD92" s="218"/>
      <c r="AE92" s="218"/>
      <c r="AF92" s="218"/>
      <c r="AG92" s="218"/>
      <c r="AH92" s="218"/>
      <c r="AI92" s="218"/>
      <c r="AJ92" s="218"/>
    </row>
    <row r="93" spans="1:36" s="215" customFormat="1" ht="13.5" hidden="1" customHeight="1">
      <c r="A93" s="216"/>
      <c r="B93" s="217"/>
      <c r="C93" s="218"/>
      <c r="D93" s="218"/>
      <c r="E93" s="218"/>
      <c r="F93" s="218"/>
      <c r="G93" s="218"/>
      <c r="H93" s="218"/>
      <c r="I93" s="218"/>
      <c r="J93" s="218"/>
      <c r="K93" s="218"/>
      <c r="L93" s="219"/>
      <c r="M93" s="218"/>
      <c r="N93" s="218"/>
      <c r="O93" s="218"/>
      <c r="P93" s="216"/>
      <c r="Q93" s="218"/>
      <c r="R93" s="218"/>
      <c r="S93" s="218"/>
      <c r="T93" s="218"/>
      <c r="U93" s="218"/>
      <c r="V93" s="218"/>
      <c r="W93" s="218"/>
      <c r="X93" s="218"/>
      <c r="Y93" s="218"/>
      <c r="Z93" s="218"/>
      <c r="AA93" s="218"/>
      <c r="AB93" s="218"/>
      <c r="AC93" s="218"/>
      <c r="AD93" s="218"/>
      <c r="AE93" s="218"/>
      <c r="AF93" s="218"/>
      <c r="AG93" s="218"/>
      <c r="AH93" s="218"/>
      <c r="AI93" s="218"/>
      <c r="AJ93" s="218"/>
    </row>
    <row r="94" spans="1:36" s="203" customFormat="1" ht="13.5" hidden="1" customHeight="1">
      <c r="A94" s="216"/>
      <c r="B94" s="217"/>
      <c r="C94" s="218"/>
      <c r="D94" s="218"/>
      <c r="E94" s="218"/>
      <c r="F94" s="218"/>
      <c r="G94" s="218"/>
      <c r="H94" s="218"/>
      <c r="I94" s="218"/>
      <c r="J94" s="218"/>
      <c r="K94" s="218"/>
      <c r="L94" s="219"/>
      <c r="M94" s="218"/>
      <c r="N94" s="218"/>
      <c r="O94" s="218"/>
      <c r="P94" s="216"/>
      <c r="Q94" s="218"/>
      <c r="R94" s="218"/>
      <c r="S94" s="218"/>
      <c r="T94" s="218"/>
      <c r="U94" s="218"/>
      <c r="V94" s="218"/>
      <c r="W94" s="218"/>
      <c r="X94" s="218"/>
      <c r="Y94" s="218"/>
      <c r="Z94" s="218"/>
      <c r="AA94" s="218"/>
      <c r="AB94" s="218"/>
      <c r="AC94" s="218"/>
      <c r="AD94" s="218"/>
      <c r="AE94" s="218"/>
      <c r="AF94" s="218"/>
      <c r="AG94" s="218"/>
      <c r="AH94" s="218"/>
      <c r="AI94" s="218"/>
      <c r="AJ94" s="218"/>
    </row>
    <row r="95" spans="1:36" s="203" customFormat="1" ht="13.5" hidden="1" customHeight="1">
      <c r="A95" s="216"/>
      <c r="B95" s="217"/>
      <c r="C95" s="218"/>
      <c r="D95" s="218"/>
      <c r="E95" s="218"/>
      <c r="F95" s="218"/>
      <c r="G95" s="218"/>
      <c r="H95" s="218"/>
      <c r="I95" s="218"/>
      <c r="J95" s="218"/>
      <c r="K95" s="218"/>
      <c r="L95" s="219"/>
      <c r="M95" s="218"/>
      <c r="N95" s="218"/>
      <c r="O95" s="218"/>
      <c r="P95" s="216"/>
      <c r="Q95" s="218"/>
      <c r="R95" s="218"/>
      <c r="S95" s="218"/>
      <c r="T95" s="218"/>
      <c r="U95" s="218"/>
      <c r="V95" s="218"/>
      <c r="W95" s="218"/>
      <c r="X95" s="218"/>
      <c r="Y95" s="218"/>
      <c r="Z95" s="218"/>
      <c r="AA95" s="218"/>
      <c r="AB95" s="218"/>
      <c r="AC95" s="218"/>
      <c r="AD95" s="218"/>
      <c r="AE95" s="218"/>
      <c r="AF95" s="218"/>
      <c r="AG95" s="218"/>
      <c r="AH95" s="218"/>
      <c r="AI95" s="218"/>
      <c r="AJ95" s="218"/>
    </row>
    <row r="96" spans="1:36" ht="13.5" hidden="1" customHeight="1">
      <c r="B96" s="217"/>
    </row>
    <row r="97" spans="2:2" ht="13.5" hidden="1" customHeight="1">
      <c r="B97" s="217"/>
    </row>
    <row r="98" spans="2:2" ht="13.5" hidden="1" customHeight="1">
      <c r="B98" s="217"/>
    </row>
    <row r="99" spans="2:2" ht="13.5" hidden="1" customHeight="1">
      <c r="B99" s="217"/>
    </row>
    <row r="100" spans="2:2" ht="13.5" hidden="1" customHeight="1">
      <c r="B100" s="217"/>
    </row>
    <row r="101" spans="2:2" ht="13.5" hidden="1" customHeight="1">
      <c r="B101" s="217"/>
    </row>
    <row r="102" spans="2:2" ht="13.5" hidden="1" customHeight="1">
      <c r="B102" s="217"/>
    </row>
    <row r="103" spans="2:2" ht="13.5" hidden="1" customHeight="1">
      <c r="B103" s="217"/>
    </row>
    <row r="104" spans="2:2" ht="13.5" hidden="1" customHeight="1">
      <c r="B104" s="217"/>
    </row>
    <row r="105" spans="2:2" ht="13.5" hidden="1" customHeight="1">
      <c r="B105" s="217"/>
    </row>
    <row r="106" spans="2:2" ht="13.5" hidden="1" customHeight="1">
      <c r="B106" s="217"/>
    </row>
    <row r="107" spans="2:2" ht="13.5" hidden="1" customHeight="1">
      <c r="B107" s="217"/>
    </row>
    <row r="108" spans="2:2" ht="13.5" hidden="1" customHeight="1">
      <c r="B108" s="217"/>
    </row>
    <row r="109" spans="2:2" ht="13.5" hidden="1" customHeight="1">
      <c r="B109" s="217"/>
    </row>
    <row r="110" spans="2:2" ht="13.5" hidden="1" customHeight="1">
      <c r="B110" s="217"/>
    </row>
    <row r="111" spans="2:2" ht="13.5" hidden="1" customHeight="1"/>
    <row r="112" spans="2:2" ht="13.5" hidden="1" customHeight="1"/>
    <row r="113" ht="13.5" hidden="1" customHeight="1"/>
    <row r="114" ht="13.5" hidden="1" customHeight="1"/>
    <row r="115" ht="13.5" hidden="1" customHeight="1"/>
    <row r="116" ht="13.5" hidden="1" customHeight="1"/>
    <row r="117" ht="13.5" hidden="1" customHeight="1"/>
    <row r="118" ht="13.5" hidden="1" customHeight="1"/>
    <row r="119" ht="13.5" hidden="1" customHeight="1"/>
    <row r="120" ht="13.5" hidden="1" customHeight="1"/>
    <row r="121" ht="13.5" hidden="1" customHeight="1"/>
    <row r="122" ht="13.5" hidden="1" customHeight="1"/>
    <row r="123" ht="13.5" hidden="1" customHeight="1"/>
    <row r="124" ht="13.5" hidden="1" customHeight="1"/>
    <row r="125" ht="13.5" hidden="1" customHeight="1"/>
    <row r="126" ht="13.5" hidden="1" customHeight="1"/>
    <row r="127" ht="13.5" hidden="1" customHeight="1"/>
  </sheetData>
  <phoneticPr fontId="0" type="noConversion"/>
  <pageMargins left="0.75" right="0.75" top="1" bottom="1" header="0.4921259845" footer="0.4921259845"/>
  <pageSetup paperSize="0" scale="58" orientation="landscape" horizontalDpi="4294967292" verticalDpi="4294967292"/>
  <headerFooter alignWithMargins="0">
    <oddFooter>&amp;LLe &amp;D&amp;CProfilés &amp;A du &amp;F&amp;RPage &amp;P sur &amp;N</oddFooter>
  </headerFooter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U106"/>
  <sheetViews>
    <sheetView workbookViewId="0"/>
  </sheetViews>
  <sheetFormatPr defaultColWidth="0" defaultRowHeight="11.25" zeroHeight="1"/>
  <cols>
    <col min="1" max="1" width="16.140625" style="216" customWidth="1"/>
    <col min="2" max="2" width="4.42578125" style="292" customWidth="1"/>
    <col min="3" max="3" width="1.85546875" style="218" customWidth="1"/>
    <col min="4" max="4" width="3.42578125" style="216" customWidth="1"/>
    <col min="5" max="5" width="5.28515625" style="218" customWidth="1"/>
    <col min="6" max="7" width="5.7109375" style="217" customWidth="1"/>
    <col min="8" max="9" width="6.140625" style="218" customWidth="1"/>
    <col min="10" max="12" width="5.140625" style="218" customWidth="1"/>
    <col min="13" max="13" width="6.7109375" style="218" customWidth="1"/>
    <col min="14" max="14" width="8.85546875" style="218" customWidth="1"/>
    <col min="15" max="15" width="5.28515625" style="218" customWidth="1"/>
    <col min="16" max="16" width="5.140625" style="218" customWidth="1"/>
    <col min="17" max="17" width="1.85546875" style="217" customWidth="1"/>
    <col min="18" max="16384" width="10.85546875" style="218" hidden="1"/>
  </cols>
  <sheetData>
    <row r="1" spans="1:21" s="417" customFormat="1" ht="15.75">
      <c r="B1" s="322"/>
      <c r="C1" s="322"/>
      <c r="D1" s="322"/>
      <c r="H1" s="321"/>
      <c r="I1" s="322"/>
      <c r="J1" s="322"/>
      <c r="L1" s="421"/>
      <c r="N1" s="321"/>
      <c r="Q1" s="422"/>
      <c r="S1" s="540"/>
      <c r="T1" s="540"/>
      <c r="U1" s="540"/>
    </row>
    <row r="2" spans="1:21" s="417" customFormat="1" ht="20.25">
      <c r="A2" s="423" t="s">
        <v>1854</v>
      </c>
      <c r="B2" s="322"/>
      <c r="C2" s="322"/>
      <c r="D2" s="322"/>
      <c r="H2" s="321"/>
      <c r="I2" s="322"/>
      <c r="J2" s="322"/>
      <c r="L2" s="421"/>
      <c r="N2" s="321"/>
      <c r="Q2" s="422"/>
      <c r="S2" s="540"/>
      <c r="T2" s="540"/>
      <c r="U2" s="540"/>
    </row>
    <row r="3" spans="1:21" s="417" customFormat="1" ht="20.25">
      <c r="A3" s="423" t="s">
        <v>1855</v>
      </c>
      <c r="B3" s="322"/>
      <c r="C3" s="322"/>
      <c r="D3" s="322"/>
      <c r="H3" s="321"/>
      <c r="I3" s="322"/>
      <c r="J3" s="322"/>
      <c r="L3" s="421"/>
      <c r="N3" s="321"/>
      <c r="Q3" s="422"/>
      <c r="S3" s="540"/>
      <c r="T3" s="540"/>
      <c r="U3" s="540"/>
    </row>
    <row r="4" spans="1:21" s="417" customFormat="1" ht="20.25">
      <c r="A4" s="423" t="s">
        <v>1856</v>
      </c>
      <c r="B4" s="322"/>
      <c r="C4" s="322"/>
      <c r="D4" s="322"/>
      <c r="H4" s="321"/>
      <c r="I4" s="322"/>
      <c r="J4" s="322"/>
      <c r="L4" s="421"/>
      <c r="N4" s="321"/>
      <c r="Q4" s="422"/>
      <c r="S4" s="540"/>
      <c r="T4" s="540"/>
      <c r="U4" s="540"/>
    </row>
    <row r="5" spans="1:21" s="417" customFormat="1" ht="20.25">
      <c r="A5" s="423"/>
      <c r="B5" s="322"/>
      <c r="C5" s="322"/>
      <c r="D5" s="322"/>
      <c r="H5" s="321"/>
      <c r="I5" s="322"/>
      <c r="J5" s="322"/>
      <c r="L5" s="421"/>
      <c r="N5" s="321"/>
      <c r="Q5" s="422"/>
      <c r="S5" s="540"/>
      <c r="T5" s="540"/>
      <c r="U5" s="540"/>
    </row>
    <row r="6" spans="1:21" s="417" customFormat="1" ht="20.25">
      <c r="A6" s="423"/>
      <c r="B6" s="322"/>
      <c r="C6" s="322"/>
      <c r="D6" s="322"/>
      <c r="H6" s="321"/>
      <c r="I6" s="322"/>
      <c r="J6" s="322"/>
      <c r="L6" s="421"/>
      <c r="N6" s="321"/>
      <c r="Q6" s="422"/>
      <c r="S6" s="540"/>
      <c r="T6" s="540"/>
      <c r="U6" s="540"/>
    </row>
    <row r="7" spans="1:21" s="417" customFormat="1" ht="20.25">
      <c r="A7" s="423"/>
      <c r="B7" s="322"/>
      <c r="C7" s="322"/>
      <c r="D7" s="322"/>
      <c r="H7" s="321"/>
      <c r="I7" s="322"/>
      <c r="J7" s="322"/>
      <c r="L7" s="421"/>
      <c r="N7" s="321"/>
      <c r="Q7" s="422"/>
      <c r="S7" s="540"/>
      <c r="T7" s="540"/>
      <c r="U7" s="540"/>
    </row>
    <row r="8" spans="1:21" s="417" customFormat="1" ht="21" thickBot="1">
      <c r="A8" s="423"/>
      <c r="F8" s="422"/>
      <c r="G8" s="422"/>
      <c r="Q8" s="422"/>
      <c r="S8" s="540"/>
      <c r="T8" s="540"/>
      <c r="U8" s="540"/>
    </row>
    <row r="9" spans="1:21" s="193" customFormat="1" ht="13.5" customHeight="1" thickTop="1">
      <c r="A9" s="327"/>
      <c r="B9" s="508"/>
      <c r="C9" s="508"/>
      <c r="D9" s="363"/>
      <c r="E9" s="508"/>
      <c r="F9" s="328"/>
      <c r="G9" s="327"/>
      <c r="H9" s="363"/>
      <c r="I9" s="363"/>
      <c r="J9" s="363"/>
      <c r="K9" s="364"/>
      <c r="L9" s="366" t="s">
        <v>1799</v>
      </c>
      <c r="M9" s="507"/>
      <c r="N9" s="508"/>
      <c r="O9" s="508"/>
      <c r="P9" s="533"/>
      <c r="Q9"/>
      <c r="S9" s="275"/>
      <c r="T9" s="275"/>
      <c r="U9" s="275"/>
    </row>
    <row r="10" spans="1:21" s="193" customFormat="1" ht="13.5" customHeight="1" thickBot="1">
      <c r="A10" s="329" t="s">
        <v>1799</v>
      </c>
      <c r="B10" s="510"/>
      <c r="C10" s="510"/>
      <c r="D10" s="360"/>
      <c r="E10" s="510"/>
      <c r="F10" s="330"/>
      <c r="G10" s="329"/>
      <c r="H10" s="360"/>
      <c r="I10" s="360" t="s">
        <v>1800</v>
      </c>
      <c r="J10" s="360"/>
      <c r="K10" s="365"/>
      <c r="L10" s="367" t="s">
        <v>1801</v>
      </c>
      <c r="M10" s="329"/>
      <c r="N10" s="360" t="s">
        <v>1804</v>
      </c>
      <c r="O10" s="360"/>
      <c r="P10" s="365"/>
      <c r="Q10" s="138"/>
      <c r="S10" s="275"/>
      <c r="T10" s="275"/>
      <c r="U10" s="275"/>
    </row>
    <row r="11" spans="1:21" s="193" customFormat="1" ht="13.5" customHeight="1" thickTop="1">
      <c r="A11" s="69"/>
      <c r="B11" s="276"/>
      <c r="C11" s="277" t="s">
        <v>1699</v>
      </c>
      <c r="D11" s="69"/>
      <c r="E11" s="257" t="s">
        <v>1700</v>
      </c>
      <c r="F11" s="67" t="s">
        <v>572</v>
      </c>
      <c r="G11" s="18" t="s">
        <v>1701</v>
      </c>
      <c r="H11" s="18" t="s">
        <v>574</v>
      </c>
      <c r="I11" s="18" t="s">
        <v>811</v>
      </c>
      <c r="J11" s="18" t="s">
        <v>812</v>
      </c>
      <c r="K11" s="18" t="s">
        <v>577</v>
      </c>
      <c r="L11" s="260" t="s">
        <v>578</v>
      </c>
      <c r="M11" s="18" t="s">
        <v>818</v>
      </c>
      <c r="N11" s="18" t="s">
        <v>587</v>
      </c>
      <c r="O11" s="260" t="s">
        <v>1702</v>
      </c>
      <c r="P11" s="278" t="s">
        <v>1703</v>
      </c>
      <c r="Q11" s="138"/>
      <c r="S11" s="275"/>
      <c r="T11" s="275"/>
      <c r="U11" s="275"/>
    </row>
    <row r="12" spans="1:21" s="193" customFormat="1" ht="13.5" customHeight="1">
      <c r="A12" s="69"/>
      <c r="B12" s="276"/>
      <c r="C12" s="18"/>
      <c r="D12" s="69"/>
      <c r="E12" s="257"/>
      <c r="F12" s="67" t="s">
        <v>599</v>
      </c>
      <c r="G12" s="18" t="s">
        <v>601</v>
      </c>
      <c r="H12" s="18" t="s">
        <v>601</v>
      </c>
      <c r="I12" s="18" t="s">
        <v>601</v>
      </c>
      <c r="J12" s="18" t="s">
        <v>601</v>
      </c>
      <c r="K12" s="18" t="s">
        <v>601</v>
      </c>
      <c r="L12" s="260" t="s">
        <v>608</v>
      </c>
      <c r="M12" s="18" t="s">
        <v>826</v>
      </c>
      <c r="N12" s="18" t="s">
        <v>610</v>
      </c>
      <c r="O12" s="260" t="s">
        <v>607</v>
      </c>
      <c r="P12" s="18" t="s">
        <v>607</v>
      </c>
      <c r="Q12" s="138"/>
      <c r="S12" s="275"/>
      <c r="T12" s="275"/>
      <c r="U12" s="275"/>
    </row>
    <row r="13" spans="1:21" s="193" customFormat="1" ht="13.5" customHeight="1" thickBot="1">
      <c r="A13" s="131"/>
      <c r="B13" s="279"/>
      <c r="C13" s="133"/>
      <c r="D13" s="131"/>
      <c r="E13" s="280"/>
      <c r="F13" s="132"/>
      <c r="G13" s="133"/>
      <c r="H13" s="133"/>
      <c r="I13" s="133"/>
      <c r="J13" s="133"/>
      <c r="K13" s="133"/>
      <c r="L13" s="281"/>
      <c r="M13" s="133"/>
      <c r="N13" s="133"/>
      <c r="O13" s="281"/>
      <c r="P13" s="133"/>
      <c r="Q13" s="138"/>
      <c r="S13" s="275"/>
      <c r="T13" s="275"/>
      <c r="U13" s="275"/>
    </row>
    <row r="14" spans="1:21" s="193" customFormat="1" ht="13.5" customHeight="1" thickTop="1">
      <c r="A14" s="195"/>
      <c r="B14" s="282"/>
      <c r="C14" s="141"/>
      <c r="D14" s="283"/>
      <c r="E14" s="141"/>
      <c r="F14" s="284"/>
      <c r="G14" s="195"/>
      <c r="H14" s="195"/>
      <c r="I14" s="195"/>
      <c r="J14" s="195"/>
      <c r="K14" s="195"/>
      <c r="L14" s="195"/>
      <c r="M14" s="195"/>
      <c r="N14" s="195"/>
      <c r="O14" s="195"/>
      <c r="P14" s="195"/>
      <c r="Q14" s="284"/>
      <c r="S14" s="275"/>
      <c r="T14" s="275"/>
      <c r="U14" s="275"/>
    </row>
    <row r="15" spans="1:21" s="455" customFormat="1" ht="13.5" customHeight="1">
      <c r="A15" s="404" t="s">
        <v>1704</v>
      </c>
      <c r="B15" s="534">
        <v>380</v>
      </c>
      <c r="C15" s="398" t="s">
        <v>1705</v>
      </c>
      <c r="D15" s="404">
        <v>10</v>
      </c>
      <c r="E15" s="535" t="s">
        <v>578</v>
      </c>
      <c r="F15" s="405">
        <v>63</v>
      </c>
      <c r="G15" s="406">
        <v>200</v>
      </c>
      <c r="H15" s="406">
        <v>180</v>
      </c>
      <c r="I15" s="406">
        <v>8.6</v>
      </c>
      <c r="J15" s="406">
        <v>13.5</v>
      </c>
      <c r="K15" s="406">
        <v>21</v>
      </c>
      <c r="L15" s="405">
        <v>80.2</v>
      </c>
      <c r="M15" s="408">
        <v>6558</v>
      </c>
      <c r="N15" s="408">
        <v>542</v>
      </c>
      <c r="O15" s="405">
        <v>8.9</v>
      </c>
      <c r="P15" s="536">
        <v>12.1</v>
      </c>
      <c r="Q15" s="406"/>
      <c r="S15" s="537"/>
      <c r="T15" s="537"/>
      <c r="U15" s="537"/>
    </row>
    <row r="16" spans="1:21" s="193" customFormat="1" ht="13.5" customHeight="1">
      <c r="A16" s="33" t="s">
        <v>1706</v>
      </c>
      <c r="B16" s="285">
        <v>390</v>
      </c>
      <c r="C16" s="21" t="s">
        <v>1705</v>
      </c>
      <c r="D16" s="33">
        <v>12</v>
      </c>
      <c r="E16" s="286" t="s">
        <v>578</v>
      </c>
      <c r="F16" s="34">
        <v>74.599999999999994</v>
      </c>
      <c r="G16" s="287">
        <v>202</v>
      </c>
      <c r="H16" s="287">
        <v>182</v>
      </c>
      <c r="I16" s="287">
        <v>9.6999999999999993</v>
      </c>
      <c r="J16" s="287">
        <v>15.5</v>
      </c>
      <c r="K16" s="287">
        <v>21</v>
      </c>
      <c r="L16" s="34">
        <v>95</v>
      </c>
      <c r="M16" s="35">
        <v>7893</v>
      </c>
      <c r="N16" s="35">
        <v>627</v>
      </c>
      <c r="O16" s="51">
        <v>8.8000000000000007</v>
      </c>
      <c r="P16" s="288">
        <v>12.6</v>
      </c>
      <c r="Q16" s="36"/>
      <c r="S16" s="275"/>
      <c r="T16" s="275"/>
      <c r="U16" s="275"/>
    </row>
    <row r="17" spans="1:21" s="455" customFormat="1" ht="13.5" customHeight="1">
      <c r="A17" s="404" t="s">
        <v>1707</v>
      </c>
      <c r="B17" s="534">
        <v>390</v>
      </c>
      <c r="C17" s="398" t="s">
        <v>1705</v>
      </c>
      <c r="D17" s="404">
        <v>12</v>
      </c>
      <c r="E17" s="535" t="s">
        <v>578</v>
      </c>
      <c r="F17" s="405">
        <v>75.5</v>
      </c>
      <c r="G17" s="406">
        <v>225</v>
      </c>
      <c r="H17" s="406">
        <v>190</v>
      </c>
      <c r="I17" s="406">
        <v>9.4</v>
      </c>
      <c r="J17" s="406">
        <v>14.6</v>
      </c>
      <c r="K17" s="406">
        <v>21</v>
      </c>
      <c r="L17" s="405">
        <v>96.2</v>
      </c>
      <c r="M17" s="408">
        <v>9857</v>
      </c>
      <c r="N17" s="408">
        <v>707</v>
      </c>
      <c r="O17" s="405">
        <v>9.8000000000000007</v>
      </c>
      <c r="P17" s="536">
        <v>13.9</v>
      </c>
      <c r="Q17" s="406"/>
      <c r="S17" s="537"/>
      <c r="T17" s="537"/>
      <c r="U17" s="537"/>
    </row>
    <row r="18" spans="1:21" s="138" customFormat="1" ht="13.5" customHeight="1">
      <c r="A18" s="33" t="s">
        <v>1708</v>
      </c>
      <c r="B18" s="285">
        <v>400</v>
      </c>
      <c r="C18" s="21" t="s">
        <v>1705</v>
      </c>
      <c r="D18" s="33">
        <v>12</v>
      </c>
      <c r="E18" s="286" t="s">
        <v>578</v>
      </c>
      <c r="F18" s="34">
        <v>83.9</v>
      </c>
      <c r="G18" s="287">
        <v>228</v>
      </c>
      <c r="H18" s="287">
        <v>192</v>
      </c>
      <c r="I18" s="287">
        <v>11</v>
      </c>
      <c r="J18" s="287">
        <v>17.600000000000001</v>
      </c>
      <c r="K18" s="287">
        <v>21</v>
      </c>
      <c r="L18" s="34">
        <v>106.8</v>
      </c>
      <c r="M18" s="35">
        <v>11230</v>
      </c>
      <c r="N18" s="35">
        <v>832</v>
      </c>
      <c r="O18" s="51">
        <v>10.5</v>
      </c>
      <c r="P18" s="288">
        <v>13.5</v>
      </c>
      <c r="Q18" s="36"/>
    </row>
    <row r="19" spans="1:21" s="430" customFormat="1" ht="13.5" customHeight="1">
      <c r="A19" s="404" t="s">
        <v>1709</v>
      </c>
      <c r="B19" s="534">
        <v>400</v>
      </c>
      <c r="C19" s="398" t="s">
        <v>1705</v>
      </c>
      <c r="D19" s="404">
        <v>12</v>
      </c>
      <c r="E19" s="535" t="s">
        <v>578</v>
      </c>
      <c r="F19" s="405">
        <v>83</v>
      </c>
      <c r="G19" s="406">
        <v>250</v>
      </c>
      <c r="H19" s="406">
        <v>200</v>
      </c>
      <c r="I19" s="406">
        <v>10.199999999999999</v>
      </c>
      <c r="J19" s="406">
        <v>16</v>
      </c>
      <c r="K19" s="406">
        <v>21</v>
      </c>
      <c r="L19" s="405">
        <v>105.8</v>
      </c>
      <c r="M19" s="408">
        <v>13332</v>
      </c>
      <c r="N19" s="408">
        <v>895</v>
      </c>
      <c r="O19" s="405">
        <v>11.3</v>
      </c>
      <c r="P19" s="536">
        <v>14.9</v>
      </c>
      <c r="Q19" s="406"/>
    </row>
    <row r="20" spans="1:21" s="138" customFormat="1" ht="13.5" customHeight="1">
      <c r="A20" s="33"/>
      <c r="B20" s="285"/>
      <c r="C20" s="21"/>
      <c r="D20" s="33"/>
      <c r="E20" s="286"/>
      <c r="F20" s="34"/>
      <c r="G20" s="287"/>
      <c r="H20" s="287"/>
      <c r="I20" s="287"/>
      <c r="J20" s="287"/>
      <c r="K20" s="287"/>
      <c r="L20" s="34"/>
      <c r="M20" s="35"/>
      <c r="N20" s="35"/>
      <c r="O20" s="51"/>
      <c r="P20" s="288"/>
      <c r="Q20" s="36"/>
    </row>
    <row r="21" spans="1:21" s="430" customFormat="1" ht="13.5" customHeight="1">
      <c r="A21" s="404" t="s">
        <v>1710</v>
      </c>
      <c r="B21" s="534">
        <v>410</v>
      </c>
      <c r="C21" s="398" t="s">
        <v>1705</v>
      </c>
      <c r="D21" s="404">
        <v>15</v>
      </c>
      <c r="E21" s="535" t="s">
        <v>578</v>
      </c>
      <c r="F21" s="405">
        <v>101.9</v>
      </c>
      <c r="G21" s="406">
        <v>253</v>
      </c>
      <c r="H21" s="406">
        <v>202</v>
      </c>
      <c r="I21" s="406">
        <v>12</v>
      </c>
      <c r="J21" s="406">
        <v>19</v>
      </c>
      <c r="K21" s="406">
        <v>21</v>
      </c>
      <c r="L21" s="405">
        <v>129.9</v>
      </c>
      <c r="M21" s="408">
        <v>16701</v>
      </c>
      <c r="N21" s="408">
        <v>1071</v>
      </c>
      <c r="O21" s="405">
        <v>11.2</v>
      </c>
      <c r="P21" s="536">
        <v>15.6</v>
      </c>
      <c r="Q21" s="406"/>
    </row>
    <row r="22" spans="1:21" s="138" customFormat="1" ht="13.5" customHeight="1">
      <c r="A22" s="33" t="s">
        <v>1711</v>
      </c>
      <c r="B22" s="285">
        <v>410</v>
      </c>
      <c r="C22" s="21" t="s">
        <v>1705</v>
      </c>
      <c r="D22" s="33">
        <v>15</v>
      </c>
      <c r="E22" s="286" t="s">
        <v>578</v>
      </c>
      <c r="F22" s="34">
        <v>101</v>
      </c>
      <c r="G22" s="287">
        <v>275</v>
      </c>
      <c r="H22" s="287">
        <v>210</v>
      </c>
      <c r="I22" s="287">
        <v>11.1</v>
      </c>
      <c r="J22" s="287">
        <v>17.2</v>
      </c>
      <c r="K22" s="287">
        <v>24</v>
      </c>
      <c r="L22" s="34">
        <v>128.69999999999999</v>
      </c>
      <c r="M22" s="35">
        <v>19499</v>
      </c>
      <c r="N22" s="35">
        <v>1145</v>
      </c>
      <c r="O22" s="51">
        <v>12</v>
      </c>
      <c r="P22" s="288">
        <v>17</v>
      </c>
      <c r="Q22" s="36"/>
    </row>
    <row r="23" spans="1:21" s="482" customFormat="1" ht="13.5" customHeight="1">
      <c r="A23" s="404" t="s">
        <v>1712</v>
      </c>
      <c r="B23" s="534">
        <v>420</v>
      </c>
      <c r="C23" s="398" t="s">
        <v>1705</v>
      </c>
      <c r="D23" s="404">
        <v>15</v>
      </c>
      <c r="E23" s="535" t="s">
        <v>578</v>
      </c>
      <c r="F23" s="405">
        <v>110.7</v>
      </c>
      <c r="G23" s="406">
        <v>278</v>
      </c>
      <c r="H23" s="406">
        <v>212</v>
      </c>
      <c r="I23" s="406">
        <v>12.7</v>
      </c>
      <c r="J23" s="406">
        <v>20.2</v>
      </c>
      <c r="K23" s="406">
        <v>24</v>
      </c>
      <c r="L23" s="405">
        <v>141</v>
      </c>
      <c r="M23" s="408">
        <v>21826</v>
      </c>
      <c r="N23" s="408">
        <v>1318</v>
      </c>
      <c r="O23" s="405">
        <v>12.7</v>
      </c>
      <c r="P23" s="536">
        <v>16.600000000000001</v>
      </c>
      <c r="Q23" s="406"/>
      <c r="S23" s="434"/>
      <c r="T23" s="434"/>
      <c r="U23" s="434"/>
    </row>
    <row r="24" spans="1:21" s="289" customFormat="1" ht="13.5" customHeight="1">
      <c r="A24" s="33" t="s">
        <v>1713</v>
      </c>
      <c r="B24" s="285">
        <v>420</v>
      </c>
      <c r="C24" s="21" t="s">
        <v>1705</v>
      </c>
      <c r="D24" s="33">
        <v>15</v>
      </c>
      <c r="E24" s="286" t="s">
        <v>578</v>
      </c>
      <c r="F24" s="34">
        <v>110.7</v>
      </c>
      <c r="G24" s="287">
        <v>300</v>
      </c>
      <c r="H24" s="287">
        <v>220</v>
      </c>
      <c r="I24" s="287">
        <v>12</v>
      </c>
      <c r="J24" s="287">
        <v>19</v>
      </c>
      <c r="K24" s="287">
        <v>24</v>
      </c>
      <c r="L24" s="34">
        <v>141</v>
      </c>
      <c r="M24" s="35">
        <v>25375</v>
      </c>
      <c r="N24" s="35">
        <v>1419</v>
      </c>
      <c r="O24" s="51">
        <v>13.6</v>
      </c>
      <c r="P24" s="288">
        <v>17.899999999999999</v>
      </c>
      <c r="Q24" s="36"/>
    </row>
    <row r="25" spans="1:21" ht="13.5" customHeight="1">
      <c r="A25" s="33"/>
      <c r="B25" s="285"/>
      <c r="C25" s="21"/>
      <c r="D25" s="33"/>
      <c r="E25" s="286"/>
      <c r="F25" s="34"/>
      <c r="G25" s="287"/>
      <c r="H25" s="287"/>
      <c r="I25" s="287"/>
      <c r="J25" s="287"/>
      <c r="K25" s="287"/>
      <c r="L25" s="34"/>
      <c r="M25" s="35"/>
      <c r="N25" s="35"/>
      <c r="O25" s="51"/>
      <c r="P25" s="288"/>
      <c r="Q25" s="36"/>
    </row>
    <row r="26" spans="1:21" s="538" customFormat="1" ht="13.5" customHeight="1">
      <c r="A26" s="404" t="s">
        <v>1714</v>
      </c>
      <c r="B26" s="534">
        <v>430</v>
      </c>
      <c r="C26" s="398" t="s">
        <v>1705</v>
      </c>
      <c r="D26" s="404">
        <v>15</v>
      </c>
      <c r="E26" s="535" t="s">
        <v>578</v>
      </c>
      <c r="F26" s="405">
        <v>127.9</v>
      </c>
      <c r="G26" s="406">
        <v>305</v>
      </c>
      <c r="H26" s="406">
        <v>224</v>
      </c>
      <c r="I26" s="406">
        <v>15</v>
      </c>
      <c r="J26" s="406">
        <v>24</v>
      </c>
      <c r="K26" s="406">
        <v>24</v>
      </c>
      <c r="L26" s="405">
        <v>162.9</v>
      </c>
      <c r="M26" s="408">
        <v>29831</v>
      </c>
      <c r="N26" s="408">
        <v>1747</v>
      </c>
      <c r="O26" s="405">
        <v>14.9</v>
      </c>
      <c r="P26" s="536">
        <v>17.100000000000001</v>
      </c>
      <c r="Q26" s="406"/>
    </row>
    <row r="27" spans="1:21" ht="13.5" customHeight="1">
      <c r="A27" s="33" t="s">
        <v>1714</v>
      </c>
      <c r="B27" s="285">
        <v>430</v>
      </c>
      <c r="C27" s="21" t="s">
        <v>1705</v>
      </c>
      <c r="D27" s="33">
        <v>20</v>
      </c>
      <c r="E27" s="286" t="s">
        <v>578</v>
      </c>
      <c r="F27" s="34">
        <v>144.69999999999999</v>
      </c>
      <c r="G27" s="287">
        <v>305</v>
      </c>
      <c r="H27" s="287">
        <v>224</v>
      </c>
      <c r="I27" s="287">
        <v>15</v>
      </c>
      <c r="J27" s="287">
        <v>24</v>
      </c>
      <c r="K27" s="287">
        <v>24</v>
      </c>
      <c r="L27" s="34">
        <v>184.4</v>
      </c>
      <c r="M27" s="35">
        <v>34207</v>
      </c>
      <c r="N27" s="35">
        <v>1815</v>
      </c>
      <c r="O27" s="51">
        <v>13.7</v>
      </c>
      <c r="P27" s="288">
        <v>18.8</v>
      </c>
      <c r="Q27" s="36"/>
    </row>
    <row r="28" spans="1:21" s="290" customFormat="1" ht="13.5" customHeight="1">
      <c r="A28" s="33" t="s">
        <v>1715</v>
      </c>
      <c r="B28" s="285"/>
      <c r="C28" s="21"/>
      <c r="D28" s="33"/>
      <c r="E28" s="286"/>
      <c r="F28" s="34"/>
      <c r="G28" s="287"/>
      <c r="H28" s="287"/>
      <c r="I28" s="287"/>
      <c r="J28" s="287"/>
      <c r="K28" s="287"/>
      <c r="L28" s="34"/>
      <c r="M28" s="35"/>
      <c r="N28" s="35"/>
      <c r="O28" s="51"/>
      <c r="P28" s="288"/>
      <c r="Q28" s="36"/>
    </row>
    <row r="29" spans="1:21" s="538" customFormat="1" ht="13.5" customHeight="1">
      <c r="A29" s="404" t="s">
        <v>1716</v>
      </c>
      <c r="B29" s="534">
        <v>430</v>
      </c>
      <c r="C29" s="398" t="s">
        <v>1705</v>
      </c>
      <c r="D29" s="404">
        <v>15</v>
      </c>
      <c r="E29" s="535" t="s">
        <v>578</v>
      </c>
      <c r="F29" s="405">
        <v>109.3</v>
      </c>
      <c r="G29" s="406">
        <v>120</v>
      </c>
      <c r="H29" s="406">
        <v>226</v>
      </c>
      <c r="I29" s="406">
        <v>15.5</v>
      </c>
      <c r="J29" s="406">
        <v>26</v>
      </c>
      <c r="K29" s="406">
        <v>18</v>
      </c>
      <c r="L29" s="405">
        <v>139.19999999999999</v>
      </c>
      <c r="M29" s="408">
        <v>4209</v>
      </c>
      <c r="N29" s="408">
        <v>581</v>
      </c>
      <c r="O29" s="405">
        <v>6.3</v>
      </c>
      <c r="P29" s="536">
        <v>7.2</v>
      </c>
      <c r="Q29" s="406"/>
    </row>
    <row r="30" spans="1:21" s="290" customFormat="1" ht="13.5" customHeight="1">
      <c r="A30" s="33" t="s">
        <v>1717</v>
      </c>
      <c r="B30" s="285">
        <v>450</v>
      </c>
      <c r="C30" s="21" t="s">
        <v>1705</v>
      </c>
      <c r="D30" s="33">
        <v>20</v>
      </c>
      <c r="E30" s="286" t="s">
        <v>578</v>
      </c>
      <c r="F30" s="34">
        <v>149</v>
      </c>
      <c r="G30" s="287">
        <v>135</v>
      </c>
      <c r="H30" s="287">
        <v>248</v>
      </c>
      <c r="I30" s="287">
        <v>18</v>
      </c>
      <c r="J30" s="287">
        <v>32</v>
      </c>
      <c r="K30" s="287">
        <v>21</v>
      </c>
      <c r="L30" s="34">
        <v>189.8</v>
      </c>
      <c r="M30" s="35">
        <v>7323</v>
      </c>
      <c r="N30" s="35">
        <v>872</v>
      </c>
      <c r="O30" s="51">
        <v>7.1</v>
      </c>
      <c r="P30" s="288">
        <v>8.4</v>
      </c>
      <c r="Q30" s="36"/>
    </row>
    <row r="31" spans="1:21" s="456" customFormat="1" ht="13.5" customHeight="1">
      <c r="A31" s="404" t="s">
        <v>1718</v>
      </c>
      <c r="B31" s="534">
        <v>460</v>
      </c>
      <c r="C31" s="398" t="s">
        <v>1705</v>
      </c>
      <c r="D31" s="404">
        <v>12</v>
      </c>
      <c r="E31" s="535" t="s">
        <v>578</v>
      </c>
      <c r="F31" s="405">
        <v>89.8</v>
      </c>
      <c r="G31" s="406">
        <v>130</v>
      </c>
      <c r="H31" s="406">
        <v>260</v>
      </c>
      <c r="I31" s="406">
        <v>10</v>
      </c>
      <c r="J31" s="406">
        <v>17.5</v>
      </c>
      <c r="K31" s="406">
        <v>24</v>
      </c>
      <c r="L31" s="405">
        <v>114.4</v>
      </c>
      <c r="M31" s="408">
        <v>4252</v>
      </c>
      <c r="N31" s="408">
        <v>553</v>
      </c>
      <c r="O31" s="405">
        <v>6.5</v>
      </c>
      <c r="P31" s="536">
        <v>7.7</v>
      </c>
      <c r="Q31" s="406"/>
    </row>
    <row r="32" spans="1:21" ht="13.5" customHeight="1">
      <c r="A32" s="33" t="s">
        <v>1719</v>
      </c>
      <c r="B32" s="285">
        <v>470</v>
      </c>
      <c r="C32" s="21" t="s">
        <v>1705</v>
      </c>
      <c r="D32" s="33">
        <v>20</v>
      </c>
      <c r="E32" s="286" t="s">
        <v>578</v>
      </c>
      <c r="F32" s="34">
        <v>160</v>
      </c>
      <c r="G32" s="287">
        <v>145</v>
      </c>
      <c r="H32" s="287">
        <v>268</v>
      </c>
      <c r="I32" s="287">
        <v>18</v>
      </c>
      <c r="J32" s="287">
        <v>32.5</v>
      </c>
      <c r="K32" s="287">
        <v>24</v>
      </c>
      <c r="L32" s="34">
        <v>203.8</v>
      </c>
      <c r="M32" s="35">
        <v>9088</v>
      </c>
      <c r="N32" s="35">
        <v>1036</v>
      </c>
      <c r="O32" s="51">
        <v>7.7</v>
      </c>
      <c r="P32" s="288">
        <v>8.8000000000000007</v>
      </c>
      <c r="Q32" s="36"/>
    </row>
    <row r="33" spans="1:17" s="290" customFormat="1" ht="13.5" customHeight="1">
      <c r="A33" s="33"/>
      <c r="B33" s="285"/>
      <c r="C33" s="21"/>
      <c r="D33" s="33"/>
      <c r="E33" s="286"/>
      <c r="F33" s="34"/>
      <c r="G33" s="287"/>
      <c r="H33" s="287"/>
      <c r="I33" s="287"/>
      <c r="J33" s="287"/>
      <c r="K33" s="287"/>
      <c r="L33" s="34"/>
      <c r="M33" s="35"/>
      <c r="N33" s="35"/>
      <c r="O33" s="51"/>
      <c r="P33" s="288"/>
      <c r="Q33" s="36"/>
    </row>
    <row r="34" spans="1:17" s="538" customFormat="1" ht="13.5" customHeight="1">
      <c r="A34" s="404" t="s">
        <v>1720</v>
      </c>
      <c r="B34" s="534">
        <v>490</v>
      </c>
      <c r="C34" s="398" t="s">
        <v>1705</v>
      </c>
      <c r="D34" s="404">
        <v>20</v>
      </c>
      <c r="E34" s="535" t="s">
        <v>578</v>
      </c>
      <c r="F34" s="405">
        <v>171.2</v>
      </c>
      <c r="G34" s="406">
        <v>155</v>
      </c>
      <c r="H34" s="406">
        <v>288</v>
      </c>
      <c r="I34" s="406">
        <v>18.5</v>
      </c>
      <c r="J34" s="406">
        <v>33</v>
      </c>
      <c r="K34" s="406">
        <v>24</v>
      </c>
      <c r="L34" s="405">
        <v>218.1</v>
      </c>
      <c r="M34" s="408">
        <v>11111</v>
      </c>
      <c r="N34" s="408">
        <v>1214</v>
      </c>
      <c r="O34" s="405">
        <v>8.3000000000000007</v>
      </c>
      <c r="P34" s="536">
        <v>9.1999999999999993</v>
      </c>
      <c r="Q34" s="406"/>
    </row>
    <row r="35" spans="1:17" s="290" customFormat="1" ht="13.5" customHeight="1">
      <c r="A35" s="33" t="s">
        <v>1720</v>
      </c>
      <c r="B35" s="285">
        <v>490</v>
      </c>
      <c r="C35" s="21" t="s">
        <v>1705</v>
      </c>
      <c r="D35" s="33">
        <v>25</v>
      </c>
      <c r="E35" s="286" t="s">
        <v>578</v>
      </c>
      <c r="F35" s="34">
        <v>190.4</v>
      </c>
      <c r="G35" s="287">
        <v>155</v>
      </c>
      <c r="H35" s="287">
        <v>288</v>
      </c>
      <c r="I35" s="287">
        <v>18.5</v>
      </c>
      <c r="J35" s="287">
        <v>33</v>
      </c>
      <c r="K35" s="287">
        <v>24</v>
      </c>
      <c r="L35" s="34">
        <v>242.6</v>
      </c>
      <c r="M35" s="35">
        <v>12740</v>
      </c>
      <c r="N35" s="35">
        <v>1272</v>
      </c>
      <c r="O35" s="51">
        <v>8</v>
      </c>
      <c r="P35" s="288">
        <v>10</v>
      </c>
      <c r="Q35" s="36"/>
    </row>
    <row r="36" spans="1:17" s="538" customFormat="1" ht="13.5" customHeight="1">
      <c r="A36" s="404" t="s">
        <v>1721</v>
      </c>
      <c r="B36" s="534">
        <v>500</v>
      </c>
      <c r="C36" s="398" t="s">
        <v>1705</v>
      </c>
      <c r="D36" s="404">
        <v>15</v>
      </c>
      <c r="E36" s="535" t="s">
        <v>578</v>
      </c>
      <c r="F36" s="405">
        <v>117.4</v>
      </c>
      <c r="G36" s="406">
        <v>150</v>
      </c>
      <c r="H36" s="406">
        <v>300</v>
      </c>
      <c r="I36" s="406">
        <v>11</v>
      </c>
      <c r="J36" s="406">
        <v>19</v>
      </c>
      <c r="K36" s="406">
        <v>27</v>
      </c>
      <c r="L36" s="405">
        <v>149.5</v>
      </c>
      <c r="M36" s="408">
        <v>7483</v>
      </c>
      <c r="N36" s="408">
        <v>820</v>
      </c>
      <c r="O36" s="405">
        <v>7.4</v>
      </c>
      <c r="P36" s="536">
        <v>9.1</v>
      </c>
      <c r="Q36" s="406"/>
    </row>
    <row r="37" spans="1:17" s="290" customFormat="1" ht="13.5" customHeight="1">
      <c r="A37" s="33" t="s">
        <v>1722</v>
      </c>
      <c r="B37" s="285">
        <v>510</v>
      </c>
      <c r="C37" s="21" t="s">
        <v>1705</v>
      </c>
      <c r="D37" s="33">
        <v>25</v>
      </c>
      <c r="E37" s="286" t="s">
        <v>578</v>
      </c>
      <c r="F37" s="34">
        <v>219</v>
      </c>
      <c r="G37" s="287">
        <v>170</v>
      </c>
      <c r="H37" s="287">
        <v>310</v>
      </c>
      <c r="I37" s="287">
        <v>21</v>
      </c>
      <c r="J37" s="287">
        <v>39</v>
      </c>
      <c r="K37" s="287">
        <v>27</v>
      </c>
      <c r="L37" s="34">
        <v>279</v>
      </c>
      <c r="M37" s="35">
        <v>17207</v>
      </c>
      <c r="N37" s="35">
        <v>1676</v>
      </c>
      <c r="O37" s="51">
        <v>9.1999999999999993</v>
      </c>
      <c r="P37" s="288">
        <v>10.3</v>
      </c>
      <c r="Q37" s="36"/>
    </row>
    <row r="38" spans="1:17" s="538" customFormat="1" ht="13.5" customHeight="1">
      <c r="A38" s="404" t="s">
        <v>1723</v>
      </c>
      <c r="B38" s="534">
        <v>500</v>
      </c>
      <c r="C38" s="398" t="s">
        <v>1705</v>
      </c>
      <c r="D38" s="404">
        <v>15</v>
      </c>
      <c r="E38" s="535" t="s">
        <v>578</v>
      </c>
      <c r="F38" s="405">
        <v>122.2</v>
      </c>
      <c r="G38" s="406">
        <v>160</v>
      </c>
      <c r="H38" s="406">
        <v>300</v>
      </c>
      <c r="I38" s="406">
        <v>11.5</v>
      </c>
      <c r="J38" s="406">
        <v>20.5</v>
      </c>
      <c r="K38" s="406">
        <v>27</v>
      </c>
      <c r="L38" s="405">
        <v>155.69999999999999</v>
      </c>
      <c r="M38" s="408">
        <v>8806</v>
      </c>
      <c r="N38" s="408">
        <v>931</v>
      </c>
      <c r="O38" s="405">
        <v>8</v>
      </c>
      <c r="P38" s="536">
        <v>9.5</v>
      </c>
      <c r="Q38" s="406"/>
    </row>
    <row r="39" spans="1:17" ht="13.5" customHeight="1">
      <c r="A39" s="33" t="s">
        <v>1724</v>
      </c>
      <c r="B39" s="285">
        <v>510</v>
      </c>
      <c r="C39" s="21" t="s">
        <v>1705</v>
      </c>
      <c r="D39" s="33">
        <v>25</v>
      </c>
      <c r="E39" s="286" t="s">
        <v>578</v>
      </c>
      <c r="F39" s="34">
        <v>222.6</v>
      </c>
      <c r="G39" s="287">
        <v>179.5</v>
      </c>
      <c r="H39" s="287">
        <v>309</v>
      </c>
      <c r="I39" s="287">
        <v>21</v>
      </c>
      <c r="J39" s="287">
        <v>40</v>
      </c>
      <c r="K39" s="287">
        <v>27</v>
      </c>
      <c r="L39" s="34">
        <v>283.5</v>
      </c>
      <c r="M39" s="35">
        <v>19393</v>
      </c>
      <c r="N39" s="35">
        <v>1814</v>
      </c>
      <c r="O39" s="51">
        <v>9.8000000000000007</v>
      </c>
      <c r="P39" s="288">
        <v>10.7</v>
      </c>
      <c r="Q39" s="36"/>
    </row>
    <row r="40" spans="1:17" s="456" customFormat="1" ht="13.5" customHeight="1">
      <c r="A40" s="404" t="s">
        <v>1724</v>
      </c>
      <c r="B40" s="534">
        <v>510</v>
      </c>
      <c r="C40" s="398" t="s">
        <v>1705</v>
      </c>
      <c r="D40" s="404">
        <v>30</v>
      </c>
      <c r="E40" s="535" t="s">
        <v>578</v>
      </c>
      <c r="F40" s="405">
        <v>242.6</v>
      </c>
      <c r="G40" s="406">
        <v>179.5</v>
      </c>
      <c r="H40" s="406">
        <v>309</v>
      </c>
      <c r="I40" s="406">
        <v>21</v>
      </c>
      <c r="J40" s="406">
        <v>40</v>
      </c>
      <c r="K40" s="406">
        <v>27</v>
      </c>
      <c r="L40" s="405">
        <v>309</v>
      </c>
      <c r="M40" s="408">
        <v>21737</v>
      </c>
      <c r="N40" s="408">
        <v>1887</v>
      </c>
      <c r="O40" s="405">
        <v>9.4</v>
      </c>
      <c r="P40" s="536">
        <v>11.5</v>
      </c>
      <c r="Q40" s="406"/>
    </row>
    <row r="41" spans="1:17" s="290" customFormat="1" ht="13.5" customHeight="1">
      <c r="A41" s="33" t="s">
        <v>1725</v>
      </c>
      <c r="B41" s="285">
        <v>500</v>
      </c>
      <c r="C41" s="21" t="s">
        <v>1705</v>
      </c>
      <c r="D41" s="33">
        <v>15</v>
      </c>
      <c r="E41" s="286" t="s">
        <v>578</v>
      </c>
      <c r="F41" s="34">
        <v>126</v>
      </c>
      <c r="G41" s="287">
        <v>170</v>
      </c>
      <c r="H41" s="287">
        <v>300</v>
      </c>
      <c r="I41" s="287">
        <v>12</v>
      </c>
      <c r="J41" s="287">
        <v>21.5</v>
      </c>
      <c r="K41" s="287">
        <v>27</v>
      </c>
      <c r="L41" s="34">
        <v>160.4</v>
      </c>
      <c r="M41" s="35">
        <v>10173</v>
      </c>
      <c r="N41" s="35">
        <v>1033</v>
      </c>
      <c r="O41" s="51">
        <v>8.6999999999999993</v>
      </c>
      <c r="P41" s="288">
        <v>9.8000000000000007</v>
      </c>
      <c r="Q41" s="36"/>
    </row>
    <row r="42" spans="1:17" s="538" customFormat="1" ht="13.5" customHeight="1">
      <c r="A42" s="404" t="s">
        <v>1726</v>
      </c>
      <c r="B42" s="534">
        <v>510</v>
      </c>
      <c r="C42" s="398" t="s">
        <v>1705</v>
      </c>
      <c r="D42" s="404">
        <v>25</v>
      </c>
      <c r="E42" s="535" t="s">
        <v>578</v>
      </c>
      <c r="F42" s="405">
        <v>224</v>
      </c>
      <c r="G42" s="406">
        <v>188.5</v>
      </c>
      <c r="H42" s="406">
        <v>309</v>
      </c>
      <c r="I42" s="406">
        <v>21</v>
      </c>
      <c r="J42" s="406">
        <v>40</v>
      </c>
      <c r="K42" s="406">
        <v>27</v>
      </c>
      <c r="L42" s="405">
        <v>285.39999999999998</v>
      </c>
      <c r="M42" s="408">
        <v>21503</v>
      </c>
      <c r="N42" s="408">
        <v>1930</v>
      </c>
      <c r="O42" s="405">
        <v>10.199999999999999</v>
      </c>
      <c r="P42" s="536">
        <v>11.1</v>
      </c>
      <c r="Q42" s="406"/>
    </row>
    <row r="43" spans="1:17" s="290" customFormat="1" ht="13.5" customHeight="1">
      <c r="A43" s="33" t="s">
        <v>1726</v>
      </c>
      <c r="B43" s="285">
        <v>510</v>
      </c>
      <c r="C43" s="21" t="s">
        <v>1705</v>
      </c>
      <c r="D43" s="33">
        <v>30</v>
      </c>
      <c r="E43" s="286" t="s">
        <v>578</v>
      </c>
      <c r="F43" s="34">
        <v>244.1</v>
      </c>
      <c r="G43" s="287">
        <v>188.5</v>
      </c>
      <c r="H43" s="287">
        <v>309</v>
      </c>
      <c r="I43" s="287">
        <v>21</v>
      </c>
      <c r="J43" s="287">
        <v>40</v>
      </c>
      <c r="K43" s="287">
        <v>27</v>
      </c>
      <c r="L43" s="34">
        <v>310.89999999999998</v>
      </c>
      <c r="M43" s="35">
        <v>24062</v>
      </c>
      <c r="N43" s="35">
        <v>2005</v>
      </c>
      <c r="O43" s="51">
        <v>9.8000000000000007</v>
      </c>
      <c r="P43" s="288">
        <v>12</v>
      </c>
      <c r="Q43" s="36"/>
    </row>
    <row r="44" spans="1:17" s="538" customFormat="1" ht="13.5" customHeight="1">
      <c r="A44" s="404" t="s">
        <v>1727</v>
      </c>
      <c r="B44" s="534">
        <v>500</v>
      </c>
      <c r="C44" s="398" t="s">
        <v>1705</v>
      </c>
      <c r="D44" s="404">
        <v>15</v>
      </c>
      <c r="E44" s="535" t="s">
        <v>578</v>
      </c>
      <c r="F44" s="405">
        <v>129.80000000000001</v>
      </c>
      <c r="G44" s="406">
        <v>180</v>
      </c>
      <c r="H44" s="406">
        <v>300</v>
      </c>
      <c r="I44" s="406">
        <v>12.5</v>
      </c>
      <c r="J44" s="406">
        <v>22.5</v>
      </c>
      <c r="K44" s="406">
        <v>27</v>
      </c>
      <c r="L44" s="405">
        <v>165.3</v>
      </c>
      <c r="M44" s="408">
        <v>11661</v>
      </c>
      <c r="N44" s="408">
        <v>1140</v>
      </c>
      <c r="O44" s="405">
        <v>9.3000000000000007</v>
      </c>
      <c r="P44" s="536">
        <v>10.199999999999999</v>
      </c>
      <c r="Q44" s="406"/>
    </row>
    <row r="45" spans="1:17" ht="13.5" customHeight="1">
      <c r="A45" s="33" t="s">
        <v>1728</v>
      </c>
      <c r="B45" s="285">
        <v>510</v>
      </c>
      <c r="C45" s="21" t="s">
        <v>1705</v>
      </c>
      <c r="D45" s="33">
        <v>25</v>
      </c>
      <c r="E45" s="286" t="s">
        <v>578</v>
      </c>
      <c r="F45" s="34">
        <v>225.2</v>
      </c>
      <c r="G45" s="287">
        <v>197.5</v>
      </c>
      <c r="H45" s="287">
        <v>308</v>
      </c>
      <c r="I45" s="287">
        <v>21</v>
      </c>
      <c r="J45" s="287">
        <v>40</v>
      </c>
      <c r="K45" s="287">
        <v>27</v>
      </c>
      <c r="L45" s="34">
        <v>286.89999999999998</v>
      </c>
      <c r="M45" s="35">
        <v>23691</v>
      </c>
      <c r="N45" s="35">
        <v>2040</v>
      </c>
      <c r="O45" s="51">
        <v>10.6</v>
      </c>
      <c r="P45" s="288">
        <v>11.6</v>
      </c>
      <c r="Q45" s="36"/>
    </row>
    <row r="46" spans="1:17" s="538" customFormat="1" ht="13.5" customHeight="1">
      <c r="A46" s="404" t="s">
        <v>1728</v>
      </c>
      <c r="B46" s="534">
        <v>510</v>
      </c>
      <c r="C46" s="398" t="s">
        <v>1705</v>
      </c>
      <c r="D46" s="404">
        <v>30</v>
      </c>
      <c r="E46" s="535" t="s">
        <v>578</v>
      </c>
      <c r="F46" s="405">
        <v>245.2</v>
      </c>
      <c r="G46" s="406">
        <v>197.5</v>
      </c>
      <c r="H46" s="406">
        <v>308</v>
      </c>
      <c r="I46" s="406">
        <v>21</v>
      </c>
      <c r="J46" s="406">
        <v>40</v>
      </c>
      <c r="K46" s="406">
        <v>27</v>
      </c>
      <c r="L46" s="405">
        <v>312.39999999999998</v>
      </c>
      <c r="M46" s="408">
        <v>26468</v>
      </c>
      <c r="N46" s="408">
        <v>2118</v>
      </c>
      <c r="O46" s="405">
        <v>10.3</v>
      </c>
      <c r="P46" s="536">
        <v>12.5</v>
      </c>
      <c r="Q46" s="406"/>
    </row>
    <row r="47" spans="1:17" s="290" customFormat="1" ht="13.5" customHeight="1">
      <c r="A47" s="33" t="s">
        <v>1729</v>
      </c>
      <c r="B47" s="285">
        <v>500</v>
      </c>
      <c r="C47" s="21" t="s">
        <v>1705</v>
      </c>
      <c r="D47" s="33">
        <v>20</v>
      </c>
      <c r="E47" s="286" t="s">
        <v>578</v>
      </c>
      <c r="F47" s="34">
        <v>156.1</v>
      </c>
      <c r="G47" s="287">
        <v>200</v>
      </c>
      <c r="H47" s="287">
        <v>300</v>
      </c>
      <c r="I47" s="287">
        <v>13.5</v>
      </c>
      <c r="J47" s="287">
        <v>24</v>
      </c>
      <c r="K47" s="287">
        <v>27</v>
      </c>
      <c r="L47" s="34">
        <v>198.9</v>
      </c>
      <c r="M47" s="35">
        <v>17420</v>
      </c>
      <c r="N47" s="35">
        <v>1407</v>
      </c>
      <c r="O47" s="51">
        <v>9.6</v>
      </c>
      <c r="P47" s="288">
        <v>12.4</v>
      </c>
      <c r="Q47" s="36"/>
    </row>
    <row r="48" spans="1:17" s="290" customFormat="1" ht="13.5" customHeight="1">
      <c r="A48" s="33"/>
      <c r="B48" s="285"/>
      <c r="C48" s="21"/>
      <c r="D48" s="33"/>
      <c r="E48" s="286"/>
      <c r="F48" s="34"/>
      <c r="G48" s="287"/>
      <c r="H48" s="287"/>
      <c r="I48" s="287"/>
      <c r="J48" s="287"/>
      <c r="K48" s="287"/>
      <c r="L48" s="34"/>
      <c r="M48" s="35"/>
      <c r="N48" s="35"/>
      <c r="O48" s="51"/>
      <c r="P48" s="288"/>
      <c r="Q48" s="36"/>
    </row>
    <row r="49" spans="1:17" s="456" customFormat="1" ht="13.5" customHeight="1">
      <c r="A49" s="404" t="s">
        <v>1730</v>
      </c>
      <c r="B49" s="534">
        <v>510</v>
      </c>
      <c r="C49" s="398" t="s">
        <v>1705</v>
      </c>
      <c r="D49" s="404">
        <v>25</v>
      </c>
      <c r="E49" s="535" t="s">
        <v>578</v>
      </c>
      <c r="F49" s="405">
        <v>228</v>
      </c>
      <c r="G49" s="406">
        <v>216</v>
      </c>
      <c r="H49" s="406">
        <v>307</v>
      </c>
      <c r="I49" s="406">
        <v>21</v>
      </c>
      <c r="J49" s="406">
        <v>40</v>
      </c>
      <c r="K49" s="406">
        <v>27</v>
      </c>
      <c r="L49" s="405">
        <v>290.39999999999998</v>
      </c>
      <c r="M49" s="408">
        <v>28579</v>
      </c>
      <c r="N49" s="408">
        <v>2276</v>
      </c>
      <c r="O49" s="405">
        <v>11.5</v>
      </c>
      <c r="P49" s="536">
        <v>12.6</v>
      </c>
      <c r="Q49" s="406"/>
    </row>
    <row r="50" spans="1:17" ht="13.5" customHeight="1">
      <c r="A50" s="33" t="s">
        <v>1730</v>
      </c>
      <c r="B50" s="285">
        <v>510</v>
      </c>
      <c r="C50" s="21" t="s">
        <v>1705</v>
      </c>
      <c r="D50" s="33">
        <v>30</v>
      </c>
      <c r="E50" s="286" t="s">
        <v>578</v>
      </c>
      <c r="F50" s="34">
        <v>248</v>
      </c>
      <c r="G50" s="287">
        <v>216</v>
      </c>
      <c r="H50" s="287">
        <v>307</v>
      </c>
      <c r="I50" s="287">
        <v>21</v>
      </c>
      <c r="J50" s="287">
        <v>40</v>
      </c>
      <c r="K50" s="287">
        <v>27</v>
      </c>
      <c r="L50" s="34">
        <v>315.89999999999998</v>
      </c>
      <c r="M50" s="35">
        <v>31840</v>
      </c>
      <c r="N50" s="35">
        <v>2357</v>
      </c>
      <c r="O50" s="51">
        <v>11.1</v>
      </c>
      <c r="P50" s="288">
        <v>13.5</v>
      </c>
      <c r="Q50" s="36"/>
    </row>
    <row r="51" spans="1:17" s="538" customFormat="1" ht="13.5" customHeight="1">
      <c r="A51" s="404" t="s">
        <v>1731</v>
      </c>
      <c r="B51" s="534">
        <v>500</v>
      </c>
      <c r="C51" s="398" t="s">
        <v>1705</v>
      </c>
      <c r="D51" s="404">
        <v>20</v>
      </c>
      <c r="E51" s="535" t="s">
        <v>578</v>
      </c>
      <c r="F51" s="405">
        <v>164.1</v>
      </c>
      <c r="G51" s="406">
        <v>225</v>
      </c>
      <c r="H51" s="406">
        <v>300</v>
      </c>
      <c r="I51" s="406">
        <v>14</v>
      </c>
      <c r="J51" s="406">
        <v>26</v>
      </c>
      <c r="K51" s="406">
        <v>27</v>
      </c>
      <c r="L51" s="405">
        <v>209</v>
      </c>
      <c r="M51" s="408">
        <v>22963</v>
      </c>
      <c r="N51" s="408">
        <v>1707</v>
      </c>
      <c r="O51" s="405">
        <v>11</v>
      </c>
      <c r="P51" s="536">
        <v>13.5</v>
      </c>
      <c r="Q51" s="406"/>
    </row>
    <row r="52" spans="1:17" s="290" customFormat="1" ht="13.5" customHeight="1">
      <c r="A52" s="33" t="s">
        <v>1732</v>
      </c>
      <c r="B52" s="285">
        <v>510</v>
      </c>
      <c r="C52" s="21" t="s">
        <v>1705</v>
      </c>
      <c r="D52" s="33">
        <v>25</v>
      </c>
      <c r="E52" s="286" t="s">
        <v>578</v>
      </c>
      <c r="F52" s="34">
        <v>231.7</v>
      </c>
      <c r="G52" s="287">
        <v>239</v>
      </c>
      <c r="H52" s="287">
        <v>307</v>
      </c>
      <c r="I52" s="287">
        <v>21</v>
      </c>
      <c r="J52" s="287">
        <v>40</v>
      </c>
      <c r="K52" s="287">
        <v>27</v>
      </c>
      <c r="L52" s="34">
        <v>295.2</v>
      </c>
      <c r="M52" s="35">
        <v>35397</v>
      </c>
      <c r="N52" s="35">
        <v>2580</v>
      </c>
      <c r="O52" s="51">
        <v>12.7</v>
      </c>
      <c r="P52" s="288">
        <v>13.7</v>
      </c>
      <c r="Q52" s="36"/>
    </row>
    <row r="53" spans="1:17" s="538" customFormat="1" ht="13.5" customHeight="1">
      <c r="A53" s="404" t="s">
        <v>1732</v>
      </c>
      <c r="B53" s="534">
        <v>510</v>
      </c>
      <c r="C53" s="398" t="s">
        <v>1705</v>
      </c>
      <c r="D53" s="404">
        <v>30</v>
      </c>
      <c r="E53" s="535" t="s">
        <v>578</v>
      </c>
      <c r="F53" s="405">
        <v>251.8</v>
      </c>
      <c r="G53" s="406">
        <v>239</v>
      </c>
      <c r="H53" s="406">
        <v>307</v>
      </c>
      <c r="I53" s="406">
        <v>21</v>
      </c>
      <c r="J53" s="406">
        <v>40</v>
      </c>
      <c r="K53" s="406">
        <v>27</v>
      </c>
      <c r="L53" s="405">
        <v>320.7</v>
      </c>
      <c r="M53" s="408">
        <v>39324</v>
      </c>
      <c r="N53" s="408">
        <v>2667</v>
      </c>
      <c r="O53" s="405">
        <v>12.2</v>
      </c>
      <c r="P53" s="536">
        <v>14.7</v>
      </c>
      <c r="Q53" s="406"/>
    </row>
    <row r="54" spans="1:17" s="290" customFormat="1" ht="13.5" customHeight="1">
      <c r="A54" s="33" t="s">
        <v>1733</v>
      </c>
      <c r="B54" s="285">
        <v>500</v>
      </c>
      <c r="C54" s="21" t="s">
        <v>1705</v>
      </c>
      <c r="D54" s="33">
        <v>20</v>
      </c>
      <c r="E54" s="286" t="s">
        <v>578</v>
      </c>
      <c r="F54" s="34">
        <v>156</v>
      </c>
      <c r="G54" s="287">
        <v>245</v>
      </c>
      <c r="H54" s="287">
        <v>300</v>
      </c>
      <c r="I54" s="287">
        <v>12</v>
      </c>
      <c r="J54" s="287">
        <v>23</v>
      </c>
      <c r="K54" s="287">
        <v>27</v>
      </c>
      <c r="L54" s="34">
        <v>198.8</v>
      </c>
      <c r="M54" s="35">
        <v>25945</v>
      </c>
      <c r="N54" s="35">
        <v>1722</v>
      </c>
      <c r="O54" s="51">
        <v>11.4</v>
      </c>
      <c r="P54" s="288">
        <v>15.1</v>
      </c>
      <c r="Q54" s="36"/>
    </row>
    <row r="55" spans="1:17" s="456" customFormat="1" ht="13.5" customHeight="1">
      <c r="A55" s="404" t="s">
        <v>1734</v>
      </c>
      <c r="B55" s="534">
        <v>500</v>
      </c>
      <c r="C55" s="398" t="s">
        <v>1705</v>
      </c>
      <c r="D55" s="404">
        <v>20</v>
      </c>
      <c r="E55" s="535" t="s">
        <v>578</v>
      </c>
      <c r="F55" s="405">
        <v>172.2</v>
      </c>
      <c r="G55" s="406">
        <v>250</v>
      </c>
      <c r="H55" s="406">
        <v>300</v>
      </c>
      <c r="I55" s="406">
        <v>14.5</v>
      </c>
      <c r="J55" s="406">
        <v>28</v>
      </c>
      <c r="K55" s="406">
        <v>27</v>
      </c>
      <c r="L55" s="405">
        <v>219.3</v>
      </c>
      <c r="M55" s="408">
        <v>29448</v>
      </c>
      <c r="N55" s="408">
        <v>2034</v>
      </c>
      <c r="O55" s="405">
        <v>12.5</v>
      </c>
      <c r="P55" s="536">
        <v>14.5</v>
      </c>
      <c r="Q55" s="406"/>
    </row>
    <row r="56" spans="1:17" s="290" customFormat="1" ht="13.5" customHeight="1">
      <c r="A56" s="33"/>
      <c r="B56" s="285"/>
      <c r="C56" s="21"/>
      <c r="D56" s="33"/>
      <c r="E56" s="286"/>
      <c r="F56" s="34"/>
      <c r="G56" s="287"/>
      <c r="H56" s="287"/>
      <c r="I56" s="287"/>
      <c r="J56" s="287"/>
      <c r="K56" s="287"/>
      <c r="L56" s="34"/>
      <c r="M56" s="35"/>
      <c r="N56" s="35"/>
      <c r="O56" s="51"/>
      <c r="P56" s="288"/>
      <c r="Q56" s="36"/>
    </row>
    <row r="57" spans="1:17" s="538" customFormat="1" ht="13.5" customHeight="1">
      <c r="A57" s="404" t="s">
        <v>1735</v>
      </c>
      <c r="B57" s="534">
        <v>510</v>
      </c>
      <c r="C57" s="398" t="s">
        <v>1705</v>
      </c>
      <c r="D57" s="404">
        <v>25</v>
      </c>
      <c r="E57" s="535" t="s">
        <v>578</v>
      </c>
      <c r="F57" s="405">
        <v>235.2</v>
      </c>
      <c r="G57" s="406">
        <v>262</v>
      </c>
      <c r="H57" s="406">
        <v>306</v>
      </c>
      <c r="I57" s="406">
        <v>21</v>
      </c>
      <c r="J57" s="406">
        <v>40</v>
      </c>
      <c r="K57" s="406">
        <v>27</v>
      </c>
      <c r="L57" s="405">
        <v>299.60000000000002</v>
      </c>
      <c r="M57" s="408">
        <v>42929</v>
      </c>
      <c r="N57" s="408">
        <v>2882</v>
      </c>
      <c r="O57" s="405">
        <v>13.8</v>
      </c>
      <c r="P57" s="536">
        <v>14.9</v>
      </c>
      <c r="Q57" s="406"/>
    </row>
    <row r="58" spans="1:17" s="290" customFormat="1" ht="13.5" customHeight="1">
      <c r="A58" s="33" t="s">
        <v>1735</v>
      </c>
      <c r="B58" s="285">
        <v>510</v>
      </c>
      <c r="C58" s="21" t="s">
        <v>1705</v>
      </c>
      <c r="D58" s="33">
        <v>30</v>
      </c>
      <c r="E58" s="286" t="s">
        <v>578</v>
      </c>
      <c r="F58" s="34">
        <v>255.2</v>
      </c>
      <c r="G58" s="287">
        <v>262</v>
      </c>
      <c r="H58" s="287">
        <v>306</v>
      </c>
      <c r="I58" s="287">
        <v>21</v>
      </c>
      <c r="J58" s="287">
        <v>40</v>
      </c>
      <c r="K58" s="287">
        <v>27</v>
      </c>
      <c r="L58" s="34">
        <v>325.10000000000002</v>
      </c>
      <c r="M58" s="35">
        <v>47572</v>
      </c>
      <c r="N58" s="35">
        <v>2974</v>
      </c>
      <c r="O58" s="51">
        <v>13.2</v>
      </c>
      <c r="P58" s="288">
        <v>16</v>
      </c>
      <c r="Q58" s="36"/>
    </row>
    <row r="59" spans="1:17" s="456" customFormat="1" ht="13.5" customHeight="1">
      <c r="A59" s="404" t="s">
        <v>1736</v>
      </c>
      <c r="B59" s="534">
        <v>500</v>
      </c>
      <c r="C59" s="398" t="s">
        <v>1705</v>
      </c>
      <c r="D59" s="404">
        <v>20</v>
      </c>
      <c r="E59" s="535" t="s">
        <v>578</v>
      </c>
      <c r="F59" s="405">
        <v>161.6</v>
      </c>
      <c r="G59" s="406">
        <v>270</v>
      </c>
      <c r="H59" s="406">
        <v>300</v>
      </c>
      <c r="I59" s="406">
        <v>12.5</v>
      </c>
      <c r="J59" s="406">
        <v>24</v>
      </c>
      <c r="K59" s="406">
        <v>27</v>
      </c>
      <c r="L59" s="405">
        <v>205.9</v>
      </c>
      <c r="M59" s="408">
        <v>32357</v>
      </c>
      <c r="N59" s="408">
        <v>1990</v>
      </c>
      <c r="O59" s="405">
        <v>12.7</v>
      </c>
      <c r="P59" s="536">
        <v>16.3</v>
      </c>
      <c r="Q59" s="406"/>
    </row>
    <row r="60" spans="1:17" s="290" customFormat="1" ht="13.5" customHeight="1">
      <c r="A60" s="33" t="s">
        <v>1737</v>
      </c>
      <c r="B60" s="285">
        <v>500</v>
      </c>
      <c r="C60" s="21" t="s">
        <v>1705</v>
      </c>
      <c r="D60" s="33">
        <v>20</v>
      </c>
      <c r="E60" s="286" t="s">
        <v>578</v>
      </c>
      <c r="F60" s="34">
        <v>178.2</v>
      </c>
      <c r="G60" s="287">
        <v>275</v>
      </c>
      <c r="H60" s="287">
        <v>300</v>
      </c>
      <c r="I60" s="287">
        <v>15</v>
      </c>
      <c r="J60" s="287">
        <v>29</v>
      </c>
      <c r="K60" s="287">
        <v>27</v>
      </c>
      <c r="L60" s="34">
        <v>227</v>
      </c>
      <c r="M60" s="35">
        <v>36480</v>
      </c>
      <c r="N60" s="35">
        <v>2334</v>
      </c>
      <c r="O60" s="51">
        <v>13.9</v>
      </c>
      <c r="P60" s="288">
        <v>15.6</v>
      </c>
      <c r="Q60" s="36"/>
    </row>
    <row r="61" spans="1:17" s="456" customFormat="1" ht="13.5" customHeight="1">
      <c r="A61" s="404" t="s">
        <v>1737</v>
      </c>
      <c r="B61" s="534">
        <v>500</v>
      </c>
      <c r="C61" s="398" t="s">
        <v>1705</v>
      </c>
      <c r="D61" s="404">
        <v>25</v>
      </c>
      <c r="E61" s="535" t="s">
        <v>578</v>
      </c>
      <c r="F61" s="405">
        <v>197.8</v>
      </c>
      <c r="G61" s="406">
        <v>275</v>
      </c>
      <c r="H61" s="406">
        <v>300</v>
      </c>
      <c r="I61" s="406">
        <v>15</v>
      </c>
      <c r="J61" s="406">
        <v>29</v>
      </c>
      <c r="K61" s="406">
        <v>27</v>
      </c>
      <c r="L61" s="405">
        <v>252</v>
      </c>
      <c r="M61" s="408">
        <v>40972</v>
      </c>
      <c r="N61" s="408">
        <v>2406</v>
      </c>
      <c r="O61" s="405">
        <v>13</v>
      </c>
      <c r="P61" s="536">
        <v>17</v>
      </c>
      <c r="Q61" s="406"/>
    </row>
    <row r="62" spans="1:17" ht="13.5" customHeight="1">
      <c r="A62" s="33" t="s">
        <v>1738</v>
      </c>
      <c r="B62" s="285">
        <v>510</v>
      </c>
      <c r="C62" s="21" t="s">
        <v>1705</v>
      </c>
      <c r="D62" s="33">
        <v>25</v>
      </c>
      <c r="E62" s="286" t="s">
        <v>578</v>
      </c>
      <c r="F62" s="34">
        <v>239.2</v>
      </c>
      <c r="G62" s="287">
        <v>286</v>
      </c>
      <c r="H62" s="287">
        <v>306</v>
      </c>
      <c r="I62" s="287">
        <v>21</v>
      </c>
      <c r="J62" s="287">
        <v>40</v>
      </c>
      <c r="K62" s="287">
        <v>27</v>
      </c>
      <c r="L62" s="34">
        <v>304.7</v>
      </c>
      <c r="M62" s="35">
        <v>51691</v>
      </c>
      <c r="N62" s="35">
        <v>3210</v>
      </c>
      <c r="O62" s="51">
        <v>15</v>
      </c>
      <c r="P62" s="288">
        <v>16.100000000000001</v>
      </c>
      <c r="Q62" s="36"/>
    </row>
    <row r="63" spans="1:17" s="456" customFormat="1" ht="13.5" customHeight="1">
      <c r="A63" s="404" t="s">
        <v>1738</v>
      </c>
      <c r="B63" s="534">
        <v>510</v>
      </c>
      <c r="C63" s="398" t="s">
        <v>1705</v>
      </c>
      <c r="D63" s="404">
        <v>30</v>
      </c>
      <c r="E63" s="535" t="s">
        <v>578</v>
      </c>
      <c r="F63" s="405">
        <v>259.2</v>
      </c>
      <c r="G63" s="406">
        <v>286</v>
      </c>
      <c r="H63" s="406">
        <v>306</v>
      </c>
      <c r="I63" s="406">
        <v>21</v>
      </c>
      <c r="J63" s="406">
        <v>40</v>
      </c>
      <c r="K63" s="406">
        <v>27</v>
      </c>
      <c r="L63" s="405">
        <v>330.2</v>
      </c>
      <c r="M63" s="408">
        <v>57160</v>
      </c>
      <c r="N63" s="408">
        <v>3307</v>
      </c>
      <c r="O63" s="405">
        <v>14.3</v>
      </c>
      <c r="P63" s="536">
        <v>17.3</v>
      </c>
      <c r="Q63" s="406"/>
    </row>
    <row r="64" spans="1:17" ht="13.5" customHeight="1">
      <c r="A64" s="33" t="s">
        <v>1738</v>
      </c>
      <c r="B64" s="285">
        <v>510</v>
      </c>
      <c r="C64" s="21" t="s">
        <v>1705</v>
      </c>
      <c r="D64" s="33">
        <v>35</v>
      </c>
      <c r="E64" s="286" t="s">
        <v>578</v>
      </c>
      <c r="F64" s="34">
        <v>279.2</v>
      </c>
      <c r="G64" s="287">
        <v>286</v>
      </c>
      <c r="H64" s="287">
        <v>306</v>
      </c>
      <c r="I64" s="287">
        <v>21</v>
      </c>
      <c r="J64" s="287">
        <v>40</v>
      </c>
      <c r="K64" s="287">
        <v>27</v>
      </c>
      <c r="L64" s="34">
        <v>355.7</v>
      </c>
      <c r="M64" s="35">
        <v>62184</v>
      </c>
      <c r="N64" s="35">
        <v>3393</v>
      </c>
      <c r="O64" s="51">
        <v>13.8</v>
      </c>
      <c r="P64" s="288">
        <v>18.3</v>
      </c>
      <c r="Q64" s="36"/>
    </row>
    <row r="65" spans="1:17" s="456" customFormat="1" ht="13.5" customHeight="1">
      <c r="A65" s="404" t="s">
        <v>1739</v>
      </c>
      <c r="B65" s="534">
        <v>500</v>
      </c>
      <c r="C65" s="398" t="s">
        <v>1705</v>
      </c>
      <c r="D65" s="404">
        <v>20</v>
      </c>
      <c r="E65" s="535" t="s">
        <v>578</v>
      </c>
      <c r="F65" s="405">
        <v>167.4</v>
      </c>
      <c r="G65" s="406">
        <v>295</v>
      </c>
      <c r="H65" s="406">
        <v>300</v>
      </c>
      <c r="I65" s="406">
        <v>13</v>
      </c>
      <c r="J65" s="406">
        <v>25</v>
      </c>
      <c r="K65" s="406">
        <v>27</v>
      </c>
      <c r="L65" s="405">
        <v>213.2</v>
      </c>
      <c r="M65" s="408">
        <v>39636</v>
      </c>
      <c r="N65" s="408">
        <v>2275</v>
      </c>
      <c r="O65" s="405">
        <v>14.1</v>
      </c>
      <c r="P65" s="536">
        <v>17.399999999999999</v>
      </c>
      <c r="Q65" s="406"/>
    </row>
    <row r="66" spans="1:17" ht="13.5" customHeight="1">
      <c r="A66" s="33" t="s">
        <v>1740</v>
      </c>
      <c r="B66" s="285">
        <v>500</v>
      </c>
      <c r="C66" s="21" t="s">
        <v>1705</v>
      </c>
      <c r="D66" s="33">
        <v>20</v>
      </c>
      <c r="E66" s="286" t="s">
        <v>578</v>
      </c>
      <c r="F66" s="34">
        <v>184.5</v>
      </c>
      <c r="G66" s="287">
        <v>300</v>
      </c>
      <c r="H66" s="287">
        <v>300</v>
      </c>
      <c r="I66" s="287">
        <v>15.5</v>
      </c>
      <c r="J66" s="287">
        <v>30</v>
      </c>
      <c r="K66" s="287">
        <v>27</v>
      </c>
      <c r="L66" s="34">
        <v>235</v>
      </c>
      <c r="M66" s="35">
        <v>44424</v>
      </c>
      <c r="N66" s="35">
        <v>2652</v>
      </c>
      <c r="O66" s="51">
        <v>15.2</v>
      </c>
      <c r="P66" s="288">
        <v>16.8</v>
      </c>
      <c r="Q66" s="36"/>
    </row>
    <row r="67" spans="1:17" s="456" customFormat="1" ht="13.5" customHeight="1">
      <c r="A67" s="404" t="s">
        <v>1740</v>
      </c>
      <c r="B67" s="534">
        <v>500</v>
      </c>
      <c r="C67" s="398" t="s">
        <v>1705</v>
      </c>
      <c r="D67" s="404">
        <v>25</v>
      </c>
      <c r="E67" s="535" t="s">
        <v>578</v>
      </c>
      <c r="F67" s="405">
        <v>204.1</v>
      </c>
      <c r="G67" s="406">
        <v>300</v>
      </c>
      <c r="H67" s="406">
        <v>300</v>
      </c>
      <c r="I67" s="406">
        <v>15.5</v>
      </c>
      <c r="J67" s="406">
        <v>30</v>
      </c>
      <c r="K67" s="406">
        <v>27</v>
      </c>
      <c r="L67" s="405">
        <v>260</v>
      </c>
      <c r="M67" s="408">
        <v>49851</v>
      </c>
      <c r="N67" s="408">
        <v>2732</v>
      </c>
      <c r="O67" s="405">
        <v>14.3</v>
      </c>
      <c r="P67" s="536">
        <v>18.2</v>
      </c>
      <c r="Q67" s="406"/>
    </row>
    <row r="68" spans="1:17" s="290" customFormat="1" ht="13.5" customHeight="1">
      <c r="A68" s="33"/>
      <c r="B68" s="285"/>
      <c r="C68" s="21"/>
      <c r="D68" s="33"/>
      <c r="E68" s="286"/>
      <c r="F68" s="34"/>
      <c r="G68" s="287"/>
      <c r="H68" s="287"/>
      <c r="I68" s="287"/>
      <c r="J68" s="287"/>
      <c r="K68" s="287"/>
      <c r="L68" s="34"/>
      <c r="M68" s="35"/>
      <c r="N68" s="35"/>
      <c r="O68" s="51"/>
      <c r="P68" s="288"/>
      <c r="Q68" s="36"/>
    </row>
    <row r="69" spans="1:17" s="538" customFormat="1" ht="13.5" customHeight="1">
      <c r="A69" s="404" t="s">
        <v>1741</v>
      </c>
      <c r="B69" s="534">
        <v>510</v>
      </c>
      <c r="C69" s="398" t="s">
        <v>1705</v>
      </c>
      <c r="D69" s="404">
        <v>30</v>
      </c>
      <c r="E69" s="535" t="s">
        <v>578</v>
      </c>
      <c r="F69" s="405">
        <v>262.8</v>
      </c>
      <c r="G69" s="406">
        <v>310</v>
      </c>
      <c r="H69" s="406">
        <v>305</v>
      </c>
      <c r="I69" s="406">
        <v>21</v>
      </c>
      <c r="J69" s="406">
        <v>40</v>
      </c>
      <c r="K69" s="406">
        <v>27</v>
      </c>
      <c r="L69" s="405">
        <v>334.8</v>
      </c>
      <c r="M69" s="408">
        <v>67584</v>
      </c>
      <c r="N69" s="408">
        <v>3636</v>
      </c>
      <c r="O69" s="405">
        <v>15.4</v>
      </c>
      <c r="P69" s="536">
        <v>18.600000000000001</v>
      </c>
      <c r="Q69" s="406"/>
    </row>
    <row r="70" spans="1:17" ht="13.5" customHeight="1">
      <c r="A70" s="33" t="s">
        <v>1741</v>
      </c>
      <c r="B70" s="285">
        <v>510</v>
      </c>
      <c r="C70" s="21" t="s">
        <v>1705</v>
      </c>
      <c r="D70" s="33">
        <v>35</v>
      </c>
      <c r="E70" s="286" t="s">
        <v>578</v>
      </c>
      <c r="F70" s="34">
        <v>282.89999999999998</v>
      </c>
      <c r="G70" s="287">
        <v>310</v>
      </c>
      <c r="H70" s="287">
        <v>305</v>
      </c>
      <c r="I70" s="287">
        <v>21</v>
      </c>
      <c r="J70" s="287">
        <v>40</v>
      </c>
      <c r="K70" s="287">
        <v>27</v>
      </c>
      <c r="L70" s="34">
        <v>360.3</v>
      </c>
      <c r="M70" s="35">
        <v>73398</v>
      </c>
      <c r="N70" s="35">
        <v>3727</v>
      </c>
      <c r="O70" s="51">
        <v>14.8</v>
      </c>
      <c r="P70" s="288">
        <v>19.7</v>
      </c>
      <c r="Q70" s="36"/>
    </row>
    <row r="71" spans="1:17" s="538" customFormat="1" ht="13.5" customHeight="1">
      <c r="A71" s="404" t="s">
        <v>1742</v>
      </c>
      <c r="B71" s="534">
        <v>500</v>
      </c>
      <c r="C71" s="398" t="s">
        <v>1705</v>
      </c>
      <c r="D71" s="404">
        <v>20</v>
      </c>
      <c r="E71" s="535" t="s">
        <v>578</v>
      </c>
      <c r="F71" s="405">
        <v>173.3</v>
      </c>
      <c r="G71" s="406">
        <v>320</v>
      </c>
      <c r="H71" s="406">
        <v>300</v>
      </c>
      <c r="I71" s="406">
        <v>13.5</v>
      </c>
      <c r="J71" s="406">
        <v>26</v>
      </c>
      <c r="K71" s="406">
        <v>27</v>
      </c>
      <c r="L71" s="405">
        <v>220.8</v>
      </c>
      <c r="M71" s="408">
        <v>47826</v>
      </c>
      <c r="N71" s="408">
        <v>2577</v>
      </c>
      <c r="O71" s="405">
        <v>15.4</v>
      </c>
      <c r="P71" s="536">
        <v>18.600000000000001</v>
      </c>
      <c r="Q71" s="406"/>
    </row>
    <row r="72" spans="1:17" ht="13.5" customHeight="1">
      <c r="A72" s="33" t="s">
        <v>1743</v>
      </c>
      <c r="B72" s="285">
        <v>500</v>
      </c>
      <c r="C72" s="21" t="s">
        <v>1705</v>
      </c>
      <c r="D72" s="33">
        <v>25</v>
      </c>
      <c r="E72" s="286" t="s">
        <v>578</v>
      </c>
      <c r="F72" s="34">
        <v>210.5</v>
      </c>
      <c r="G72" s="287">
        <v>325</v>
      </c>
      <c r="H72" s="287">
        <v>300</v>
      </c>
      <c r="I72" s="287">
        <v>16</v>
      </c>
      <c r="J72" s="287">
        <v>31</v>
      </c>
      <c r="K72" s="287">
        <v>27</v>
      </c>
      <c r="L72" s="34">
        <v>268.2</v>
      </c>
      <c r="M72" s="35">
        <v>59792</v>
      </c>
      <c r="N72" s="35">
        <v>3077</v>
      </c>
      <c r="O72" s="51">
        <v>15.6</v>
      </c>
      <c r="P72" s="288">
        <v>19.399999999999999</v>
      </c>
      <c r="Q72" s="36"/>
    </row>
    <row r="73" spans="1:17" s="456" customFormat="1" ht="13.5" customHeight="1">
      <c r="A73" s="404" t="s">
        <v>1744</v>
      </c>
      <c r="B73" s="534">
        <v>510</v>
      </c>
      <c r="C73" s="398" t="s">
        <v>1705</v>
      </c>
      <c r="D73" s="404">
        <v>25</v>
      </c>
      <c r="E73" s="535" t="s">
        <v>578</v>
      </c>
      <c r="F73" s="405">
        <v>246.8</v>
      </c>
      <c r="G73" s="406">
        <v>334</v>
      </c>
      <c r="H73" s="406">
        <v>305</v>
      </c>
      <c r="I73" s="406">
        <v>21</v>
      </c>
      <c r="J73" s="406">
        <v>40</v>
      </c>
      <c r="K73" s="406">
        <v>27</v>
      </c>
      <c r="L73" s="405">
        <v>314.39999999999998</v>
      </c>
      <c r="M73" s="408">
        <v>71752</v>
      </c>
      <c r="N73" s="408">
        <v>3869</v>
      </c>
      <c r="O73" s="405">
        <v>17.399999999999999</v>
      </c>
      <c r="P73" s="536">
        <v>18.5</v>
      </c>
      <c r="Q73" s="406"/>
    </row>
    <row r="74" spans="1:17" s="290" customFormat="1" ht="13.5" customHeight="1">
      <c r="A74" s="33" t="s">
        <v>1744</v>
      </c>
      <c r="B74" s="285">
        <v>510</v>
      </c>
      <c r="C74" s="21" t="s">
        <v>1705</v>
      </c>
      <c r="D74" s="33">
        <v>30</v>
      </c>
      <c r="E74" s="286" t="s">
        <v>578</v>
      </c>
      <c r="F74" s="34">
        <v>266.8</v>
      </c>
      <c r="G74" s="287">
        <v>334</v>
      </c>
      <c r="H74" s="287">
        <v>305</v>
      </c>
      <c r="I74" s="287">
        <v>21</v>
      </c>
      <c r="J74" s="287">
        <v>40</v>
      </c>
      <c r="K74" s="287">
        <v>27</v>
      </c>
      <c r="L74" s="34">
        <v>339.9</v>
      </c>
      <c r="M74" s="35">
        <v>79061</v>
      </c>
      <c r="N74" s="35">
        <v>3979</v>
      </c>
      <c r="O74" s="51">
        <v>16.5</v>
      </c>
      <c r="P74" s="288">
        <v>19.899999999999999</v>
      </c>
      <c r="Q74" s="36"/>
    </row>
    <row r="75" spans="1:17" s="538" customFormat="1" ht="13.5" customHeight="1">
      <c r="A75" s="404" t="s">
        <v>1744</v>
      </c>
      <c r="B75" s="534">
        <v>510</v>
      </c>
      <c r="C75" s="398" t="s">
        <v>1705</v>
      </c>
      <c r="D75" s="404">
        <v>35</v>
      </c>
      <c r="E75" s="535" t="s">
        <v>578</v>
      </c>
      <c r="F75" s="405">
        <v>286.8</v>
      </c>
      <c r="G75" s="406">
        <v>334</v>
      </c>
      <c r="H75" s="406">
        <v>305</v>
      </c>
      <c r="I75" s="406">
        <v>21</v>
      </c>
      <c r="J75" s="406">
        <v>40</v>
      </c>
      <c r="K75" s="406">
        <v>27</v>
      </c>
      <c r="L75" s="405">
        <v>365.4</v>
      </c>
      <c r="M75" s="408">
        <v>85742</v>
      </c>
      <c r="N75" s="408">
        <v>4075</v>
      </c>
      <c r="O75" s="405">
        <v>15.9</v>
      </c>
      <c r="P75" s="536">
        <v>21</v>
      </c>
      <c r="Q75" s="406"/>
    </row>
    <row r="76" spans="1:17" s="290" customFormat="1" ht="13.5" customHeight="1">
      <c r="A76" s="33"/>
      <c r="B76" s="285"/>
      <c r="C76" s="21"/>
      <c r="D76" s="33"/>
      <c r="E76" s="286"/>
      <c r="F76" s="34"/>
      <c r="G76" s="287"/>
      <c r="H76" s="287"/>
      <c r="I76" s="287"/>
      <c r="J76" s="287"/>
      <c r="K76" s="287"/>
      <c r="L76" s="34"/>
      <c r="M76" s="35"/>
      <c r="N76" s="35"/>
      <c r="O76" s="51"/>
      <c r="P76" s="288"/>
      <c r="Q76" s="36"/>
    </row>
    <row r="77" spans="1:17" s="456" customFormat="1" ht="13.5" customHeight="1">
      <c r="A77" s="404" t="s">
        <v>1745</v>
      </c>
      <c r="B77" s="534">
        <v>80</v>
      </c>
      <c r="C77" s="398" t="s">
        <v>1705</v>
      </c>
      <c r="D77" s="404">
        <v>40</v>
      </c>
      <c r="E77" s="535" t="s">
        <v>1746</v>
      </c>
      <c r="F77" s="405">
        <v>63.3</v>
      </c>
      <c r="G77" s="406">
        <v>162</v>
      </c>
      <c r="H77" s="406">
        <v>280</v>
      </c>
      <c r="I77" s="406">
        <v>8</v>
      </c>
      <c r="J77" s="406">
        <v>13</v>
      </c>
      <c r="K77" s="406">
        <v>24</v>
      </c>
      <c r="L77" s="405">
        <v>80.599999999999994</v>
      </c>
      <c r="M77" s="408">
        <v>4004</v>
      </c>
      <c r="N77" s="408">
        <v>396</v>
      </c>
      <c r="O77" s="405">
        <v>7.4</v>
      </c>
      <c r="P77" s="536">
        <v>10.1</v>
      </c>
      <c r="Q77" s="406"/>
    </row>
    <row r="78" spans="1:17" ht="13.5" customHeight="1">
      <c r="A78" s="33" t="s">
        <v>1747</v>
      </c>
      <c r="B78" s="285">
        <v>100</v>
      </c>
      <c r="C78" s="21" t="s">
        <v>1705</v>
      </c>
      <c r="D78" s="33">
        <v>30</v>
      </c>
      <c r="E78" s="286" t="s">
        <v>1746</v>
      </c>
      <c r="F78" s="34">
        <v>67.7</v>
      </c>
      <c r="G78" s="287">
        <v>161</v>
      </c>
      <c r="H78" s="287">
        <v>300</v>
      </c>
      <c r="I78" s="287">
        <v>8.5</v>
      </c>
      <c r="J78" s="287">
        <v>14</v>
      </c>
      <c r="K78" s="287">
        <v>27</v>
      </c>
      <c r="L78" s="34">
        <v>86.3</v>
      </c>
      <c r="M78" s="35">
        <v>4375</v>
      </c>
      <c r="N78" s="35">
        <v>417</v>
      </c>
      <c r="O78" s="51">
        <v>7</v>
      </c>
      <c r="P78" s="288">
        <v>10.5</v>
      </c>
      <c r="Q78" s="36"/>
    </row>
    <row r="79" spans="1:17" s="290" customFormat="1" ht="13.5" customHeight="1">
      <c r="A79" s="33" t="s">
        <v>1715</v>
      </c>
      <c r="B79" s="285"/>
      <c r="C79" s="21"/>
      <c r="D79" s="33"/>
      <c r="E79" s="286"/>
      <c r="F79" s="34"/>
      <c r="G79" s="287"/>
      <c r="H79" s="287"/>
      <c r="I79" s="287"/>
      <c r="J79" s="287"/>
      <c r="K79" s="287"/>
      <c r="L79" s="34"/>
      <c r="M79" s="35"/>
      <c r="N79" s="35"/>
      <c r="O79" s="51"/>
      <c r="P79" s="288"/>
      <c r="Q79" s="36"/>
    </row>
    <row r="80" spans="1:17" s="538" customFormat="1" ht="13.5" customHeight="1">
      <c r="A80" s="404" t="s">
        <v>1748</v>
      </c>
      <c r="B80" s="534">
        <v>170</v>
      </c>
      <c r="C80" s="398" t="s">
        <v>1705</v>
      </c>
      <c r="D80" s="404">
        <v>20</v>
      </c>
      <c r="E80" s="535" t="s">
        <v>1746</v>
      </c>
      <c r="F80" s="405">
        <v>81.2</v>
      </c>
      <c r="G80" s="406">
        <v>180.3</v>
      </c>
      <c r="H80" s="406">
        <v>370.5</v>
      </c>
      <c r="I80" s="406">
        <v>12.9</v>
      </c>
      <c r="J80" s="406">
        <v>12.9</v>
      </c>
      <c r="K80" s="406">
        <v>15.2</v>
      </c>
      <c r="L80" s="405">
        <v>103.5</v>
      </c>
      <c r="M80" s="408">
        <v>6739</v>
      </c>
      <c r="N80" s="408">
        <v>606</v>
      </c>
      <c r="O80" s="405">
        <v>8.1999999999999993</v>
      </c>
      <c r="P80" s="536">
        <v>11.1</v>
      </c>
      <c r="Q80" s="406"/>
    </row>
    <row r="81" spans="1:17" ht="13.5" customHeight="1">
      <c r="A81" s="33" t="s">
        <v>1748</v>
      </c>
      <c r="B81" s="285">
        <v>170</v>
      </c>
      <c r="C81" s="21" t="s">
        <v>1705</v>
      </c>
      <c r="D81" s="33">
        <v>30</v>
      </c>
      <c r="E81" s="286" t="s">
        <v>1746</v>
      </c>
      <c r="F81" s="34">
        <v>94.6</v>
      </c>
      <c r="G81" s="287">
        <v>190.3</v>
      </c>
      <c r="H81" s="287">
        <v>370.5</v>
      </c>
      <c r="I81" s="287">
        <v>12.9</v>
      </c>
      <c r="J81" s="287">
        <v>12.9</v>
      </c>
      <c r="K81" s="287">
        <v>15.2</v>
      </c>
      <c r="L81" s="34">
        <v>120.5</v>
      </c>
      <c r="M81" s="35">
        <v>8714</v>
      </c>
      <c r="N81" s="35">
        <v>831</v>
      </c>
      <c r="O81" s="51">
        <v>9.8000000000000007</v>
      </c>
      <c r="P81" s="288">
        <v>10.5</v>
      </c>
      <c r="Q81" s="36"/>
    </row>
    <row r="82" spans="1:17" s="456" customFormat="1" ht="13.5" customHeight="1">
      <c r="A82" s="404" t="s">
        <v>1749</v>
      </c>
      <c r="B82" s="534">
        <v>170</v>
      </c>
      <c r="C82" s="398" t="s">
        <v>1705</v>
      </c>
      <c r="D82" s="404">
        <v>20</v>
      </c>
      <c r="E82" s="535" t="s">
        <v>1746</v>
      </c>
      <c r="F82" s="405">
        <v>92.8</v>
      </c>
      <c r="G82" s="406">
        <v>180.4</v>
      </c>
      <c r="H82" s="406">
        <v>373.3</v>
      </c>
      <c r="I82" s="406">
        <v>15.6</v>
      </c>
      <c r="J82" s="406">
        <v>15.6</v>
      </c>
      <c r="K82" s="406">
        <v>15.2</v>
      </c>
      <c r="L82" s="405">
        <v>118.2</v>
      </c>
      <c r="M82" s="408">
        <v>7509</v>
      </c>
      <c r="N82" s="408">
        <v>635</v>
      </c>
      <c r="O82" s="405">
        <v>7.8</v>
      </c>
      <c r="P82" s="536">
        <v>11.8</v>
      </c>
      <c r="Q82" s="406"/>
    </row>
    <row r="83" spans="1:17" ht="13.5" customHeight="1">
      <c r="A83" s="33" t="s">
        <v>1749</v>
      </c>
      <c r="B83" s="285">
        <v>170</v>
      </c>
      <c r="C83" s="21" t="s">
        <v>1705</v>
      </c>
      <c r="D83" s="33">
        <v>30</v>
      </c>
      <c r="E83" s="286" t="s">
        <v>1746</v>
      </c>
      <c r="F83" s="34">
        <v>106.2</v>
      </c>
      <c r="G83" s="287">
        <v>190.4</v>
      </c>
      <c r="H83" s="287">
        <v>373.3</v>
      </c>
      <c r="I83" s="287">
        <v>15.6</v>
      </c>
      <c r="J83" s="287">
        <v>15.6</v>
      </c>
      <c r="K83" s="287">
        <v>15.2</v>
      </c>
      <c r="L83" s="34">
        <v>135.19999999999999</v>
      </c>
      <c r="M83" s="35">
        <v>9768</v>
      </c>
      <c r="N83" s="35">
        <v>866</v>
      </c>
      <c r="O83" s="51">
        <v>9.3000000000000007</v>
      </c>
      <c r="P83" s="288">
        <v>11.3</v>
      </c>
      <c r="Q83" s="36"/>
    </row>
    <row r="84" spans="1:17" s="456" customFormat="1" ht="13.5" customHeight="1">
      <c r="A84" s="404" t="s">
        <v>1750</v>
      </c>
      <c r="B84" s="534">
        <v>170</v>
      </c>
      <c r="C84" s="398" t="s">
        <v>1705</v>
      </c>
      <c r="D84" s="404">
        <v>30</v>
      </c>
      <c r="E84" s="535" t="s">
        <v>1746</v>
      </c>
      <c r="F84" s="405">
        <v>116.1</v>
      </c>
      <c r="G84" s="406">
        <v>190.3</v>
      </c>
      <c r="H84" s="406">
        <v>375.5</v>
      </c>
      <c r="I84" s="406">
        <v>17.899999999999999</v>
      </c>
      <c r="J84" s="406">
        <v>17.899999999999999</v>
      </c>
      <c r="K84" s="406">
        <v>15.2</v>
      </c>
      <c r="L84" s="405">
        <v>147.9</v>
      </c>
      <c r="M84" s="408">
        <v>10583</v>
      </c>
      <c r="N84" s="408">
        <v>894</v>
      </c>
      <c r="O84" s="405">
        <v>9</v>
      </c>
      <c r="P84" s="536">
        <v>11.8</v>
      </c>
      <c r="Q84" s="406"/>
    </row>
    <row r="85" spans="1:17" s="290" customFormat="1" ht="13.5" customHeight="1">
      <c r="A85" s="33" t="s">
        <v>1750</v>
      </c>
      <c r="B85" s="285">
        <v>170</v>
      </c>
      <c r="C85" s="21" t="s">
        <v>1705</v>
      </c>
      <c r="D85" s="33">
        <v>40</v>
      </c>
      <c r="E85" s="286" t="s">
        <v>1746</v>
      </c>
      <c r="F85" s="34">
        <v>129.4</v>
      </c>
      <c r="G85" s="287">
        <v>200.3</v>
      </c>
      <c r="H85" s="287">
        <v>375.5</v>
      </c>
      <c r="I85" s="287">
        <v>17.899999999999999</v>
      </c>
      <c r="J85" s="287">
        <v>17.899999999999999</v>
      </c>
      <c r="K85" s="287">
        <v>15.2</v>
      </c>
      <c r="L85" s="34">
        <v>164.9</v>
      </c>
      <c r="M85" s="35">
        <v>12904</v>
      </c>
      <c r="N85" s="35">
        <v>1116</v>
      </c>
      <c r="O85" s="51">
        <v>10.3</v>
      </c>
      <c r="P85" s="288">
        <v>11.6</v>
      </c>
      <c r="Q85" s="36"/>
    </row>
    <row r="86" spans="1:17" ht="13.5" customHeight="1">
      <c r="A86" s="33"/>
      <c r="B86" s="285"/>
      <c r="C86" s="21"/>
      <c r="D86" s="33"/>
      <c r="E86" s="286"/>
      <c r="F86" s="34"/>
      <c r="G86" s="287"/>
      <c r="H86" s="287"/>
      <c r="I86" s="287"/>
      <c r="J86" s="287"/>
      <c r="K86" s="287"/>
      <c r="L86" s="34"/>
      <c r="M86" s="35"/>
      <c r="N86" s="35"/>
      <c r="O86" s="51"/>
      <c r="P86" s="288"/>
      <c r="Q86" s="36"/>
    </row>
    <row r="87" spans="1:17" s="456" customFormat="1" ht="13.5" customHeight="1">
      <c r="A87" s="404" t="s">
        <v>1751</v>
      </c>
      <c r="B87" s="534">
        <v>190</v>
      </c>
      <c r="C87" s="398" t="s">
        <v>1705</v>
      </c>
      <c r="D87" s="404">
        <v>20</v>
      </c>
      <c r="E87" s="535" t="s">
        <v>1746</v>
      </c>
      <c r="F87" s="405">
        <v>91</v>
      </c>
      <c r="G87" s="406">
        <v>180</v>
      </c>
      <c r="H87" s="406">
        <v>390</v>
      </c>
      <c r="I87" s="406">
        <v>14</v>
      </c>
      <c r="J87" s="406">
        <v>14</v>
      </c>
      <c r="K87" s="406">
        <v>15</v>
      </c>
      <c r="L87" s="405">
        <v>116</v>
      </c>
      <c r="M87" s="408">
        <v>7597</v>
      </c>
      <c r="N87" s="408">
        <v>678</v>
      </c>
      <c r="O87" s="405">
        <v>8.1999999999999993</v>
      </c>
      <c r="P87" s="539">
        <v>11.2</v>
      </c>
      <c r="Q87" s="406"/>
    </row>
    <row r="88" spans="1:17" s="290" customFormat="1" ht="13.5" customHeight="1">
      <c r="A88" s="33" t="s">
        <v>1751</v>
      </c>
      <c r="B88" s="285">
        <v>190</v>
      </c>
      <c r="C88" s="21" t="s">
        <v>1705</v>
      </c>
      <c r="D88" s="33">
        <v>30</v>
      </c>
      <c r="E88" s="286" t="s">
        <v>1746</v>
      </c>
      <c r="F88" s="34">
        <v>105.9</v>
      </c>
      <c r="G88" s="287">
        <v>190</v>
      </c>
      <c r="H88" s="287">
        <v>390</v>
      </c>
      <c r="I88" s="287">
        <v>14</v>
      </c>
      <c r="J88" s="287">
        <v>14</v>
      </c>
      <c r="K88" s="287">
        <v>15</v>
      </c>
      <c r="L88" s="34">
        <v>135</v>
      </c>
      <c r="M88" s="35">
        <v>9837</v>
      </c>
      <c r="N88" s="35">
        <v>931</v>
      </c>
      <c r="O88" s="51">
        <v>9.8000000000000007</v>
      </c>
      <c r="P88" s="291">
        <v>10.6</v>
      </c>
      <c r="Q88" s="287"/>
    </row>
    <row r="89" spans="1:17" s="538" customFormat="1" ht="13.5" customHeight="1">
      <c r="A89" s="404" t="s">
        <v>1752</v>
      </c>
      <c r="B89" s="534">
        <v>190</v>
      </c>
      <c r="C89" s="398" t="s">
        <v>1705</v>
      </c>
      <c r="D89" s="404">
        <v>30</v>
      </c>
      <c r="E89" s="535" t="s">
        <v>1746</v>
      </c>
      <c r="F89" s="405">
        <v>114.8</v>
      </c>
      <c r="G89" s="406">
        <v>190</v>
      </c>
      <c r="H89" s="406">
        <v>392</v>
      </c>
      <c r="I89" s="406">
        <v>16</v>
      </c>
      <c r="J89" s="406">
        <v>16</v>
      </c>
      <c r="K89" s="406">
        <v>15</v>
      </c>
      <c r="L89" s="405">
        <v>146.30000000000001</v>
      </c>
      <c r="M89" s="408">
        <v>10658</v>
      </c>
      <c r="N89" s="408">
        <v>958</v>
      </c>
      <c r="O89" s="405">
        <v>9.5</v>
      </c>
      <c r="P89" s="536">
        <v>11.1</v>
      </c>
      <c r="Q89" s="406"/>
    </row>
    <row r="90" spans="1:17" s="290" customFormat="1" ht="13.5" customHeight="1">
      <c r="A90" s="33" t="s">
        <v>1752</v>
      </c>
      <c r="B90" s="285">
        <v>190</v>
      </c>
      <c r="C90" s="21" t="s">
        <v>1705</v>
      </c>
      <c r="D90" s="33">
        <v>40</v>
      </c>
      <c r="E90" s="286" t="s">
        <v>1746</v>
      </c>
      <c r="F90" s="34">
        <v>129.69999999999999</v>
      </c>
      <c r="G90" s="287">
        <v>200</v>
      </c>
      <c r="H90" s="287">
        <v>392</v>
      </c>
      <c r="I90" s="287">
        <v>16</v>
      </c>
      <c r="J90" s="287">
        <v>16</v>
      </c>
      <c r="K90" s="287">
        <v>15</v>
      </c>
      <c r="L90" s="34">
        <v>165.3</v>
      </c>
      <c r="M90" s="35">
        <v>12931</v>
      </c>
      <c r="N90" s="35">
        <v>1199</v>
      </c>
      <c r="O90" s="51">
        <v>10.8</v>
      </c>
      <c r="P90" s="291">
        <v>10.8</v>
      </c>
      <c r="Q90" s="287"/>
    </row>
    <row r="91" spans="1:17" s="456" customFormat="1" ht="13.5" customHeight="1">
      <c r="A91" s="404" t="s">
        <v>1753</v>
      </c>
      <c r="B91" s="534">
        <v>190</v>
      </c>
      <c r="C91" s="398" t="s">
        <v>1705</v>
      </c>
      <c r="D91" s="404">
        <v>30</v>
      </c>
      <c r="E91" s="535" t="s">
        <v>1746</v>
      </c>
      <c r="F91" s="405">
        <v>123.8</v>
      </c>
      <c r="G91" s="406">
        <v>190</v>
      </c>
      <c r="H91" s="406">
        <v>394</v>
      </c>
      <c r="I91" s="406">
        <v>18</v>
      </c>
      <c r="J91" s="406">
        <v>18</v>
      </c>
      <c r="K91" s="406">
        <v>15</v>
      </c>
      <c r="L91" s="405">
        <v>157.69999999999999</v>
      </c>
      <c r="M91" s="408">
        <v>11435</v>
      </c>
      <c r="N91" s="408">
        <v>984</v>
      </c>
      <c r="O91" s="405">
        <v>9.1999999999999993</v>
      </c>
      <c r="P91" s="536">
        <v>11.6</v>
      </c>
      <c r="Q91" s="406"/>
    </row>
    <row r="92" spans="1:17" s="290" customFormat="1" ht="13.5" customHeight="1">
      <c r="A92" s="33" t="s">
        <v>1753</v>
      </c>
      <c r="B92" s="285">
        <v>190</v>
      </c>
      <c r="C92" s="21" t="s">
        <v>1705</v>
      </c>
      <c r="D92" s="33">
        <v>40</v>
      </c>
      <c r="E92" s="286" t="s">
        <v>1746</v>
      </c>
      <c r="F92" s="34">
        <v>138.69999999999999</v>
      </c>
      <c r="G92" s="287">
        <v>200</v>
      </c>
      <c r="H92" s="287">
        <v>394</v>
      </c>
      <c r="I92" s="287">
        <v>18</v>
      </c>
      <c r="J92" s="287">
        <v>18</v>
      </c>
      <c r="K92" s="287">
        <v>15</v>
      </c>
      <c r="L92" s="34">
        <v>176.7</v>
      </c>
      <c r="M92" s="35">
        <v>13926</v>
      </c>
      <c r="N92" s="35">
        <v>1231</v>
      </c>
      <c r="O92" s="51">
        <v>10.5</v>
      </c>
      <c r="P92" s="291">
        <v>11.3</v>
      </c>
      <c r="Q92" s="287"/>
    </row>
    <row r="93" spans="1:17" s="456" customFormat="1" ht="13.5" customHeight="1">
      <c r="A93" s="404" t="s">
        <v>1754</v>
      </c>
      <c r="B93" s="534">
        <v>190</v>
      </c>
      <c r="C93" s="398" t="s">
        <v>1705</v>
      </c>
      <c r="D93" s="404">
        <v>30</v>
      </c>
      <c r="E93" s="535" t="s">
        <v>1746</v>
      </c>
      <c r="F93" s="405">
        <v>132.80000000000001</v>
      </c>
      <c r="G93" s="406">
        <v>190</v>
      </c>
      <c r="H93" s="406">
        <v>396</v>
      </c>
      <c r="I93" s="406">
        <v>20</v>
      </c>
      <c r="J93" s="406">
        <v>20</v>
      </c>
      <c r="K93" s="406">
        <v>15</v>
      </c>
      <c r="L93" s="405">
        <v>169.2</v>
      </c>
      <c r="M93" s="408">
        <v>12179</v>
      </c>
      <c r="N93" s="408">
        <v>1010</v>
      </c>
      <c r="O93" s="405">
        <v>8.9</v>
      </c>
      <c r="P93" s="536">
        <v>12.1</v>
      </c>
      <c r="Q93" s="406"/>
    </row>
    <row r="94" spans="1:17" ht="13.5" customHeight="1">
      <c r="A94" s="33" t="s">
        <v>1754</v>
      </c>
      <c r="B94" s="285">
        <v>190</v>
      </c>
      <c r="C94" s="21" t="s">
        <v>1705</v>
      </c>
      <c r="D94" s="33">
        <v>40</v>
      </c>
      <c r="E94" s="286" t="s">
        <v>1746</v>
      </c>
      <c r="F94" s="34">
        <v>147.69999999999999</v>
      </c>
      <c r="G94" s="287">
        <v>200</v>
      </c>
      <c r="H94" s="287">
        <v>396</v>
      </c>
      <c r="I94" s="287">
        <v>20</v>
      </c>
      <c r="J94" s="287">
        <v>20</v>
      </c>
      <c r="K94" s="287">
        <v>15</v>
      </c>
      <c r="L94" s="34">
        <v>188.2</v>
      </c>
      <c r="M94" s="35">
        <v>14874</v>
      </c>
      <c r="N94" s="35">
        <v>1262</v>
      </c>
      <c r="O94" s="51">
        <v>10.199999999999999</v>
      </c>
      <c r="P94" s="291">
        <v>11.8</v>
      </c>
      <c r="Q94" s="287"/>
    </row>
    <row r="95" spans="1:17" s="538" customFormat="1" ht="13.5" customHeight="1">
      <c r="A95" s="404" t="s">
        <v>1755</v>
      </c>
      <c r="B95" s="534">
        <v>190</v>
      </c>
      <c r="C95" s="398" t="s">
        <v>1705</v>
      </c>
      <c r="D95" s="404">
        <v>30</v>
      </c>
      <c r="E95" s="535" t="s">
        <v>1746</v>
      </c>
      <c r="F95" s="405">
        <v>141.9</v>
      </c>
      <c r="G95" s="406">
        <v>190</v>
      </c>
      <c r="H95" s="406">
        <v>398</v>
      </c>
      <c r="I95" s="406">
        <v>22</v>
      </c>
      <c r="J95" s="406">
        <v>22</v>
      </c>
      <c r="K95" s="406">
        <v>15</v>
      </c>
      <c r="L95" s="405">
        <v>180.7</v>
      </c>
      <c r="M95" s="408">
        <v>12899</v>
      </c>
      <c r="N95" s="408">
        <v>1036</v>
      </c>
      <c r="O95" s="405">
        <v>8.6999999999999993</v>
      </c>
      <c r="P95" s="536">
        <v>12.5</v>
      </c>
      <c r="Q95" s="406"/>
    </row>
    <row r="96" spans="1:17" s="290" customFormat="1" ht="13.5" customHeight="1">
      <c r="A96" s="33" t="s">
        <v>1755</v>
      </c>
      <c r="B96" s="285">
        <v>190</v>
      </c>
      <c r="C96" s="21" t="s">
        <v>1705</v>
      </c>
      <c r="D96" s="33">
        <v>40</v>
      </c>
      <c r="E96" s="286" t="s">
        <v>1746</v>
      </c>
      <c r="F96" s="34">
        <v>156.80000000000001</v>
      </c>
      <c r="G96" s="287">
        <v>200</v>
      </c>
      <c r="H96" s="287">
        <v>398</v>
      </c>
      <c r="I96" s="287">
        <v>22</v>
      </c>
      <c r="J96" s="287">
        <v>22</v>
      </c>
      <c r="K96" s="287">
        <v>15</v>
      </c>
      <c r="L96" s="34">
        <v>199.7</v>
      </c>
      <c r="M96" s="35">
        <v>15785</v>
      </c>
      <c r="N96" s="35">
        <v>1292</v>
      </c>
      <c r="O96" s="51">
        <v>10</v>
      </c>
      <c r="P96" s="291">
        <v>12.2</v>
      </c>
      <c r="Q96" s="287"/>
    </row>
    <row r="97" spans="1:17" ht="13.5" customHeight="1">
      <c r="A97" s="33"/>
      <c r="B97" s="285"/>
      <c r="C97" s="21"/>
      <c r="D97" s="33"/>
      <c r="E97" s="286"/>
      <c r="F97" s="34"/>
      <c r="G97" s="287"/>
      <c r="H97" s="287"/>
      <c r="I97" s="287"/>
      <c r="J97" s="287"/>
      <c r="K97" s="287"/>
      <c r="L97" s="34"/>
      <c r="M97" s="36"/>
      <c r="N97" s="35"/>
      <c r="O97" s="38"/>
      <c r="P97" s="291"/>
      <c r="Q97" s="287"/>
    </row>
    <row r="98" spans="1:17" s="290" customFormat="1" ht="13.5" hidden="1" customHeight="1">
      <c r="A98" s="216"/>
      <c r="B98" s="292"/>
      <c r="C98" s="218"/>
      <c r="D98" s="216"/>
      <c r="E98" s="218"/>
      <c r="F98" s="217"/>
      <c r="G98" s="217"/>
      <c r="H98" s="218"/>
      <c r="I98" s="218"/>
      <c r="J98" s="218"/>
      <c r="K98" s="218"/>
      <c r="L98" s="218"/>
      <c r="M98" s="218"/>
      <c r="N98" s="218"/>
      <c r="O98" s="218"/>
      <c r="P98" s="218"/>
      <c r="Q98" s="217"/>
    </row>
    <row r="99" spans="1:17" ht="13.5" hidden="1" customHeight="1"/>
    <row r="100" spans="1:17" ht="13.5" hidden="1" customHeight="1"/>
    <row r="101" spans="1:17" s="290" customFormat="1" ht="13.5" hidden="1" customHeight="1">
      <c r="A101" s="216"/>
      <c r="B101" s="292"/>
      <c r="C101" s="218"/>
      <c r="D101" s="216"/>
      <c r="E101" s="218"/>
      <c r="F101" s="217"/>
      <c r="G101" s="217"/>
      <c r="H101" s="218"/>
      <c r="I101" s="218"/>
      <c r="J101" s="218"/>
      <c r="K101" s="218"/>
      <c r="L101" s="218"/>
      <c r="M101" s="218"/>
      <c r="N101" s="218"/>
      <c r="O101" s="218"/>
      <c r="P101" s="218"/>
      <c r="Q101" s="217"/>
    </row>
    <row r="102" spans="1:17" ht="13.5" hidden="1" customHeight="1"/>
    <row r="103" spans="1:17" ht="13.5" hidden="1" customHeight="1"/>
    <row r="104" spans="1:17" ht="13.5" hidden="1" customHeight="1"/>
    <row r="105" spans="1:17" ht="13.5" hidden="1" customHeight="1"/>
    <row r="106" spans="1:17" ht="13.5" hidden="1" customHeight="1"/>
  </sheetData>
  <phoneticPr fontId="0" type="noConversion"/>
  <pageMargins left="0.75" right="0.75" top="1" bottom="1" header="0.4921259845" footer="0.4921259845"/>
  <pageSetup paperSize="0" orientation="landscape" horizontalDpi="4294967292" verticalDpi="4294967292"/>
  <headerFooter alignWithMargins="0">
    <oddFooter>&amp;LLe &amp;D&amp;CProfilés &amp;A du &amp;F&amp;RPage &amp;P sur &amp;N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/>
  <dimension ref="A1:AD55"/>
  <sheetViews>
    <sheetView workbookViewId="0">
      <selection activeCell="R38" sqref="R38"/>
    </sheetView>
  </sheetViews>
  <sheetFormatPr defaultColWidth="9.140625" defaultRowHeight="12.75"/>
  <cols>
    <col min="1" max="1" width="7.140625" style="687" customWidth="1"/>
    <col min="2" max="2" width="5.85546875" style="687" customWidth="1"/>
    <col min="3" max="3" width="5.7109375" style="687" customWidth="1"/>
    <col min="4" max="4" width="7.42578125" style="687" customWidth="1"/>
    <col min="5" max="5" width="7.140625" style="687" customWidth="1"/>
    <col min="6" max="6" width="11.140625" style="687" bestFit="1" customWidth="1"/>
    <col min="7" max="7" width="13.140625" style="687" customWidth="1"/>
    <col min="8" max="9" width="9.140625" style="687"/>
    <col min="10" max="10" width="10.28515625" style="687" customWidth="1"/>
    <col min="11" max="11" width="9.140625" style="687"/>
    <col min="12" max="12" width="13" style="687" customWidth="1"/>
    <col min="13" max="24" width="9.140625" style="687"/>
    <col min="25" max="25" width="12.140625" style="687" customWidth="1"/>
    <col min="26" max="16384" width="9.140625" style="687"/>
  </cols>
  <sheetData>
    <row r="1" spans="2:22" s="918" customFormat="1" ht="21.75" customHeight="1">
      <c r="D1" s="918" t="s">
        <v>181</v>
      </c>
    </row>
    <row r="2" spans="2:22" s="918" customFormat="1" ht="21.75" customHeight="1">
      <c r="O2" s="919"/>
      <c r="P2" s="660"/>
      <c r="Q2" s="659"/>
      <c r="R2" s="660"/>
      <c r="S2" s="660"/>
      <c r="T2" s="661"/>
      <c r="U2" s="660"/>
      <c r="V2" s="660"/>
    </row>
    <row r="3" spans="2:22" s="821" customFormat="1">
      <c r="D3" s="821" t="s">
        <v>182</v>
      </c>
    </row>
    <row r="4" spans="2:22" s="818" customFormat="1">
      <c r="D4" s="818" t="s">
        <v>183</v>
      </c>
      <c r="E4" s="818" t="s">
        <v>94</v>
      </c>
      <c r="F4" s="818" t="s">
        <v>184</v>
      </c>
      <c r="G4" s="818" t="s">
        <v>185</v>
      </c>
      <c r="H4" s="818" t="s">
        <v>186</v>
      </c>
      <c r="I4" s="818" t="s">
        <v>1510</v>
      </c>
      <c r="J4" s="818" t="s">
        <v>187</v>
      </c>
      <c r="K4" s="818" t="s">
        <v>188</v>
      </c>
      <c r="L4" s="818" t="s">
        <v>189</v>
      </c>
      <c r="M4" s="818" t="s">
        <v>190</v>
      </c>
      <c r="P4" s="920" t="s">
        <v>191</v>
      </c>
      <c r="Q4" s="921">
        <v>8</v>
      </c>
    </row>
    <row r="5" spans="2:22" s="818" customFormat="1">
      <c r="D5" s="818" t="s">
        <v>75</v>
      </c>
      <c r="E5" s="818" t="s">
        <v>120</v>
      </c>
      <c r="F5" s="818" t="s">
        <v>1947</v>
      </c>
      <c r="G5" s="818" t="s">
        <v>1948</v>
      </c>
      <c r="H5" s="818" t="s">
        <v>72</v>
      </c>
      <c r="I5" s="818" t="s">
        <v>192</v>
      </c>
      <c r="J5" s="818" t="s">
        <v>193</v>
      </c>
      <c r="K5" s="818" t="s">
        <v>194</v>
      </c>
      <c r="L5" s="818" t="s">
        <v>111</v>
      </c>
      <c r="M5" s="818" t="s">
        <v>607</v>
      </c>
      <c r="P5" s="818" t="s">
        <v>75</v>
      </c>
      <c r="Q5" s="818" t="s">
        <v>195</v>
      </c>
      <c r="R5" s="818" t="s">
        <v>196</v>
      </c>
      <c r="S5" s="818" t="s">
        <v>1948</v>
      </c>
    </row>
    <row r="6" spans="2:22">
      <c r="B6" s="687">
        <v>72</v>
      </c>
      <c r="C6" s="687">
        <v>20</v>
      </c>
      <c r="D6" s="1453">
        <v>50000</v>
      </c>
      <c r="E6" s="1378">
        <v>0.8</v>
      </c>
      <c r="F6" s="1454">
        <f>E6*D6</f>
        <v>40000</v>
      </c>
      <c r="G6" s="1455">
        <v>1500</v>
      </c>
      <c r="H6" s="1451">
        <f>F6*100/G6</f>
        <v>2666.6666666666665</v>
      </c>
      <c r="I6" s="925">
        <v>500</v>
      </c>
      <c r="J6" s="819">
        <f>E6*100/I6</f>
        <v>0.16</v>
      </c>
      <c r="K6" s="926">
        <f>J6</f>
        <v>0.16</v>
      </c>
      <c r="L6" s="1721">
        <f>D6*E6*E6*E6/(3*2.1*K6)</f>
        <v>25396.825396825392</v>
      </c>
      <c r="M6" s="820">
        <f>L6*2/H6</f>
        <v>19.047619047619044</v>
      </c>
      <c r="N6" s="820"/>
      <c r="P6" s="820">
        <f>F6/0.6/4</f>
        <v>16666.666666666668</v>
      </c>
      <c r="Q6" s="927">
        <f>Q4-2</f>
        <v>6</v>
      </c>
      <c r="R6" s="820">
        <f>Q6*Q6*3.14159/4</f>
        <v>28.27431</v>
      </c>
      <c r="S6" s="820">
        <f>100*P6/R6</f>
        <v>58946.325009051208</v>
      </c>
      <c r="T6" s="820"/>
    </row>
    <row r="7" spans="2:22">
      <c r="B7" s="687">
        <v>72</v>
      </c>
      <c r="C7" s="687">
        <v>18</v>
      </c>
      <c r="D7" s="1453">
        <v>1000</v>
      </c>
      <c r="E7" s="923">
        <v>9.5</v>
      </c>
      <c r="F7" s="1454">
        <f>E7*D7</f>
        <v>9500</v>
      </c>
      <c r="G7" s="1455">
        <v>1000</v>
      </c>
      <c r="H7" s="1454">
        <f>F7*100/G7</f>
        <v>950</v>
      </c>
      <c r="I7" s="925">
        <v>300</v>
      </c>
      <c r="J7" s="819">
        <f>E7*100/I7</f>
        <v>3.1666666666666665</v>
      </c>
      <c r="K7" s="926">
        <f>J7</f>
        <v>3.1666666666666665</v>
      </c>
      <c r="L7" s="1451">
        <f>D7*E7*E7*E7/(3*2.1*K7)</f>
        <v>42976.190476190473</v>
      </c>
      <c r="M7" s="820">
        <f>L7*2/H7</f>
        <v>90.476190476190467</v>
      </c>
      <c r="N7" s="820"/>
    </row>
    <row r="8" spans="2:22">
      <c r="D8" s="1453"/>
      <c r="E8" s="923"/>
      <c r="F8" s="1454">
        <f>SUM(F6:F7)</f>
        <v>49500</v>
      </c>
      <c r="G8" s="1455"/>
      <c r="H8" s="1454"/>
      <c r="I8" s="925"/>
      <c r="J8" s="819"/>
      <c r="K8" s="926"/>
      <c r="L8" s="1451"/>
      <c r="M8" s="820"/>
      <c r="N8" s="820"/>
    </row>
    <row r="9" spans="2:22">
      <c r="D9" s="922"/>
      <c r="E9" s="923"/>
      <c r="F9" s="820"/>
      <c r="G9" s="924"/>
      <c r="H9" s="925"/>
      <c r="I9" s="925"/>
      <c r="J9" s="819"/>
      <c r="K9" s="926"/>
      <c r="L9" s="928"/>
      <c r="M9" s="820"/>
      <c r="N9" s="820"/>
    </row>
    <row r="10" spans="2:22">
      <c r="D10" s="922"/>
      <c r="E10" s="923"/>
      <c r="F10" s="820"/>
      <c r="G10" s="924"/>
      <c r="H10" s="925"/>
      <c r="I10" s="925"/>
      <c r="J10" s="819"/>
      <c r="K10" s="926"/>
      <c r="L10" s="928"/>
      <c r="M10" s="820"/>
      <c r="N10" s="820"/>
    </row>
    <row r="11" spans="2:22">
      <c r="D11" s="922"/>
      <c r="E11" s="923"/>
      <c r="F11" s="820"/>
      <c r="G11" s="924"/>
      <c r="H11" s="925"/>
      <c r="I11" s="925"/>
      <c r="J11" s="819"/>
      <c r="K11" s="926"/>
      <c r="L11" s="928"/>
      <c r="M11" s="820"/>
      <c r="N11" s="820"/>
    </row>
    <row r="12" spans="2:22">
      <c r="D12" s="821" t="s">
        <v>197</v>
      </c>
      <c r="E12" s="821"/>
      <c r="F12" s="821"/>
      <c r="G12" s="821"/>
      <c r="H12" s="821"/>
      <c r="I12" s="821"/>
      <c r="J12" s="821"/>
      <c r="K12" s="821"/>
      <c r="L12" s="821"/>
      <c r="M12" s="821"/>
      <c r="N12" s="821"/>
    </row>
    <row r="13" spans="2:22">
      <c r="D13" s="818" t="s">
        <v>183</v>
      </c>
      <c r="E13" s="818" t="s">
        <v>94</v>
      </c>
      <c r="F13" s="818" t="s">
        <v>184</v>
      </c>
      <c r="G13" s="818" t="s">
        <v>185</v>
      </c>
      <c r="H13" s="818" t="s">
        <v>186</v>
      </c>
      <c r="I13" s="818"/>
      <c r="J13" s="818" t="s">
        <v>187</v>
      </c>
      <c r="K13" s="818" t="s">
        <v>188</v>
      </c>
      <c r="L13" s="818" t="s">
        <v>189</v>
      </c>
      <c r="M13" s="818" t="s">
        <v>190</v>
      </c>
      <c r="N13" s="818"/>
    </row>
    <row r="14" spans="2:22">
      <c r="D14" s="818" t="s">
        <v>75</v>
      </c>
      <c r="E14" s="818" t="s">
        <v>120</v>
      </c>
      <c r="F14" s="818" t="s">
        <v>1947</v>
      </c>
      <c r="G14" s="818" t="s">
        <v>1948</v>
      </c>
      <c r="H14" s="818" t="s">
        <v>72</v>
      </c>
      <c r="I14" s="818"/>
      <c r="J14" s="818" t="s">
        <v>193</v>
      </c>
      <c r="K14" s="818" t="s">
        <v>194</v>
      </c>
      <c r="L14" s="818" t="s">
        <v>111</v>
      </c>
      <c r="M14" s="818" t="s">
        <v>607</v>
      </c>
      <c r="N14" s="818"/>
    </row>
    <row r="15" spans="2:22">
      <c r="B15" s="687">
        <v>72</v>
      </c>
      <c r="C15" s="687">
        <f>4*5</f>
        <v>20</v>
      </c>
      <c r="D15" s="1715">
        <f>17.8*17.8*3.14159/4/4*(80+60+80)</f>
        <v>13686.493914500001</v>
      </c>
      <c r="E15" s="1378">
        <v>0.97</v>
      </c>
      <c r="F15" s="927">
        <f>E15*D15</f>
        <v>13275.899097065001</v>
      </c>
      <c r="G15" s="1376">
        <v>1200</v>
      </c>
      <c r="H15" s="928">
        <f>F15*100/G15</f>
        <v>1106.3249247554168</v>
      </c>
      <c r="I15" s="820"/>
      <c r="J15" s="935">
        <f>E15*100/300</f>
        <v>0.32333333333333331</v>
      </c>
      <c r="K15" s="1377">
        <f>J15</f>
        <v>0.32333333333333331</v>
      </c>
      <c r="L15" s="925"/>
      <c r="M15" s="820"/>
      <c r="N15" s="820"/>
    </row>
    <row r="17" spans="1:30" s="821" customFormat="1">
      <c r="D17" s="821" t="s">
        <v>456</v>
      </c>
    </row>
    <row r="18" spans="1:30">
      <c r="A18" s="818" t="s">
        <v>1953</v>
      </c>
      <c r="B18" s="818" t="s">
        <v>1954</v>
      </c>
      <c r="C18" s="818" t="s">
        <v>1955</v>
      </c>
      <c r="D18" s="818" t="s">
        <v>198</v>
      </c>
      <c r="E18" s="818" t="s">
        <v>94</v>
      </c>
      <c r="F18" s="818" t="s">
        <v>184</v>
      </c>
      <c r="G18" s="818" t="s">
        <v>185</v>
      </c>
      <c r="H18" s="818" t="s">
        <v>186</v>
      </c>
      <c r="I18" s="818" t="s">
        <v>1510</v>
      </c>
      <c r="J18" s="818" t="s">
        <v>187</v>
      </c>
      <c r="K18" s="818" t="s">
        <v>188</v>
      </c>
      <c r="L18" s="818" t="s">
        <v>189</v>
      </c>
      <c r="M18" s="818" t="s">
        <v>570</v>
      </c>
      <c r="N18" s="818"/>
      <c r="R18" s="818" t="s">
        <v>199</v>
      </c>
      <c r="S18" s="818" t="s">
        <v>200</v>
      </c>
      <c r="U18" s="929">
        <v>133</v>
      </c>
      <c r="V18" s="929">
        <v>3.2</v>
      </c>
    </row>
    <row r="19" spans="1:30">
      <c r="A19" s="818" t="s">
        <v>58</v>
      </c>
      <c r="B19" s="818" t="s">
        <v>120</v>
      </c>
      <c r="C19" s="818" t="s">
        <v>120</v>
      </c>
      <c r="D19" s="818" t="s">
        <v>599</v>
      </c>
      <c r="E19" s="818" t="s">
        <v>120</v>
      </c>
      <c r="F19" s="818" t="s">
        <v>1947</v>
      </c>
      <c r="G19" s="818" t="s">
        <v>1948</v>
      </c>
      <c r="H19" s="818" t="s">
        <v>72</v>
      </c>
      <c r="I19" s="818" t="s">
        <v>192</v>
      </c>
      <c r="J19" s="818" t="s">
        <v>193</v>
      </c>
      <c r="K19" s="818" t="s">
        <v>194</v>
      </c>
      <c r="L19" s="818" t="s">
        <v>111</v>
      </c>
      <c r="M19" s="818" t="s">
        <v>607</v>
      </c>
      <c r="N19" s="818"/>
      <c r="P19" s="818" t="s">
        <v>47</v>
      </c>
      <c r="Q19" s="818" t="s">
        <v>201</v>
      </c>
      <c r="R19" s="818" t="s">
        <v>202</v>
      </c>
      <c r="S19" s="818" t="s">
        <v>203</v>
      </c>
      <c r="T19" s="818" t="s">
        <v>204</v>
      </c>
      <c r="U19" s="818" t="s">
        <v>1874</v>
      </c>
      <c r="V19" s="818" t="s">
        <v>205</v>
      </c>
      <c r="W19" s="818" t="s">
        <v>1884</v>
      </c>
      <c r="X19" s="818" t="s">
        <v>206</v>
      </c>
      <c r="Y19" s="818" t="s">
        <v>1880</v>
      </c>
    </row>
    <row r="20" spans="1:30">
      <c r="A20" s="925"/>
      <c r="B20" s="935"/>
      <c r="C20" s="935"/>
      <c r="D20" s="930">
        <v>700</v>
      </c>
      <c r="E20" s="1723">
        <v>4.2</v>
      </c>
      <c r="F20" s="930">
        <f>D20*E20*E20/2</f>
        <v>6174</v>
      </c>
      <c r="G20" s="932">
        <v>1200</v>
      </c>
      <c r="H20" s="930">
        <f>F20*100/G20</f>
        <v>514.5</v>
      </c>
      <c r="I20" s="925">
        <v>300</v>
      </c>
      <c r="J20" s="931">
        <f>E20*100/I20</f>
        <v>1.4</v>
      </c>
      <c r="K20" s="933">
        <f>J20</f>
        <v>1.4</v>
      </c>
      <c r="L20" s="930">
        <f>D20*E20*E20*E20*E20/(8*2.1*K20)</f>
        <v>9261.0000000000018</v>
      </c>
      <c r="M20" s="718">
        <f>L20*2/H20</f>
        <v>36.000000000000007</v>
      </c>
      <c r="N20" s="820"/>
      <c r="P20" s="934">
        <v>2</v>
      </c>
      <c r="Q20" s="925">
        <f>P20*100/0.866</f>
        <v>230.94688221709006</v>
      </c>
      <c r="R20" s="935">
        <f>F20/P20/1000</f>
        <v>3.0870000000000002</v>
      </c>
      <c r="S20" s="935">
        <f>0.5*19</f>
        <v>9.5</v>
      </c>
      <c r="T20" s="935">
        <f>R20/2+S20/4</f>
        <v>3.9184999999999999</v>
      </c>
      <c r="U20" s="936">
        <f>3.14159*U18*V18/100</f>
        <v>13.370607039999999</v>
      </c>
      <c r="V20" s="936">
        <v>4.5999999999999996</v>
      </c>
      <c r="W20" s="936">
        <f>Q20/V20</f>
        <v>50.205843960236976</v>
      </c>
      <c r="X20" s="929">
        <v>1.212</v>
      </c>
      <c r="Y20" s="934">
        <f>X20*T20/U20</f>
        <v>0.35519868213851868</v>
      </c>
      <c r="Z20" s="927"/>
      <c r="AA20" s="927"/>
      <c r="AB20" s="927"/>
      <c r="AC20" s="927"/>
      <c r="AD20" s="927"/>
    </row>
    <row r="21" spans="1:30">
      <c r="A21" s="925">
        <v>200</v>
      </c>
      <c r="B21" s="935">
        <v>9.6</v>
      </c>
      <c r="C21" s="935">
        <f>B21</f>
        <v>9.6</v>
      </c>
      <c r="D21" s="930">
        <f>A21*(B21+C21)/2</f>
        <v>1920</v>
      </c>
      <c r="E21" s="1723">
        <v>7.8</v>
      </c>
      <c r="F21" s="930">
        <f>D21*E21*E21/2</f>
        <v>58406.400000000001</v>
      </c>
      <c r="G21" s="932">
        <v>1200</v>
      </c>
      <c r="H21" s="930">
        <f>F21*100/G21</f>
        <v>4867.2</v>
      </c>
      <c r="I21" s="925">
        <v>300</v>
      </c>
      <c r="J21" s="931">
        <f>E21*100/I21</f>
        <v>2.6</v>
      </c>
      <c r="K21" s="933">
        <f>J21</f>
        <v>2.6</v>
      </c>
      <c r="L21" s="930">
        <f>D21*E21*E21*E21*E21/(8*2.1*K21)</f>
        <v>162703.54285714281</v>
      </c>
      <c r="M21" s="718">
        <f>L21*2/H21</f>
        <v>66.857142857142833</v>
      </c>
      <c r="N21" s="820"/>
      <c r="P21" s="934">
        <v>2</v>
      </c>
      <c r="Q21" s="925">
        <f>P21*100/0.866</f>
        <v>230.94688221709006</v>
      </c>
      <c r="R21" s="935">
        <f>F21/P21/1000</f>
        <v>29.203200000000002</v>
      </c>
      <c r="S21" s="935">
        <f>0.5*19</f>
        <v>9.5</v>
      </c>
      <c r="T21" s="935">
        <f>R21/2+S21/4</f>
        <v>16.976600000000001</v>
      </c>
      <c r="U21" s="936" t="e">
        <f>3.14159*U19*V19/100</f>
        <v>#VALUE!</v>
      </c>
      <c r="V21" s="936">
        <v>4.5999999999999996</v>
      </c>
      <c r="W21" s="936">
        <f>Q21/V21</f>
        <v>50.205843960236976</v>
      </c>
      <c r="X21" s="929">
        <v>1.212</v>
      </c>
      <c r="Y21" s="934" t="e">
        <f>X21*T21/U21</f>
        <v>#VALUE!</v>
      </c>
      <c r="Z21" s="927"/>
      <c r="AA21" s="927"/>
      <c r="AB21" s="927"/>
      <c r="AC21" s="927"/>
      <c r="AD21" s="927"/>
    </row>
    <row r="22" spans="1:30">
      <c r="A22" s="927">
        <v>250</v>
      </c>
      <c r="B22" s="935">
        <v>3</v>
      </c>
      <c r="C22" s="935">
        <v>0.3</v>
      </c>
      <c r="D22" s="930">
        <f>A22*(B22+C22)/2</f>
        <v>412.5</v>
      </c>
      <c r="E22" s="1451">
        <v>10</v>
      </c>
      <c r="F22" s="930">
        <f>D22*E22*E22/2</f>
        <v>20625</v>
      </c>
      <c r="G22" s="932">
        <v>1200</v>
      </c>
      <c r="H22" s="930">
        <f>F22*100/G22</f>
        <v>1718.75</v>
      </c>
      <c r="I22" s="925">
        <v>300</v>
      </c>
      <c r="J22" s="931">
        <f>E22*100/I22</f>
        <v>3.3333333333333335</v>
      </c>
      <c r="K22" s="933">
        <f>J22</f>
        <v>3.3333333333333335</v>
      </c>
      <c r="L22" s="930">
        <f>D22*E22*E22*E22*E22/(8*2.1*K22)</f>
        <v>73660.714285714275</v>
      </c>
      <c r="M22" s="718">
        <f>L22*2/H22</f>
        <v>85.714285714285708</v>
      </c>
      <c r="N22" s="820"/>
      <c r="P22" s="934"/>
      <c r="Q22" s="925"/>
      <c r="R22" s="935"/>
      <c r="S22" s="935"/>
      <c r="T22" s="935"/>
      <c r="U22" s="936"/>
      <c r="V22" s="936"/>
      <c r="W22" s="936"/>
      <c r="X22" s="929"/>
      <c r="Y22" s="934"/>
      <c r="Z22" s="927"/>
      <c r="AA22" s="927"/>
      <c r="AB22" s="927"/>
      <c r="AC22" s="927"/>
      <c r="AD22" s="927"/>
    </row>
    <row r="23" spans="1:30">
      <c r="D23" s="931"/>
      <c r="E23" s="930"/>
      <c r="F23" s="930"/>
      <c r="G23" s="932"/>
      <c r="H23" s="930"/>
      <c r="I23" s="930"/>
      <c r="J23" s="931"/>
      <c r="K23" s="933"/>
      <c r="L23" s="930"/>
      <c r="M23" s="718"/>
      <c r="N23" s="820"/>
    </row>
    <row r="24" spans="1:30">
      <c r="D24" s="930"/>
      <c r="E24" s="930"/>
      <c r="F24" s="930">
        <v>5</v>
      </c>
      <c r="G24" s="932" t="s">
        <v>120</v>
      </c>
      <c r="H24" s="930"/>
      <c r="I24" s="930"/>
      <c r="J24" s="931"/>
      <c r="K24" s="933"/>
      <c r="L24" s="930"/>
      <c r="M24" s="718"/>
      <c r="N24" s="820"/>
      <c r="R24" s="818" t="s">
        <v>199</v>
      </c>
      <c r="S24" s="818" t="s">
        <v>200</v>
      </c>
      <c r="U24" s="929">
        <v>159</v>
      </c>
      <c r="V24" s="929">
        <v>3.6</v>
      </c>
    </row>
    <row r="25" spans="1:30">
      <c r="D25" s="930"/>
      <c r="E25" s="1520" t="s">
        <v>2504</v>
      </c>
      <c r="F25" s="930">
        <f>F20/F24/1000</f>
        <v>1.2347999999999999</v>
      </c>
      <c r="G25" s="1358" t="s">
        <v>236</v>
      </c>
      <c r="H25" s="932"/>
      <c r="I25" s="932"/>
      <c r="J25" s="931"/>
      <c r="K25" s="937"/>
      <c r="L25" s="930"/>
      <c r="M25" s="718"/>
      <c r="N25" s="820"/>
      <c r="P25" s="818" t="s">
        <v>47</v>
      </c>
      <c r="Q25" s="818" t="s">
        <v>201</v>
      </c>
      <c r="R25" s="818" t="s">
        <v>202</v>
      </c>
      <c r="S25" s="818" t="s">
        <v>203</v>
      </c>
      <c r="T25" s="818" t="s">
        <v>204</v>
      </c>
      <c r="U25" s="818" t="s">
        <v>1874</v>
      </c>
      <c r="V25" s="818" t="s">
        <v>205</v>
      </c>
      <c r="W25" s="818" t="s">
        <v>1884</v>
      </c>
      <c r="X25" s="818" t="s">
        <v>206</v>
      </c>
      <c r="Y25" s="818" t="s">
        <v>1880</v>
      </c>
    </row>
    <row r="26" spans="1:30">
      <c r="D26" s="930"/>
      <c r="E26" s="930" t="s">
        <v>2508</v>
      </c>
      <c r="F26" s="1521">
        <v>1.3</v>
      </c>
      <c r="G26" s="932" t="s">
        <v>457</v>
      </c>
      <c r="H26" s="930"/>
      <c r="I26" s="930"/>
      <c r="J26" s="931"/>
      <c r="K26" s="933"/>
      <c r="L26" s="930"/>
      <c r="M26" s="718"/>
      <c r="N26" s="820"/>
      <c r="P26" s="934">
        <v>2</v>
      </c>
      <c r="Q26" s="925">
        <f>P26*100/0.866</f>
        <v>230.94688221709006</v>
      </c>
      <c r="R26" s="935">
        <f>F26/P26/1000</f>
        <v>6.4999999999999997E-4</v>
      </c>
      <c r="S26" s="935">
        <f>0.71*19</f>
        <v>13.489999999999998</v>
      </c>
      <c r="T26" s="935">
        <f>R26/2+3.4</f>
        <v>3.400325</v>
      </c>
      <c r="U26" s="936">
        <f>3.14159*U24*V24/100</f>
        <v>17.98246116</v>
      </c>
      <c r="V26" s="936">
        <v>5.5</v>
      </c>
      <c r="W26" s="936">
        <f>Q26/V26</f>
        <v>41.990342221289104</v>
      </c>
      <c r="X26" s="929">
        <v>1.1499999999999999</v>
      </c>
      <c r="Y26" s="934">
        <f>X26*T26/U26</f>
        <v>0.2174548697871343</v>
      </c>
    </row>
    <row r="27" spans="1:30">
      <c r="E27" s="687" t="s">
        <v>2507</v>
      </c>
      <c r="F27" s="718">
        <f>F25/F26</f>
        <v>0.94984615384615378</v>
      </c>
      <c r="G27" s="822" t="s">
        <v>110</v>
      </c>
      <c r="H27" s="938">
        <v>350</v>
      </c>
      <c r="I27" s="938" t="s">
        <v>2506</v>
      </c>
      <c r="J27" s="819"/>
      <c r="K27" s="939"/>
      <c r="L27" s="924"/>
      <c r="M27" s="820"/>
      <c r="N27" s="820"/>
    </row>
    <row r="28" spans="1:30">
      <c r="G28" s="820"/>
      <c r="H28" s="938"/>
      <c r="I28" s="938"/>
      <c r="J28" s="819"/>
      <c r="K28" s="939"/>
      <c r="L28" s="924"/>
      <c r="M28" s="820"/>
      <c r="N28" s="820"/>
    </row>
    <row r="29" spans="1:30">
      <c r="F29" s="687">
        <v>16</v>
      </c>
      <c r="G29" s="1365" t="s">
        <v>458</v>
      </c>
    </row>
    <row r="30" spans="1:30">
      <c r="F30" s="687">
        <f>F29*2.5</f>
        <v>40</v>
      </c>
      <c r="G30" s="1365" t="s">
        <v>58</v>
      </c>
      <c r="H30" s="1365" t="s">
        <v>459</v>
      </c>
    </row>
    <row r="31" spans="1:30">
      <c r="F31" s="687">
        <v>14.3</v>
      </c>
      <c r="G31" s="1365" t="s">
        <v>58</v>
      </c>
      <c r="H31" s="1365" t="s">
        <v>460</v>
      </c>
      <c r="J31" s="718">
        <f>8+14+4</f>
        <v>26</v>
      </c>
      <c r="K31" s="687">
        <v>0.3</v>
      </c>
      <c r="L31" s="687">
        <f>K31*J31</f>
        <v>7.8</v>
      </c>
      <c r="M31" s="687">
        <f>L31*0.785</f>
        <v>6.1230000000000002</v>
      </c>
      <c r="N31" s="687">
        <f>2*2</f>
        <v>4</v>
      </c>
      <c r="O31" s="687">
        <f>N31*M31</f>
        <v>24.492000000000001</v>
      </c>
      <c r="P31" s="1365" t="s">
        <v>75</v>
      </c>
    </row>
    <row r="32" spans="1:30">
      <c r="F32" s="687">
        <f>F31+F30</f>
        <v>54.3</v>
      </c>
      <c r="G32" s="1365" t="s">
        <v>58</v>
      </c>
      <c r="J32" s="687">
        <f>15*2+6</f>
        <v>36</v>
      </c>
      <c r="K32" s="687">
        <v>0.4</v>
      </c>
      <c r="L32" s="687">
        <f>K32*J32</f>
        <v>14.4</v>
      </c>
      <c r="M32" s="687">
        <f>L32*0.785</f>
        <v>11.304</v>
      </c>
      <c r="N32" s="687">
        <f>2*2*1.118*2</f>
        <v>8.9440000000000008</v>
      </c>
      <c r="O32" s="687">
        <f>N32*M32</f>
        <v>101.10297600000001</v>
      </c>
      <c r="P32" s="1365" t="s">
        <v>75</v>
      </c>
    </row>
    <row r="33" spans="6:25">
      <c r="F33" s="687">
        <v>1540</v>
      </c>
      <c r="G33" s="1365" t="s">
        <v>461</v>
      </c>
      <c r="O33" s="687">
        <f>SUM(O31:O32)</f>
        <v>125.59497600000002</v>
      </c>
      <c r="P33" s="1365" t="s">
        <v>463</v>
      </c>
    </row>
    <row r="34" spans="6:25">
      <c r="F34" s="687">
        <f>F33*F32</f>
        <v>83622</v>
      </c>
      <c r="G34" s="1365" t="s">
        <v>75</v>
      </c>
      <c r="O34" s="687">
        <f>40*2*4*1.118</f>
        <v>357.76000000000005</v>
      </c>
      <c r="P34" s="1365" t="s">
        <v>465</v>
      </c>
    </row>
    <row r="35" spans="6:25">
      <c r="F35" s="687">
        <v>20</v>
      </c>
      <c r="G35" s="1365" t="s">
        <v>349</v>
      </c>
      <c r="O35" s="687">
        <f>O34+O33</f>
        <v>483.35497600000008</v>
      </c>
      <c r="P35" s="1365" t="s">
        <v>464</v>
      </c>
    </row>
    <row r="36" spans="6:25">
      <c r="F36" s="687">
        <f>F34/F35</f>
        <v>4181.1000000000004</v>
      </c>
      <c r="G36" s="1365" t="s">
        <v>462</v>
      </c>
    </row>
    <row r="37" spans="6:25">
      <c r="G37" s="1365"/>
    </row>
    <row r="40" spans="6:25">
      <c r="F40" s="687">
        <f>F32</f>
        <v>54.3</v>
      </c>
      <c r="G40" s="1365" t="s">
        <v>58</v>
      </c>
    </row>
    <row r="41" spans="6:25">
      <c r="F41" s="687">
        <f>2*2.236*2</f>
        <v>8.9440000000000008</v>
      </c>
      <c r="G41" s="1365" t="s">
        <v>461</v>
      </c>
    </row>
    <row r="42" spans="6:25">
      <c r="F42" s="687">
        <f>F41*F40</f>
        <v>485.6592</v>
      </c>
      <c r="G42" s="1365" t="s">
        <v>462</v>
      </c>
    </row>
    <row r="44" spans="6:25">
      <c r="I44" s="829" t="s">
        <v>104</v>
      </c>
      <c r="J44" s="829"/>
      <c r="K44" s="829"/>
      <c r="L44" s="829"/>
      <c r="M44" s="829"/>
      <c r="N44" s="829"/>
      <c r="O44" s="829"/>
      <c r="P44" s="829"/>
      <c r="Q44" s="829"/>
      <c r="R44" s="829"/>
      <c r="S44" s="829"/>
      <c r="T44" s="829"/>
      <c r="U44" s="829"/>
    </row>
    <row r="45" spans="6:25">
      <c r="I45" s="831" t="s">
        <v>132</v>
      </c>
      <c r="J45" s="832"/>
      <c r="K45" s="832"/>
      <c r="L45" s="832"/>
      <c r="M45" s="833" t="s">
        <v>578</v>
      </c>
      <c r="N45" s="845" t="s">
        <v>136</v>
      </c>
      <c r="O45" s="833" t="s">
        <v>572</v>
      </c>
      <c r="P45" s="833" t="s">
        <v>56</v>
      </c>
      <c r="Q45" s="833" t="s">
        <v>1952</v>
      </c>
      <c r="R45" s="833" t="s">
        <v>105</v>
      </c>
      <c r="S45" s="833" t="s">
        <v>106</v>
      </c>
      <c r="T45" s="833" t="s">
        <v>0</v>
      </c>
      <c r="U45" s="852" t="s">
        <v>107</v>
      </c>
    </row>
    <row r="46" spans="6:25">
      <c r="I46" s="836" t="s">
        <v>570</v>
      </c>
      <c r="J46" s="837" t="s">
        <v>1746</v>
      </c>
      <c r="K46" s="837" t="s">
        <v>108</v>
      </c>
      <c r="L46" s="837" t="s">
        <v>109</v>
      </c>
      <c r="M46" s="838" t="s">
        <v>110</v>
      </c>
      <c r="N46" s="838" t="s">
        <v>137</v>
      </c>
      <c r="O46" s="838" t="s">
        <v>599</v>
      </c>
      <c r="P46" s="838" t="s">
        <v>111</v>
      </c>
      <c r="Q46" s="838" t="s">
        <v>72</v>
      </c>
      <c r="R46" s="838" t="s">
        <v>607</v>
      </c>
      <c r="S46" s="838" t="s">
        <v>111</v>
      </c>
      <c r="T46" s="838" t="s">
        <v>72</v>
      </c>
      <c r="U46" s="853" t="s">
        <v>607</v>
      </c>
    </row>
    <row r="47" spans="6:25">
      <c r="I47" s="854">
        <v>360</v>
      </c>
      <c r="J47" s="854">
        <v>160</v>
      </c>
      <c r="K47" s="854">
        <v>6</v>
      </c>
      <c r="L47" s="854">
        <v>6</v>
      </c>
      <c r="M47" s="855">
        <f>(J47*I47-(J47-2*K47)*(I47-2*L47))/100</f>
        <v>60.96</v>
      </c>
      <c r="N47" s="842">
        <v>7.85</v>
      </c>
      <c r="O47" s="842">
        <f>M47*N47/10</f>
        <v>47.8536</v>
      </c>
      <c r="P47" s="1359">
        <f>(J47*I47*I47*I47-(J47-2*K47)*(I47-2*L47)*(I47-2*L47)*(I47-2*L47))/12/10000</f>
        <v>10230.163200000001</v>
      </c>
      <c r="Q47" s="855">
        <f>2*10*P47/I47</f>
        <v>568.34240000000011</v>
      </c>
      <c r="R47" s="855">
        <f>SQRT(P47/M47)</f>
        <v>12.954444711961822</v>
      </c>
      <c r="S47" s="856">
        <f>(I47*J47*J47*J47-(I47-2*L47)*(J47-2*K47)*(J47-2*K47)*(J47-2*K47))/12/10000</f>
        <v>2886.8031999999998</v>
      </c>
      <c r="T47" s="855">
        <f>2*10*S47/J47</f>
        <v>360.85039999999998</v>
      </c>
      <c r="U47" s="857">
        <f>SQRT(S47/M47)</f>
        <v>6.8815474668171648</v>
      </c>
      <c r="W47" s="687">
        <v>2</v>
      </c>
      <c r="X47" s="687">
        <v>2210</v>
      </c>
      <c r="Y47" s="687">
        <f>X47*W47</f>
        <v>4420</v>
      </c>
    </row>
    <row r="48" spans="6:25">
      <c r="I48" s="854">
        <v>500</v>
      </c>
      <c r="J48" s="854">
        <v>150</v>
      </c>
      <c r="K48" s="854">
        <v>4</v>
      </c>
      <c r="L48" s="854">
        <f>K48</f>
        <v>4</v>
      </c>
      <c r="M48" s="855">
        <f>(J48*I48-(J48-2*K48)*(I48-2*L48))/100</f>
        <v>51.36</v>
      </c>
      <c r="N48" s="842">
        <v>8.85</v>
      </c>
      <c r="O48" s="842">
        <f>M48*N48/10</f>
        <v>45.453600000000002</v>
      </c>
      <c r="P48" s="1359">
        <f>(J48*I48*I48*I48-(J48-2*K48)*(I48-2*L48)*(I48-2*L48)*(I48-2*L48))/12/10000</f>
        <v>15320.3392</v>
      </c>
      <c r="Q48" s="855">
        <f>2*10*P48/I48</f>
        <v>612.81356799999992</v>
      </c>
      <c r="R48" s="855">
        <f>SQRT(P48/M48)</f>
        <v>17.271166976285691</v>
      </c>
      <c r="S48" s="856">
        <f>(I48*J48*J48*J48-(I48-2*L48)*(J48-2*K48)*(J48-2*K48)*(J48-2*K48))/12/10000</f>
        <v>2323.0192000000002</v>
      </c>
      <c r="T48" s="855">
        <f>2*10*S48/J48</f>
        <v>309.73589333333337</v>
      </c>
      <c r="U48" s="857">
        <f>SQRT(S48/M48)</f>
        <v>6.7253345352177023</v>
      </c>
      <c r="W48" s="687">
        <v>1</v>
      </c>
      <c r="X48" s="687">
        <v>2240</v>
      </c>
      <c r="Y48" s="687">
        <f>X48*W48</f>
        <v>2240</v>
      </c>
    </row>
    <row r="49" spans="9:27">
      <c r="I49" s="854">
        <v>600</v>
      </c>
      <c r="J49" s="854">
        <v>150</v>
      </c>
      <c r="K49" s="854">
        <v>5</v>
      </c>
      <c r="L49" s="854">
        <f>K49</f>
        <v>5</v>
      </c>
      <c r="M49" s="855">
        <f>(J49*I49-(J49-2*K49)*(I49-2*L49))/100</f>
        <v>74</v>
      </c>
      <c r="N49" s="842">
        <v>9.85</v>
      </c>
      <c r="O49" s="846">
        <f>M49*N49/10</f>
        <v>72.89</v>
      </c>
      <c r="P49" s="1359">
        <f>(J49*I49*I49*I49-(J49-2*K49)*(I49-2*L49)*(I49-2*L49)*(I49-2*L49))/12/10000</f>
        <v>30391.166666666668</v>
      </c>
      <c r="Q49" s="855">
        <f>2*10*P49/I49</f>
        <v>1013.038888888889</v>
      </c>
      <c r="R49" s="855">
        <f>SQRT(P49/M49)</f>
        <v>20.265523468231493</v>
      </c>
      <c r="S49" s="856">
        <f>(I49*J49*J49*J49-(I49-2*L49)*(J49-2*K49)*(J49-2*K49)*(J49-2*K49))/12/10000</f>
        <v>3383.6666666666665</v>
      </c>
      <c r="T49" s="855">
        <f>2*10*S49/J49</f>
        <v>451.15555555555551</v>
      </c>
      <c r="U49" s="857">
        <f>SQRT(S49/M49)</f>
        <v>6.7620429771796946</v>
      </c>
      <c r="Y49" s="687">
        <f>SUM(Y47:Y48)</f>
        <v>6660</v>
      </c>
    </row>
    <row r="50" spans="9:27">
      <c r="Y50" s="819">
        <f>Y49*O47/1000</f>
        <v>318.70497600000004</v>
      </c>
      <c r="Z50" s="687">
        <v>1142</v>
      </c>
      <c r="AA50" s="718">
        <f>Z50*Y50/1000</f>
        <v>363.96108259200008</v>
      </c>
    </row>
    <row r="51" spans="9:27">
      <c r="AA51" s="718"/>
    </row>
    <row r="52" spans="9:27">
      <c r="W52" s="687">
        <v>4</v>
      </c>
      <c r="X52" s="687">
        <v>1000</v>
      </c>
      <c r="Y52" s="687">
        <f>X52*W52</f>
        <v>4000</v>
      </c>
      <c r="AA52" s="718"/>
    </row>
    <row r="53" spans="9:27">
      <c r="W53" s="687">
        <v>2</v>
      </c>
      <c r="X53" s="687">
        <v>1400</v>
      </c>
      <c r="Y53" s="687">
        <f>X53*W53</f>
        <v>2800</v>
      </c>
      <c r="AA53" s="718"/>
    </row>
    <row r="54" spans="9:27">
      <c r="Y54" s="687">
        <f>SUM(Y52:Y53)</f>
        <v>6800</v>
      </c>
      <c r="AA54" s="718"/>
    </row>
    <row r="55" spans="9:27">
      <c r="Y55" s="819">
        <f>Y54*O48/1000</f>
        <v>309.08448000000004</v>
      </c>
      <c r="Z55" s="687">
        <v>617</v>
      </c>
      <c r="AA55" s="718">
        <f>Z55*Y55/1000</f>
        <v>190.70512416000003</v>
      </c>
    </row>
  </sheetData>
  <phoneticPr fontId="68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S113"/>
  <sheetViews>
    <sheetView workbookViewId="0"/>
  </sheetViews>
  <sheetFormatPr defaultColWidth="0" defaultRowHeight="9.75" zeroHeight="1"/>
  <cols>
    <col min="1" max="1" width="16.140625" style="213" customWidth="1"/>
    <col min="2" max="2" width="4.42578125" style="301" customWidth="1"/>
    <col min="3" max="3" width="1.85546875" style="203" customWidth="1"/>
    <col min="4" max="4" width="3.42578125" style="213" customWidth="1"/>
    <col min="5" max="5" width="5.7109375" style="212" customWidth="1"/>
    <col min="6" max="7" width="6.140625" style="203" customWidth="1"/>
    <col min="8" max="10" width="5.140625" style="203" customWidth="1"/>
    <col min="11" max="11" width="6.7109375" style="203" customWidth="1"/>
    <col min="12" max="12" width="8.85546875" style="203" customWidth="1"/>
    <col min="13" max="13" width="5.42578125" style="203" customWidth="1"/>
    <col min="14" max="14" width="5.140625" style="203" customWidth="1"/>
    <col min="15" max="15" width="4.7109375" style="212" customWidth="1"/>
    <col min="16" max="16" width="1.7109375" style="203" customWidth="1"/>
    <col min="17" max="16384" width="10.85546875" style="203" hidden="1"/>
  </cols>
  <sheetData>
    <row r="1" spans="1:19" s="541" customFormat="1" ht="18.75" customHeight="1">
      <c r="A1" s="321"/>
      <c r="F1" s="321"/>
      <c r="J1" s="542"/>
      <c r="L1" s="321"/>
      <c r="O1" s="543"/>
      <c r="Q1" s="544"/>
      <c r="R1" s="544"/>
      <c r="S1" s="544"/>
    </row>
    <row r="2" spans="1:19" s="541" customFormat="1" ht="20.25">
      <c r="A2" s="423" t="s">
        <v>1857</v>
      </c>
      <c r="F2" s="321"/>
      <c r="J2" s="542"/>
      <c r="L2" s="321"/>
      <c r="O2" s="543"/>
      <c r="Q2" s="544"/>
      <c r="R2" s="544"/>
      <c r="S2" s="544"/>
    </row>
    <row r="3" spans="1:19" s="541" customFormat="1" ht="20.25">
      <c r="A3" s="423" t="s">
        <v>1855</v>
      </c>
      <c r="F3" s="321"/>
      <c r="J3" s="542"/>
      <c r="L3" s="321"/>
      <c r="O3" s="543"/>
      <c r="Q3" s="544"/>
      <c r="R3" s="544"/>
      <c r="S3" s="544"/>
    </row>
    <row r="4" spans="1:19" s="541" customFormat="1" ht="20.25">
      <c r="A4" s="423" t="s">
        <v>1856</v>
      </c>
      <c r="F4" s="321"/>
      <c r="J4" s="542"/>
      <c r="L4" s="321"/>
      <c r="O4" s="543"/>
      <c r="Q4" s="544"/>
      <c r="R4" s="544"/>
      <c r="S4" s="544"/>
    </row>
    <row r="5" spans="1:19" s="541" customFormat="1" ht="18.75" customHeight="1">
      <c r="A5" s="423"/>
      <c r="F5" s="321"/>
      <c r="J5" s="542"/>
      <c r="L5" s="321"/>
      <c r="O5" s="543"/>
      <c r="Q5" s="544"/>
      <c r="R5" s="544"/>
      <c r="S5" s="544"/>
    </row>
    <row r="6" spans="1:19" s="541" customFormat="1" ht="18.75" customHeight="1">
      <c r="A6" s="423"/>
      <c r="F6" s="321"/>
      <c r="J6" s="542"/>
      <c r="L6" s="321"/>
      <c r="O6" s="543"/>
      <c r="Q6" s="544"/>
      <c r="R6" s="544"/>
      <c r="S6" s="544"/>
    </row>
    <row r="7" spans="1:19" s="541" customFormat="1" ht="18.75" customHeight="1">
      <c r="A7" s="423"/>
      <c r="F7" s="321"/>
      <c r="J7" s="542"/>
      <c r="L7" s="321"/>
      <c r="O7" s="543"/>
      <c r="Q7" s="544"/>
      <c r="R7" s="544"/>
      <c r="S7" s="544"/>
    </row>
    <row r="8" spans="1:19" s="545" customFormat="1" ht="13.5" customHeight="1" thickBot="1">
      <c r="E8" s="546"/>
      <c r="O8" s="546"/>
      <c r="Q8" s="547"/>
      <c r="R8" s="547"/>
      <c r="S8" s="547"/>
    </row>
    <row r="9" spans="1:19" s="293" customFormat="1" ht="13.5" customHeight="1" thickTop="1">
      <c r="A9" s="327"/>
      <c r="B9" s="508"/>
      <c r="C9" s="508"/>
      <c r="D9" s="363"/>
      <c r="E9" s="328"/>
      <c r="F9" s="327"/>
      <c r="G9" s="363"/>
      <c r="H9" s="363"/>
      <c r="I9" s="363"/>
      <c r="J9" s="364"/>
      <c r="K9" s="366" t="s">
        <v>1799</v>
      </c>
      <c r="L9" s="507"/>
      <c r="M9" s="508"/>
      <c r="N9" s="508"/>
      <c r="O9" s="533"/>
      <c r="Q9" s="294"/>
      <c r="R9" s="294"/>
      <c r="S9" s="294"/>
    </row>
    <row r="10" spans="1:19" s="293" customFormat="1" ht="13.5" customHeight="1" thickBot="1">
      <c r="A10" s="329" t="s">
        <v>1799</v>
      </c>
      <c r="B10" s="510"/>
      <c r="C10" s="510"/>
      <c r="D10" s="360"/>
      <c r="E10" s="330"/>
      <c r="F10" s="329"/>
      <c r="G10" s="360"/>
      <c r="H10" s="360" t="s">
        <v>1800</v>
      </c>
      <c r="I10" s="360"/>
      <c r="J10" s="365"/>
      <c r="K10" s="367" t="s">
        <v>1801</v>
      </c>
      <c r="L10" s="329"/>
      <c r="M10" s="360" t="s">
        <v>1804</v>
      </c>
      <c r="N10" s="360"/>
      <c r="O10" s="365"/>
      <c r="Q10" s="294"/>
      <c r="R10" s="294"/>
      <c r="S10" s="294"/>
    </row>
    <row r="11" spans="1:19" s="293" customFormat="1" ht="13.5" customHeight="1" thickTop="1">
      <c r="A11" s="69"/>
      <c r="B11" s="276"/>
      <c r="C11" s="277" t="s">
        <v>1699</v>
      </c>
      <c r="D11" s="69"/>
      <c r="E11" s="67" t="s">
        <v>572</v>
      </c>
      <c r="F11" s="18" t="s">
        <v>1701</v>
      </c>
      <c r="G11" s="18" t="s">
        <v>574</v>
      </c>
      <c r="H11" s="18" t="s">
        <v>811</v>
      </c>
      <c r="I11" s="18" t="s">
        <v>812</v>
      </c>
      <c r="J11" s="67" t="s">
        <v>577</v>
      </c>
      <c r="K11" s="18" t="s">
        <v>578</v>
      </c>
      <c r="L11" s="18" t="s">
        <v>818</v>
      </c>
      <c r="M11" s="67" t="s">
        <v>587</v>
      </c>
      <c r="N11" s="18" t="s">
        <v>1702</v>
      </c>
      <c r="O11" s="18" t="s">
        <v>1703</v>
      </c>
      <c r="Q11" s="294"/>
      <c r="R11" s="294"/>
      <c r="S11" s="294"/>
    </row>
    <row r="12" spans="1:19" s="293" customFormat="1" ht="13.5" customHeight="1">
      <c r="A12" s="69"/>
      <c r="B12" s="276"/>
      <c r="C12" s="18"/>
      <c r="D12" s="69"/>
      <c r="E12" s="67" t="s">
        <v>599</v>
      </c>
      <c r="F12" s="18" t="s">
        <v>600</v>
      </c>
      <c r="G12" s="18" t="s">
        <v>601</v>
      </c>
      <c r="H12" s="18" t="s">
        <v>601</v>
      </c>
      <c r="I12" s="18" t="s">
        <v>601</v>
      </c>
      <c r="J12" s="67" t="s">
        <v>601</v>
      </c>
      <c r="K12" s="18" t="s">
        <v>608</v>
      </c>
      <c r="L12" s="18" t="s">
        <v>826</v>
      </c>
      <c r="M12" s="67" t="s">
        <v>610</v>
      </c>
      <c r="N12" s="18" t="s">
        <v>607</v>
      </c>
      <c r="O12" s="18" t="s">
        <v>607</v>
      </c>
      <c r="Q12" s="294"/>
      <c r="R12" s="294"/>
      <c r="S12" s="294"/>
    </row>
    <row r="13" spans="1:19" s="293" customFormat="1" ht="13.5" customHeight="1" thickBot="1">
      <c r="A13" s="295"/>
      <c r="B13" s="296"/>
      <c r="C13" s="297"/>
      <c r="D13" s="295"/>
      <c r="E13" s="298"/>
      <c r="F13" s="297"/>
      <c r="G13" s="297"/>
      <c r="H13" s="297"/>
      <c r="I13" s="297"/>
      <c r="J13" s="298"/>
      <c r="K13" s="297"/>
      <c r="L13" s="297"/>
      <c r="M13" s="298"/>
      <c r="N13" s="297"/>
      <c r="O13" s="297"/>
      <c r="Q13" s="294"/>
      <c r="R13" s="294"/>
      <c r="S13" s="294"/>
    </row>
    <row r="14" spans="1:19" s="293" customFormat="1" ht="13.5" customHeight="1" thickTop="1">
      <c r="A14" s="195"/>
      <c r="B14" s="282"/>
      <c r="C14" s="141"/>
      <c r="D14" s="283"/>
      <c r="E14" s="284"/>
      <c r="F14" s="195"/>
      <c r="G14" s="195"/>
      <c r="H14" s="195"/>
      <c r="I14" s="195"/>
      <c r="J14" s="195"/>
      <c r="K14" s="195"/>
      <c r="L14" s="195"/>
      <c r="M14" s="195"/>
      <c r="N14" s="195"/>
      <c r="O14" s="284"/>
      <c r="Q14" s="294"/>
      <c r="R14" s="294"/>
      <c r="S14" s="294"/>
    </row>
    <row r="15" spans="1:19" s="548" customFormat="1" ht="13.5" customHeight="1">
      <c r="A15" s="404" t="s">
        <v>1756</v>
      </c>
      <c r="B15" s="534">
        <v>340</v>
      </c>
      <c r="C15" s="398" t="s">
        <v>1705</v>
      </c>
      <c r="D15" s="404">
        <v>10</v>
      </c>
      <c r="E15" s="405">
        <v>60.4</v>
      </c>
      <c r="F15" s="406">
        <v>140</v>
      </c>
      <c r="G15" s="406">
        <v>140</v>
      </c>
      <c r="H15" s="406">
        <v>7</v>
      </c>
      <c r="I15" s="406">
        <v>12</v>
      </c>
      <c r="J15" s="405">
        <v>12</v>
      </c>
      <c r="K15" s="406">
        <v>77</v>
      </c>
      <c r="L15" s="408">
        <v>2580</v>
      </c>
      <c r="M15" s="409">
        <v>250</v>
      </c>
      <c r="N15" s="406">
        <v>4.7</v>
      </c>
      <c r="O15" s="406">
        <v>10.3</v>
      </c>
      <c r="Q15" s="549"/>
      <c r="R15" s="549"/>
      <c r="S15" s="549"/>
    </row>
    <row r="16" spans="1:19" s="293" customFormat="1" ht="13.5" customHeight="1">
      <c r="A16" s="33" t="s">
        <v>1757</v>
      </c>
      <c r="B16" s="285">
        <v>350</v>
      </c>
      <c r="C16" s="21" t="s">
        <v>1705</v>
      </c>
      <c r="D16" s="33">
        <v>10</v>
      </c>
      <c r="E16" s="34">
        <v>90.7</v>
      </c>
      <c r="F16" s="287">
        <v>160</v>
      </c>
      <c r="G16" s="287">
        <v>146</v>
      </c>
      <c r="H16" s="287">
        <v>13</v>
      </c>
      <c r="I16" s="287">
        <v>22</v>
      </c>
      <c r="J16" s="34">
        <v>12</v>
      </c>
      <c r="K16" s="36">
        <v>115.6</v>
      </c>
      <c r="L16" s="35">
        <v>5057</v>
      </c>
      <c r="M16" s="38">
        <v>478</v>
      </c>
      <c r="N16" s="36">
        <v>6.4</v>
      </c>
      <c r="O16" s="287">
        <v>10.6</v>
      </c>
      <c r="Q16" s="294"/>
      <c r="R16" s="294"/>
      <c r="S16" s="294"/>
    </row>
    <row r="17" spans="1:19" s="548" customFormat="1" ht="13.5" customHeight="1">
      <c r="A17" s="404" t="s">
        <v>1757</v>
      </c>
      <c r="B17" s="534">
        <v>350</v>
      </c>
      <c r="C17" s="398" t="s">
        <v>1705</v>
      </c>
      <c r="D17" s="404">
        <v>15</v>
      </c>
      <c r="E17" s="405">
        <v>104.4</v>
      </c>
      <c r="F17" s="406">
        <v>160</v>
      </c>
      <c r="G17" s="406">
        <v>146</v>
      </c>
      <c r="H17" s="406">
        <v>13</v>
      </c>
      <c r="I17" s="406">
        <v>22</v>
      </c>
      <c r="J17" s="405">
        <v>12</v>
      </c>
      <c r="K17" s="406">
        <v>133.1</v>
      </c>
      <c r="L17" s="408">
        <v>5735</v>
      </c>
      <c r="M17" s="409">
        <v>501</v>
      </c>
      <c r="N17" s="406">
        <v>6</v>
      </c>
      <c r="O17" s="406">
        <v>11.5</v>
      </c>
      <c r="Q17" s="549"/>
      <c r="R17" s="549"/>
      <c r="S17" s="549"/>
    </row>
    <row r="18" spans="1:19" ht="13.5" customHeight="1">
      <c r="A18" s="33" t="s">
        <v>1757</v>
      </c>
      <c r="B18" s="285">
        <v>350</v>
      </c>
      <c r="C18" s="21" t="s">
        <v>1705</v>
      </c>
      <c r="D18" s="33">
        <v>20</v>
      </c>
      <c r="E18" s="34">
        <v>118.2</v>
      </c>
      <c r="F18" s="287">
        <v>160</v>
      </c>
      <c r="G18" s="287">
        <v>146</v>
      </c>
      <c r="H18" s="287">
        <v>13</v>
      </c>
      <c r="I18" s="287">
        <v>22</v>
      </c>
      <c r="J18" s="34">
        <v>12</v>
      </c>
      <c r="K18" s="36">
        <v>150.6</v>
      </c>
      <c r="L18" s="35">
        <v>6348</v>
      </c>
      <c r="M18" s="38">
        <v>521</v>
      </c>
      <c r="N18" s="36">
        <v>5.8</v>
      </c>
      <c r="O18" s="287">
        <v>12.2</v>
      </c>
      <c r="P18" s="195"/>
    </row>
    <row r="19" spans="1:19" ht="13.5" customHeight="1">
      <c r="A19" s="33"/>
      <c r="B19" s="285"/>
      <c r="C19" s="21"/>
      <c r="D19" s="33"/>
      <c r="E19" s="34"/>
      <c r="F19" s="287"/>
      <c r="G19" s="287"/>
      <c r="H19" s="287"/>
      <c r="I19" s="287"/>
      <c r="J19" s="34"/>
      <c r="K19" s="36"/>
      <c r="L19" s="35"/>
      <c r="M19" s="38"/>
      <c r="N19" s="36"/>
      <c r="O19" s="287"/>
    </row>
    <row r="20" spans="1:19" s="434" customFormat="1" ht="13.5" customHeight="1">
      <c r="A20" s="404" t="s">
        <v>1758</v>
      </c>
      <c r="B20" s="534">
        <v>360</v>
      </c>
      <c r="C20" s="398" t="s">
        <v>1705</v>
      </c>
      <c r="D20" s="404">
        <v>10</v>
      </c>
      <c r="E20" s="405">
        <v>70.8</v>
      </c>
      <c r="F20" s="406">
        <v>160</v>
      </c>
      <c r="G20" s="406">
        <v>160</v>
      </c>
      <c r="H20" s="406">
        <v>8</v>
      </c>
      <c r="I20" s="406">
        <v>13</v>
      </c>
      <c r="J20" s="405">
        <v>15</v>
      </c>
      <c r="K20" s="406">
        <v>90.3</v>
      </c>
      <c r="L20" s="408">
        <v>4058</v>
      </c>
      <c r="M20" s="409">
        <v>356</v>
      </c>
      <c r="N20" s="406">
        <v>5.6</v>
      </c>
      <c r="O20" s="406">
        <v>11.4</v>
      </c>
    </row>
    <row r="21" spans="1:19" ht="13.5" customHeight="1">
      <c r="A21" s="33" t="s">
        <v>1759</v>
      </c>
      <c r="B21" s="285">
        <v>370</v>
      </c>
      <c r="C21" s="21" t="s">
        <v>1705</v>
      </c>
      <c r="D21" s="33">
        <v>10</v>
      </c>
      <c r="E21" s="34">
        <v>105.2</v>
      </c>
      <c r="F21" s="287">
        <v>180</v>
      </c>
      <c r="G21" s="287">
        <v>166</v>
      </c>
      <c r="H21" s="287">
        <v>14</v>
      </c>
      <c r="I21" s="287">
        <v>23</v>
      </c>
      <c r="J21" s="34">
        <v>15</v>
      </c>
      <c r="K21" s="36">
        <v>134.1</v>
      </c>
      <c r="L21" s="35">
        <v>7519</v>
      </c>
      <c r="M21" s="38">
        <v>647</v>
      </c>
      <c r="N21" s="36">
        <v>7.4</v>
      </c>
      <c r="O21" s="287">
        <v>11.6</v>
      </c>
    </row>
    <row r="22" spans="1:19" s="434" customFormat="1" ht="13.5" customHeight="1">
      <c r="A22" s="404" t="s">
        <v>1759</v>
      </c>
      <c r="B22" s="534">
        <v>370</v>
      </c>
      <c r="C22" s="398" t="s">
        <v>1705</v>
      </c>
      <c r="D22" s="404">
        <v>15</v>
      </c>
      <c r="E22" s="405">
        <v>119.8</v>
      </c>
      <c r="F22" s="406">
        <v>180</v>
      </c>
      <c r="G22" s="406">
        <v>166</v>
      </c>
      <c r="H22" s="406">
        <v>14</v>
      </c>
      <c r="I22" s="406">
        <v>23</v>
      </c>
      <c r="J22" s="405">
        <v>15</v>
      </c>
      <c r="K22" s="406">
        <v>152.6</v>
      </c>
      <c r="L22" s="408">
        <v>8465</v>
      </c>
      <c r="M22" s="409">
        <v>675</v>
      </c>
      <c r="N22" s="406">
        <v>7</v>
      </c>
      <c r="O22" s="406">
        <v>12.5</v>
      </c>
    </row>
    <row r="23" spans="1:19" s="195" customFormat="1" ht="13.5" customHeight="1">
      <c r="A23" s="33" t="s">
        <v>1759</v>
      </c>
      <c r="B23" s="285">
        <v>370</v>
      </c>
      <c r="C23" s="21" t="s">
        <v>1705</v>
      </c>
      <c r="D23" s="33">
        <v>20</v>
      </c>
      <c r="E23" s="34">
        <v>134.30000000000001</v>
      </c>
      <c r="F23" s="287">
        <v>180</v>
      </c>
      <c r="G23" s="287">
        <v>166</v>
      </c>
      <c r="H23" s="287">
        <v>14</v>
      </c>
      <c r="I23" s="287">
        <v>23</v>
      </c>
      <c r="J23" s="34">
        <v>15</v>
      </c>
      <c r="K23" s="36">
        <v>171.1</v>
      </c>
      <c r="L23" s="35">
        <v>9322</v>
      </c>
      <c r="M23" s="38">
        <v>699</v>
      </c>
      <c r="N23" s="36">
        <v>6.7</v>
      </c>
      <c r="O23" s="287">
        <v>13.3</v>
      </c>
      <c r="Q23" s="141"/>
      <c r="R23" s="141"/>
      <c r="S23" s="141"/>
    </row>
    <row r="24" spans="1:19" s="550" customFormat="1" ht="13.5" customHeight="1">
      <c r="A24" s="404" t="s">
        <v>1759</v>
      </c>
      <c r="B24" s="534">
        <v>370</v>
      </c>
      <c r="C24" s="398" t="s">
        <v>1705</v>
      </c>
      <c r="D24" s="404">
        <v>25</v>
      </c>
      <c r="E24" s="405">
        <v>148.80000000000001</v>
      </c>
      <c r="F24" s="406">
        <v>180</v>
      </c>
      <c r="G24" s="406">
        <v>166</v>
      </c>
      <c r="H24" s="406">
        <v>14</v>
      </c>
      <c r="I24" s="406">
        <v>23</v>
      </c>
      <c r="J24" s="405">
        <v>15</v>
      </c>
      <c r="K24" s="406">
        <v>189.6</v>
      </c>
      <c r="L24" s="408">
        <v>10122</v>
      </c>
      <c r="M24" s="409">
        <v>723</v>
      </c>
      <c r="N24" s="406">
        <v>6.5</v>
      </c>
      <c r="O24" s="406">
        <v>14</v>
      </c>
    </row>
    <row r="25" spans="1:19" s="299" customFormat="1" ht="13.5" customHeight="1">
      <c r="A25" s="33"/>
      <c r="B25" s="285"/>
      <c r="C25" s="21"/>
      <c r="D25" s="33"/>
      <c r="E25" s="34"/>
      <c r="F25" s="287"/>
      <c r="G25" s="287"/>
      <c r="H25" s="287"/>
      <c r="I25" s="287"/>
      <c r="J25" s="34"/>
      <c r="K25" s="36"/>
      <c r="L25" s="35"/>
      <c r="M25" s="38"/>
      <c r="N25" s="36"/>
      <c r="O25" s="287"/>
    </row>
    <row r="26" spans="1:19" s="434" customFormat="1" ht="13.5" customHeight="1">
      <c r="A26" s="404" t="s">
        <v>1760</v>
      </c>
      <c r="B26" s="534">
        <v>380</v>
      </c>
      <c r="C26" s="398" t="s">
        <v>1705</v>
      </c>
      <c r="D26" s="404">
        <v>10</v>
      </c>
      <c r="E26" s="405">
        <v>81.099999999999994</v>
      </c>
      <c r="F26" s="406">
        <v>180</v>
      </c>
      <c r="G26" s="406">
        <v>180</v>
      </c>
      <c r="H26" s="406">
        <v>8.5</v>
      </c>
      <c r="I26" s="406">
        <v>14</v>
      </c>
      <c r="J26" s="405">
        <v>15</v>
      </c>
      <c r="K26" s="406">
        <v>103.3</v>
      </c>
      <c r="L26" s="408">
        <v>6002</v>
      </c>
      <c r="M26" s="409">
        <v>480</v>
      </c>
      <c r="N26" s="406">
        <v>6.5</v>
      </c>
      <c r="O26" s="406">
        <v>12.5</v>
      </c>
    </row>
    <row r="27" spans="1:19" ht="13.5" customHeight="1">
      <c r="A27" s="33" t="s">
        <v>1760</v>
      </c>
      <c r="B27" s="285">
        <v>380</v>
      </c>
      <c r="C27" s="21" t="s">
        <v>1705</v>
      </c>
      <c r="D27" s="33">
        <v>15</v>
      </c>
      <c r="E27" s="34">
        <v>96</v>
      </c>
      <c r="F27" s="287">
        <v>180</v>
      </c>
      <c r="G27" s="287">
        <v>180</v>
      </c>
      <c r="H27" s="287">
        <v>8.5</v>
      </c>
      <c r="I27" s="287">
        <v>14</v>
      </c>
      <c r="J27" s="34">
        <v>15</v>
      </c>
      <c r="K27" s="36">
        <v>122.3</v>
      </c>
      <c r="L27" s="35">
        <v>6734</v>
      </c>
      <c r="M27" s="38">
        <v>497</v>
      </c>
      <c r="N27" s="36">
        <v>6</v>
      </c>
      <c r="O27" s="287">
        <v>13.5</v>
      </c>
    </row>
    <row r="28" spans="1:19" s="551" customFormat="1" ht="13.5" customHeight="1">
      <c r="A28" s="404" t="s">
        <v>1761</v>
      </c>
      <c r="B28" s="534">
        <v>390</v>
      </c>
      <c r="C28" s="398" t="s">
        <v>1705</v>
      </c>
      <c r="D28" s="404">
        <v>10</v>
      </c>
      <c r="E28" s="405">
        <v>119.5</v>
      </c>
      <c r="F28" s="406">
        <v>200</v>
      </c>
      <c r="G28" s="406">
        <v>186</v>
      </c>
      <c r="H28" s="406">
        <v>14.5</v>
      </c>
      <c r="I28" s="406">
        <v>24</v>
      </c>
      <c r="J28" s="405">
        <v>15</v>
      </c>
      <c r="K28" s="406">
        <v>152.30000000000001</v>
      </c>
      <c r="L28" s="408">
        <v>10685</v>
      </c>
      <c r="M28" s="409">
        <v>842</v>
      </c>
      <c r="N28" s="406">
        <v>8.3000000000000007</v>
      </c>
      <c r="O28" s="406">
        <v>12.7</v>
      </c>
    </row>
    <row r="29" spans="1:19" ht="13.5" customHeight="1">
      <c r="A29" s="33" t="s">
        <v>1761</v>
      </c>
      <c r="B29" s="285">
        <v>390</v>
      </c>
      <c r="C29" s="21" t="s">
        <v>1705</v>
      </c>
      <c r="D29" s="33">
        <v>15</v>
      </c>
      <c r="E29" s="34">
        <v>134.80000000000001</v>
      </c>
      <c r="F29" s="287">
        <v>200</v>
      </c>
      <c r="G29" s="287">
        <v>186</v>
      </c>
      <c r="H29" s="287">
        <v>14.5</v>
      </c>
      <c r="I29" s="287">
        <v>24</v>
      </c>
      <c r="J29" s="34">
        <v>15</v>
      </c>
      <c r="K29" s="36">
        <v>171.8</v>
      </c>
      <c r="L29" s="35">
        <v>11952</v>
      </c>
      <c r="M29" s="38">
        <v>875</v>
      </c>
      <c r="N29" s="36">
        <v>7.8</v>
      </c>
      <c r="O29" s="287">
        <v>13.7</v>
      </c>
    </row>
    <row r="30" spans="1:19" s="551" customFormat="1" ht="13.5" customHeight="1">
      <c r="A30" s="404" t="s">
        <v>1761</v>
      </c>
      <c r="B30" s="534">
        <v>390</v>
      </c>
      <c r="C30" s="398" t="s">
        <v>1705</v>
      </c>
      <c r="D30" s="404">
        <v>20</v>
      </c>
      <c r="E30" s="405">
        <v>150.1</v>
      </c>
      <c r="F30" s="406">
        <v>200</v>
      </c>
      <c r="G30" s="406">
        <v>186</v>
      </c>
      <c r="H30" s="406">
        <v>14.5</v>
      </c>
      <c r="I30" s="406">
        <v>24</v>
      </c>
      <c r="J30" s="405">
        <v>15</v>
      </c>
      <c r="K30" s="406">
        <v>191.3</v>
      </c>
      <c r="L30" s="408">
        <v>13098</v>
      </c>
      <c r="M30" s="409">
        <v>904</v>
      </c>
      <c r="N30" s="406">
        <v>7.5</v>
      </c>
      <c r="O30" s="406">
        <v>14.5</v>
      </c>
    </row>
    <row r="31" spans="1:19" ht="13.5" customHeight="1">
      <c r="A31" s="33" t="s">
        <v>1761</v>
      </c>
      <c r="B31" s="285">
        <v>390</v>
      </c>
      <c r="C31" s="21" t="s">
        <v>1705</v>
      </c>
      <c r="D31" s="33">
        <v>25</v>
      </c>
      <c r="E31" s="34">
        <v>165.4</v>
      </c>
      <c r="F31" s="287">
        <v>200</v>
      </c>
      <c r="G31" s="287">
        <v>186</v>
      </c>
      <c r="H31" s="287">
        <v>14.5</v>
      </c>
      <c r="I31" s="287">
        <v>24</v>
      </c>
      <c r="J31" s="34">
        <v>15</v>
      </c>
      <c r="K31" s="36">
        <v>210.8</v>
      </c>
      <c r="L31" s="35">
        <v>14165</v>
      </c>
      <c r="M31" s="38">
        <v>932</v>
      </c>
      <c r="N31" s="36">
        <v>7.3</v>
      </c>
      <c r="O31" s="287">
        <v>15.2</v>
      </c>
    </row>
    <row r="32" spans="1:19" s="299" customFormat="1" ht="13.5" customHeight="1">
      <c r="A32" s="33"/>
      <c r="B32" s="285"/>
      <c r="C32" s="21"/>
      <c r="D32" s="33"/>
      <c r="E32" s="34"/>
      <c r="F32" s="287"/>
      <c r="G32" s="287"/>
      <c r="H32" s="287"/>
      <c r="I32" s="287"/>
      <c r="J32" s="34"/>
      <c r="K32" s="36"/>
      <c r="L32" s="35"/>
      <c r="M32" s="38"/>
      <c r="N32" s="36"/>
      <c r="O32" s="287"/>
    </row>
    <row r="33" spans="1:15" s="434" customFormat="1" ht="13.5" customHeight="1">
      <c r="A33" s="404" t="s">
        <v>1762</v>
      </c>
      <c r="B33" s="534">
        <v>400</v>
      </c>
      <c r="C33" s="398" t="s">
        <v>1705</v>
      </c>
      <c r="D33" s="404">
        <v>10</v>
      </c>
      <c r="E33" s="405">
        <v>92.7</v>
      </c>
      <c r="F33" s="406">
        <v>200</v>
      </c>
      <c r="G33" s="406">
        <v>200</v>
      </c>
      <c r="H33" s="406">
        <v>9</v>
      </c>
      <c r="I33" s="406">
        <v>15</v>
      </c>
      <c r="J33" s="405">
        <v>18</v>
      </c>
      <c r="K33" s="406">
        <v>118.1</v>
      </c>
      <c r="L33" s="408">
        <v>8616</v>
      </c>
      <c r="M33" s="409">
        <v>636</v>
      </c>
      <c r="N33" s="406">
        <v>7.4</v>
      </c>
      <c r="O33" s="406">
        <v>13.6</v>
      </c>
    </row>
    <row r="34" spans="1:15" s="299" customFormat="1" ht="13.5" customHeight="1">
      <c r="A34" s="33" t="s">
        <v>1762</v>
      </c>
      <c r="B34" s="285">
        <v>400</v>
      </c>
      <c r="C34" s="21" t="s">
        <v>1705</v>
      </c>
      <c r="D34" s="33">
        <v>15</v>
      </c>
      <c r="E34" s="34">
        <v>108.4</v>
      </c>
      <c r="F34" s="287">
        <v>200</v>
      </c>
      <c r="G34" s="287">
        <v>200</v>
      </c>
      <c r="H34" s="287">
        <v>9</v>
      </c>
      <c r="I34" s="287">
        <v>15</v>
      </c>
      <c r="J34" s="34">
        <v>18</v>
      </c>
      <c r="K34" s="36">
        <v>138.1</v>
      </c>
      <c r="L34" s="35">
        <v>9628</v>
      </c>
      <c r="M34" s="38">
        <v>656</v>
      </c>
      <c r="N34" s="36">
        <v>6.8</v>
      </c>
      <c r="O34" s="287">
        <v>14.7</v>
      </c>
    </row>
    <row r="35" spans="1:15" s="551" customFormat="1" ht="13.5" customHeight="1">
      <c r="A35" s="404" t="s">
        <v>1763</v>
      </c>
      <c r="B35" s="534">
        <v>410</v>
      </c>
      <c r="C35" s="398" t="s">
        <v>1705</v>
      </c>
      <c r="D35" s="404">
        <v>10</v>
      </c>
      <c r="E35" s="405">
        <v>135.19999999999999</v>
      </c>
      <c r="F35" s="406">
        <v>220</v>
      </c>
      <c r="G35" s="406">
        <v>206</v>
      </c>
      <c r="H35" s="406">
        <v>15</v>
      </c>
      <c r="I35" s="406">
        <v>25</v>
      </c>
      <c r="J35" s="405">
        <v>18</v>
      </c>
      <c r="K35" s="406">
        <v>172.3</v>
      </c>
      <c r="L35" s="408">
        <v>14777</v>
      </c>
      <c r="M35" s="409">
        <v>1076</v>
      </c>
      <c r="N35" s="406">
        <v>9.3000000000000007</v>
      </c>
      <c r="O35" s="406">
        <v>13.7</v>
      </c>
    </row>
    <row r="36" spans="1:15" ht="13.5" customHeight="1">
      <c r="A36" s="33" t="s">
        <v>1763</v>
      </c>
      <c r="B36" s="285">
        <v>410</v>
      </c>
      <c r="C36" s="21" t="s">
        <v>1705</v>
      </c>
      <c r="D36" s="33">
        <v>15</v>
      </c>
      <c r="E36" s="34">
        <v>151.30000000000001</v>
      </c>
      <c r="F36" s="287">
        <v>220</v>
      </c>
      <c r="G36" s="287">
        <v>206</v>
      </c>
      <c r="H36" s="287">
        <v>15</v>
      </c>
      <c r="I36" s="287">
        <v>25</v>
      </c>
      <c r="J36" s="34">
        <v>18</v>
      </c>
      <c r="K36" s="36">
        <v>192.8</v>
      </c>
      <c r="L36" s="35">
        <v>16436</v>
      </c>
      <c r="M36" s="38">
        <v>1114</v>
      </c>
      <c r="N36" s="36">
        <v>8.8000000000000007</v>
      </c>
      <c r="O36" s="287">
        <v>14.7</v>
      </c>
    </row>
    <row r="37" spans="1:15" s="551" customFormat="1" ht="13.5" customHeight="1">
      <c r="A37" s="404" t="s">
        <v>1763</v>
      </c>
      <c r="B37" s="534">
        <v>410</v>
      </c>
      <c r="C37" s="398" t="s">
        <v>1705</v>
      </c>
      <c r="D37" s="404">
        <v>20</v>
      </c>
      <c r="E37" s="405">
        <v>167.4</v>
      </c>
      <c r="F37" s="406">
        <v>220</v>
      </c>
      <c r="G37" s="406">
        <v>206</v>
      </c>
      <c r="H37" s="406">
        <v>15</v>
      </c>
      <c r="I37" s="406">
        <v>25</v>
      </c>
      <c r="J37" s="405">
        <v>18</v>
      </c>
      <c r="K37" s="406">
        <v>213.3</v>
      </c>
      <c r="L37" s="408">
        <v>17937</v>
      </c>
      <c r="M37" s="409">
        <v>1149</v>
      </c>
      <c r="N37" s="406">
        <v>8.4</v>
      </c>
      <c r="O37" s="406">
        <v>15.6</v>
      </c>
    </row>
    <row r="38" spans="1:15" ht="13.5" customHeight="1">
      <c r="A38" s="33" t="s">
        <v>1763</v>
      </c>
      <c r="B38" s="285">
        <v>410</v>
      </c>
      <c r="C38" s="21" t="s">
        <v>1705</v>
      </c>
      <c r="D38" s="33">
        <v>25</v>
      </c>
      <c r="E38" s="34">
        <v>183.5</v>
      </c>
      <c r="F38" s="287">
        <v>220</v>
      </c>
      <c r="G38" s="287">
        <v>206</v>
      </c>
      <c r="H38" s="287">
        <v>15</v>
      </c>
      <c r="I38" s="287">
        <v>25</v>
      </c>
      <c r="J38" s="34">
        <v>18</v>
      </c>
      <c r="K38" s="36">
        <v>233.8</v>
      </c>
      <c r="L38" s="35">
        <v>19333</v>
      </c>
      <c r="M38" s="38">
        <v>1181</v>
      </c>
      <c r="N38" s="36">
        <v>8.1</v>
      </c>
      <c r="O38" s="287">
        <v>16.399999999999999</v>
      </c>
    </row>
    <row r="39" spans="1:15" s="551" customFormat="1" ht="13.5" customHeight="1">
      <c r="A39" s="404" t="s">
        <v>1763</v>
      </c>
      <c r="B39" s="534">
        <v>410</v>
      </c>
      <c r="C39" s="398" t="s">
        <v>1705</v>
      </c>
      <c r="D39" s="404">
        <v>30</v>
      </c>
      <c r="E39" s="405">
        <v>199.6</v>
      </c>
      <c r="F39" s="406">
        <v>220</v>
      </c>
      <c r="G39" s="406">
        <v>206</v>
      </c>
      <c r="H39" s="406">
        <v>15</v>
      </c>
      <c r="I39" s="406">
        <v>25</v>
      </c>
      <c r="J39" s="405">
        <v>18</v>
      </c>
      <c r="K39" s="406">
        <v>254.3</v>
      </c>
      <c r="L39" s="408">
        <v>20656</v>
      </c>
      <c r="M39" s="409">
        <v>1212</v>
      </c>
      <c r="N39" s="406">
        <v>8</v>
      </c>
      <c r="O39" s="406">
        <v>17</v>
      </c>
    </row>
    <row r="40" spans="1:15" ht="13.5" customHeight="1">
      <c r="A40" s="33"/>
      <c r="B40" s="285"/>
      <c r="C40" s="21"/>
      <c r="D40" s="33"/>
      <c r="E40" s="34"/>
      <c r="F40" s="287"/>
      <c r="G40" s="287"/>
      <c r="H40" s="287"/>
      <c r="I40" s="287"/>
      <c r="J40" s="34"/>
      <c r="K40" s="36"/>
      <c r="L40" s="35"/>
      <c r="M40" s="38"/>
      <c r="N40" s="36"/>
      <c r="O40" s="287"/>
    </row>
    <row r="41" spans="1:15" s="434" customFormat="1" ht="13.5" customHeight="1">
      <c r="A41" s="404" t="s">
        <v>1764</v>
      </c>
      <c r="B41" s="534">
        <v>420</v>
      </c>
      <c r="C41" s="398" t="s">
        <v>1705</v>
      </c>
      <c r="D41" s="404">
        <v>10</v>
      </c>
      <c r="E41" s="405">
        <v>104.4</v>
      </c>
      <c r="F41" s="406">
        <v>220</v>
      </c>
      <c r="G41" s="406">
        <v>220</v>
      </c>
      <c r="H41" s="406">
        <v>9.5</v>
      </c>
      <c r="I41" s="406">
        <v>16</v>
      </c>
      <c r="J41" s="405">
        <v>18</v>
      </c>
      <c r="K41" s="406">
        <v>133</v>
      </c>
      <c r="L41" s="408">
        <v>11895</v>
      </c>
      <c r="M41" s="409">
        <v>813</v>
      </c>
      <c r="N41" s="406">
        <v>8.4</v>
      </c>
      <c r="O41" s="406">
        <v>14.6</v>
      </c>
    </row>
    <row r="42" spans="1:15" s="299" customFormat="1" ht="13.5" customHeight="1">
      <c r="A42" s="33" t="s">
        <v>1764</v>
      </c>
      <c r="B42" s="285">
        <v>420</v>
      </c>
      <c r="C42" s="21" t="s">
        <v>1705</v>
      </c>
      <c r="D42" s="33">
        <v>15</v>
      </c>
      <c r="E42" s="34">
        <v>120.9</v>
      </c>
      <c r="F42" s="287">
        <v>220</v>
      </c>
      <c r="G42" s="287">
        <v>220</v>
      </c>
      <c r="H42" s="287">
        <v>9.5</v>
      </c>
      <c r="I42" s="287">
        <v>16</v>
      </c>
      <c r="J42" s="34">
        <v>18</v>
      </c>
      <c r="K42" s="36">
        <v>154</v>
      </c>
      <c r="L42" s="35">
        <v>13243</v>
      </c>
      <c r="M42" s="38">
        <v>838</v>
      </c>
      <c r="N42" s="36">
        <v>7.7</v>
      </c>
      <c r="O42" s="287">
        <v>15.8</v>
      </c>
    </row>
    <row r="43" spans="1:15" s="434" customFormat="1" ht="13.5" customHeight="1">
      <c r="A43" s="404" t="s">
        <v>1764</v>
      </c>
      <c r="B43" s="534">
        <v>420</v>
      </c>
      <c r="C43" s="398" t="s">
        <v>1705</v>
      </c>
      <c r="D43" s="404">
        <v>20</v>
      </c>
      <c r="E43" s="405">
        <v>137.4</v>
      </c>
      <c r="F43" s="406">
        <v>220</v>
      </c>
      <c r="G43" s="406">
        <v>220</v>
      </c>
      <c r="H43" s="406">
        <v>9.5</v>
      </c>
      <c r="I43" s="406">
        <v>16</v>
      </c>
      <c r="J43" s="405">
        <v>18</v>
      </c>
      <c r="K43" s="406">
        <v>175</v>
      </c>
      <c r="L43" s="408">
        <v>14410</v>
      </c>
      <c r="M43" s="409">
        <v>860</v>
      </c>
      <c r="N43" s="406">
        <v>7.2</v>
      </c>
      <c r="O43" s="406">
        <v>16.8</v>
      </c>
    </row>
    <row r="44" spans="1:15" s="299" customFormat="1" ht="13.5" customHeight="1">
      <c r="A44" s="33" t="s">
        <v>1765</v>
      </c>
      <c r="B44" s="285">
        <v>430</v>
      </c>
      <c r="C44" s="21" t="s">
        <v>1705</v>
      </c>
      <c r="D44" s="33">
        <v>10</v>
      </c>
      <c r="E44" s="34">
        <v>151.1</v>
      </c>
      <c r="F44" s="287">
        <v>240</v>
      </c>
      <c r="G44" s="287">
        <v>226</v>
      </c>
      <c r="H44" s="287">
        <v>15.5</v>
      </c>
      <c r="I44" s="287">
        <v>26</v>
      </c>
      <c r="J44" s="34">
        <v>18</v>
      </c>
      <c r="K44" s="36">
        <v>192.4</v>
      </c>
      <c r="L44" s="35">
        <v>19826</v>
      </c>
      <c r="M44" s="38">
        <v>1340</v>
      </c>
      <c r="N44" s="36">
        <v>10.199999999999999</v>
      </c>
      <c r="O44" s="287">
        <v>14.8</v>
      </c>
    </row>
    <row r="45" spans="1:15" s="551" customFormat="1" ht="13.5" customHeight="1">
      <c r="A45" s="404" t="s">
        <v>1765</v>
      </c>
      <c r="B45" s="534">
        <v>430</v>
      </c>
      <c r="C45" s="398" t="s">
        <v>1705</v>
      </c>
      <c r="D45" s="404">
        <v>15</v>
      </c>
      <c r="E45" s="405">
        <v>167.9</v>
      </c>
      <c r="F45" s="406">
        <v>240</v>
      </c>
      <c r="G45" s="406">
        <v>226</v>
      </c>
      <c r="H45" s="406">
        <v>15.5</v>
      </c>
      <c r="I45" s="406">
        <v>26</v>
      </c>
      <c r="J45" s="405">
        <v>18</v>
      </c>
      <c r="K45" s="406">
        <v>213.9</v>
      </c>
      <c r="L45" s="408">
        <v>21941</v>
      </c>
      <c r="M45" s="409">
        <v>1385</v>
      </c>
      <c r="N45" s="406">
        <v>9.6999999999999993</v>
      </c>
      <c r="O45" s="406">
        <v>15.8</v>
      </c>
    </row>
    <row r="46" spans="1:15" ht="13.5" customHeight="1">
      <c r="A46" s="33" t="s">
        <v>1765</v>
      </c>
      <c r="B46" s="285">
        <v>430</v>
      </c>
      <c r="C46" s="21" t="s">
        <v>1705</v>
      </c>
      <c r="D46" s="33">
        <v>20</v>
      </c>
      <c r="E46" s="34">
        <v>184.8</v>
      </c>
      <c r="F46" s="287">
        <v>240</v>
      </c>
      <c r="G46" s="287">
        <v>226</v>
      </c>
      <c r="H46" s="287">
        <v>15.5</v>
      </c>
      <c r="I46" s="287">
        <v>26</v>
      </c>
      <c r="J46" s="34">
        <v>18</v>
      </c>
      <c r="K46" s="36">
        <v>235.4</v>
      </c>
      <c r="L46" s="35">
        <v>23859</v>
      </c>
      <c r="M46" s="38">
        <v>1425</v>
      </c>
      <c r="N46" s="36">
        <v>9.3000000000000007</v>
      </c>
      <c r="O46" s="287">
        <v>16.7</v>
      </c>
    </row>
    <row r="47" spans="1:15" s="434" customFormat="1" ht="13.5" customHeight="1">
      <c r="A47" s="404" t="s">
        <v>1765</v>
      </c>
      <c r="B47" s="534">
        <v>430</v>
      </c>
      <c r="C47" s="398" t="s">
        <v>1705</v>
      </c>
      <c r="D47" s="404">
        <v>25</v>
      </c>
      <c r="E47" s="405">
        <v>201.7</v>
      </c>
      <c r="F47" s="406">
        <v>240</v>
      </c>
      <c r="G47" s="406">
        <v>226</v>
      </c>
      <c r="H47" s="406">
        <v>15.5</v>
      </c>
      <c r="I47" s="406">
        <v>26</v>
      </c>
      <c r="J47" s="405">
        <v>18</v>
      </c>
      <c r="K47" s="406">
        <v>256.89999999999998</v>
      </c>
      <c r="L47" s="408">
        <v>25638</v>
      </c>
      <c r="M47" s="409">
        <v>1461</v>
      </c>
      <c r="N47" s="406">
        <v>9</v>
      </c>
      <c r="O47" s="406">
        <v>17.5</v>
      </c>
    </row>
    <row r="48" spans="1:15" s="299" customFormat="1" ht="13.5" customHeight="1">
      <c r="A48" s="33" t="s">
        <v>1765</v>
      </c>
      <c r="B48" s="285">
        <v>430</v>
      </c>
      <c r="C48" s="21" t="s">
        <v>1705</v>
      </c>
      <c r="D48" s="33">
        <v>30</v>
      </c>
      <c r="E48" s="34">
        <v>218.6</v>
      </c>
      <c r="F48" s="287">
        <v>240</v>
      </c>
      <c r="G48" s="287">
        <v>226</v>
      </c>
      <c r="H48" s="287">
        <v>15.5</v>
      </c>
      <c r="I48" s="287">
        <v>26</v>
      </c>
      <c r="J48" s="34">
        <v>18</v>
      </c>
      <c r="K48" s="36">
        <v>278.39999999999998</v>
      </c>
      <c r="L48" s="35">
        <v>27320</v>
      </c>
      <c r="M48" s="38">
        <v>1497</v>
      </c>
      <c r="N48" s="36">
        <v>8.6999999999999993</v>
      </c>
      <c r="O48" s="287">
        <v>18.3</v>
      </c>
    </row>
    <row r="49" spans="1:15" ht="13.5" customHeight="1">
      <c r="A49" s="33"/>
      <c r="B49" s="285"/>
      <c r="C49" s="21"/>
      <c r="D49" s="33"/>
      <c r="E49" s="34"/>
      <c r="F49" s="287"/>
      <c r="G49" s="287"/>
      <c r="H49" s="287"/>
      <c r="I49" s="287"/>
      <c r="J49" s="34"/>
      <c r="K49" s="36"/>
      <c r="L49" s="35"/>
      <c r="M49" s="38"/>
      <c r="N49" s="36"/>
      <c r="O49" s="287"/>
    </row>
    <row r="50" spans="1:15" s="551" customFormat="1" ht="13.5" customHeight="1">
      <c r="A50" s="404" t="s">
        <v>1766</v>
      </c>
      <c r="B50" s="534">
        <v>440</v>
      </c>
      <c r="C50" s="398" t="s">
        <v>1705</v>
      </c>
      <c r="D50" s="404">
        <v>10</v>
      </c>
      <c r="E50" s="405">
        <v>117.7</v>
      </c>
      <c r="F50" s="406">
        <v>240</v>
      </c>
      <c r="G50" s="406">
        <v>240</v>
      </c>
      <c r="H50" s="406">
        <v>10</v>
      </c>
      <c r="I50" s="406">
        <v>17</v>
      </c>
      <c r="J50" s="405">
        <v>21</v>
      </c>
      <c r="K50" s="406">
        <v>150</v>
      </c>
      <c r="L50" s="408">
        <v>16121</v>
      </c>
      <c r="M50" s="409">
        <v>1029</v>
      </c>
      <c r="N50" s="406">
        <v>9.3000000000000007</v>
      </c>
      <c r="O50" s="406">
        <v>15.7</v>
      </c>
    </row>
    <row r="51" spans="1:15" ht="13.5" customHeight="1">
      <c r="A51" s="33" t="s">
        <v>1766</v>
      </c>
      <c r="B51" s="285">
        <v>440</v>
      </c>
      <c r="C51" s="21" t="s">
        <v>1705</v>
      </c>
      <c r="D51" s="33">
        <v>15</v>
      </c>
      <c r="E51" s="34">
        <v>135</v>
      </c>
      <c r="F51" s="287">
        <v>240</v>
      </c>
      <c r="G51" s="287">
        <v>240</v>
      </c>
      <c r="H51" s="287">
        <v>10</v>
      </c>
      <c r="I51" s="287">
        <v>17</v>
      </c>
      <c r="J51" s="34">
        <v>21</v>
      </c>
      <c r="K51" s="36">
        <v>172</v>
      </c>
      <c r="L51" s="35">
        <v>17883</v>
      </c>
      <c r="M51" s="38">
        <v>1059</v>
      </c>
      <c r="N51" s="36">
        <v>8.6</v>
      </c>
      <c r="O51" s="287">
        <v>16.899999999999999</v>
      </c>
    </row>
    <row r="52" spans="1:15" s="551" customFormat="1" ht="13.5" customHeight="1">
      <c r="A52" s="404" t="s">
        <v>1766</v>
      </c>
      <c r="B52" s="534">
        <v>440</v>
      </c>
      <c r="C52" s="398" t="s">
        <v>1705</v>
      </c>
      <c r="D52" s="404">
        <v>20</v>
      </c>
      <c r="E52" s="405">
        <v>152.30000000000001</v>
      </c>
      <c r="F52" s="406">
        <v>240</v>
      </c>
      <c r="G52" s="406">
        <v>240</v>
      </c>
      <c r="H52" s="406">
        <v>10</v>
      </c>
      <c r="I52" s="406">
        <v>17</v>
      </c>
      <c r="J52" s="405">
        <v>21</v>
      </c>
      <c r="K52" s="406">
        <v>194</v>
      </c>
      <c r="L52" s="408">
        <v>19414</v>
      </c>
      <c r="M52" s="409">
        <v>1085</v>
      </c>
      <c r="N52" s="406">
        <v>8.1</v>
      </c>
      <c r="O52" s="406">
        <v>17.899999999999999</v>
      </c>
    </row>
    <row r="53" spans="1:15" ht="13.5" customHeight="1">
      <c r="A53" s="33" t="s">
        <v>1767</v>
      </c>
      <c r="B53" s="285">
        <v>450</v>
      </c>
      <c r="C53" s="21" t="s">
        <v>1705</v>
      </c>
      <c r="D53" s="33">
        <v>10</v>
      </c>
      <c r="E53" s="34">
        <v>192</v>
      </c>
      <c r="F53" s="287">
        <v>270</v>
      </c>
      <c r="G53" s="287">
        <v>248</v>
      </c>
      <c r="H53" s="287">
        <v>18</v>
      </c>
      <c r="I53" s="287">
        <v>32</v>
      </c>
      <c r="J53" s="34">
        <v>21</v>
      </c>
      <c r="K53" s="36">
        <v>244.6</v>
      </c>
      <c r="L53" s="35">
        <v>31491</v>
      </c>
      <c r="M53" s="38">
        <v>1959</v>
      </c>
      <c r="N53" s="36">
        <v>11.9</v>
      </c>
      <c r="O53" s="287">
        <v>16.100000000000001</v>
      </c>
    </row>
    <row r="54" spans="1:15" s="434" customFormat="1" ht="13.5" customHeight="1">
      <c r="A54" s="404" t="s">
        <v>1767</v>
      </c>
      <c r="B54" s="534">
        <v>450</v>
      </c>
      <c r="C54" s="398" t="s">
        <v>1705</v>
      </c>
      <c r="D54" s="404">
        <v>15</v>
      </c>
      <c r="E54" s="405">
        <v>209.7</v>
      </c>
      <c r="F54" s="406">
        <v>270</v>
      </c>
      <c r="G54" s="406">
        <v>248</v>
      </c>
      <c r="H54" s="406">
        <v>18</v>
      </c>
      <c r="I54" s="406">
        <v>32</v>
      </c>
      <c r="J54" s="405">
        <v>21</v>
      </c>
      <c r="K54" s="406">
        <v>267.10000000000002</v>
      </c>
      <c r="L54" s="408">
        <v>34545</v>
      </c>
      <c r="M54" s="409">
        <v>2020</v>
      </c>
      <c r="N54" s="406">
        <v>11.4</v>
      </c>
      <c r="O54" s="406">
        <v>17.100000000000001</v>
      </c>
    </row>
    <row r="55" spans="1:15" s="299" customFormat="1" ht="13.5" customHeight="1">
      <c r="A55" s="33" t="s">
        <v>1767</v>
      </c>
      <c r="B55" s="285">
        <v>450</v>
      </c>
      <c r="C55" s="21" t="s">
        <v>1705</v>
      </c>
      <c r="D55" s="33">
        <v>20</v>
      </c>
      <c r="E55" s="34">
        <v>227.3</v>
      </c>
      <c r="F55" s="287">
        <v>270</v>
      </c>
      <c r="G55" s="287">
        <v>248</v>
      </c>
      <c r="H55" s="287">
        <v>18</v>
      </c>
      <c r="I55" s="287">
        <v>32</v>
      </c>
      <c r="J55" s="34">
        <v>21</v>
      </c>
      <c r="K55" s="36">
        <v>289.60000000000002</v>
      </c>
      <c r="L55" s="35">
        <v>37361</v>
      </c>
      <c r="M55" s="38">
        <v>2075</v>
      </c>
      <c r="N55" s="36">
        <v>11</v>
      </c>
      <c r="O55" s="287">
        <v>18</v>
      </c>
    </row>
    <row r="56" spans="1:15" s="434" customFormat="1" ht="13.5" customHeight="1">
      <c r="A56" s="404" t="s">
        <v>1767</v>
      </c>
      <c r="B56" s="534">
        <v>450</v>
      </c>
      <c r="C56" s="398" t="s">
        <v>1705</v>
      </c>
      <c r="D56" s="404">
        <v>25</v>
      </c>
      <c r="E56" s="405">
        <v>245</v>
      </c>
      <c r="F56" s="406">
        <v>270</v>
      </c>
      <c r="G56" s="406">
        <v>248</v>
      </c>
      <c r="H56" s="406">
        <v>18</v>
      </c>
      <c r="I56" s="406">
        <v>32</v>
      </c>
      <c r="J56" s="405">
        <v>21</v>
      </c>
      <c r="K56" s="406">
        <v>312.10000000000002</v>
      </c>
      <c r="L56" s="408">
        <v>40001</v>
      </c>
      <c r="M56" s="409">
        <v>2126</v>
      </c>
      <c r="N56" s="406">
        <v>10.7</v>
      </c>
      <c r="O56" s="406">
        <v>18.8</v>
      </c>
    </row>
    <row r="57" spans="1:15" s="299" customFormat="1" ht="13.5" customHeight="1">
      <c r="A57" s="33" t="s">
        <v>1767</v>
      </c>
      <c r="B57" s="285">
        <v>450</v>
      </c>
      <c r="C57" s="21" t="s">
        <v>1705</v>
      </c>
      <c r="D57" s="33">
        <v>30</v>
      </c>
      <c r="E57" s="34">
        <v>262.60000000000002</v>
      </c>
      <c r="F57" s="287">
        <v>270</v>
      </c>
      <c r="G57" s="287">
        <v>248</v>
      </c>
      <c r="H57" s="287">
        <v>18</v>
      </c>
      <c r="I57" s="287">
        <v>32</v>
      </c>
      <c r="J57" s="34">
        <v>21</v>
      </c>
      <c r="K57" s="36">
        <v>334.6</v>
      </c>
      <c r="L57" s="35">
        <v>42510</v>
      </c>
      <c r="M57" s="38">
        <v>2174</v>
      </c>
      <c r="N57" s="36">
        <v>10.4</v>
      </c>
      <c r="O57" s="287">
        <v>19.600000000000001</v>
      </c>
    </row>
    <row r="58" spans="1:15" s="434" customFormat="1" ht="13.5" customHeight="1">
      <c r="A58" s="404" t="s">
        <v>1767</v>
      </c>
      <c r="B58" s="534">
        <v>450</v>
      </c>
      <c r="C58" s="398" t="s">
        <v>1705</v>
      </c>
      <c r="D58" s="404">
        <v>35</v>
      </c>
      <c r="E58" s="405">
        <v>280.3</v>
      </c>
      <c r="F58" s="406">
        <v>270</v>
      </c>
      <c r="G58" s="406">
        <v>248</v>
      </c>
      <c r="H58" s="406">
        <v>18</v>
      </c>
      <c r="I58" s="406">
        <v>32</v>
      </c>
      <c r="J58" s="405">
        <v>21</v>
      </c>
      <c r="K58" s="406">
        <v>357.1</v>
      </c>
      <c r="L58" s="408">
        <v>44923</v>
      </c>
      <c r="M58" s="409">
        <v>2221</v>
      </c>
      <c r="N58" s="406">
        <v>10.3</v>
      </c>
      <c r="O58" s="406">
        <v>20.2</v>
      </c>
    </row>
    <row r="59" spans="1:15" ht="13.5" customHeight="1">
      <c r="A59" s="33" t="s">
        <v>1767</v>
      </c>
      <c r="B59" s="285">
        <v>450</v>
      </c>
      <c r="C59" s="21" t="s">
        <v>1705</v>
      </c>
      <c r="D59" s="33">
        <v>40</v>
      </c>
      <c r="E59" s="34">
        <v>298</v>
      </c>
      <c r="F59" s="287">
        <v>270</v>
      </c>
      <c r="G59" s="287">
        <v>248</v>
      </c>
      <c r="H59" s="287">
        <v>18</v>
      </c>
      <c r="I59" s="287">
        <v>32</v>
      </c>
      <c r="J59" s="34">
        <v>21</v>
      </c>
      <c r="K59" s="36">
        <v>379.6</v>
      </c>
      <c r="L59" s="35">
        <v>47268</v>
      </c>
      <c r="M59" s="38">
        <v>2267</v>
      </c>
      <c r="N59" s="36">
        <v>10.1</v>
      </c>
      <c r="O59" s="287">
        <v>20.9</v>
      </c>
    </row>
    <row r="60" spans="1:15" ht="13.5" customHeight="1">
      <c r="A60" s="33"/>
      <c r="B60" s="285"/>
      <c r="C60" s="21"/>
      <c r="D60" s="33"/>
      <c r="E60" s="34"/>
      <c r="F60" s="287"/>
      <c r="G60" s="287"/>
      <c r="H60" s="287"/>
      <c r="I60" s="287"/>
      <c r="J60" s="34"/>
      <c r="K60" s="36"/>
      <c r="L60" s="35"/>
      <c r="M60" s="38"/>
      <c r="N60" s="36"/>
      <c r="O60" s="287"/>
    </row>
    <row r="61" spans="1:15" s="434" customFormat="1" ht="13.5" customHeight="1">
      <c r="A61" s="404" t="s">
        <v>1768</v>
      </c>
      <c r="B61" s="534">
        <v>460</v>
      </c>
      <c r="C61" s="398" t="s">
        <v>1705</v>
      </c>
      <c r="D61" s="404">
        <v>10</v>
      </c>
      <c r="E61" s="405">
        <v>129.1</v>
      </c>
      <c r="F61" s="406">
        <v>260</v>
      </c>
      <c r="G61" s="406">
        <v>260</v>
      </c>
      <c r="H61" s="406">
        <v>10</v>
      </c>
      <c r="I61" s="406">
        <v>17.5</v>
      </c>
      <c r="J61" s="405">
        <v>24</v>
      </c>
      <c r="K61" s="406">
        <v>164.4</v>
      </c>
      <c r="L61" s="408">
        <v>20962</v>
      </c>
      <c r="M61" s="409">
        <v>1249</v>
      </c>
      <c r="N61" s="406">
        <v>10.199999999999999</v>
      </c>
      <c r="O61" s="406">
        <v>16.8</v>
      </c>
    </row>
    <row r="62" spans="1:15" s="299" customFormat="1" ht="13.5" customHeight="1">
      <c r="A62" s="33" t="s">
        <v>1768</v>
      </c>
      <c r="B62" s="285">
        <v>460</v>
      </c>
      <c r="C62" s="21" t="s">
        <v>1705</v>
      </c>
      <c r="D62" s="33">
        <v>15</v>
      </c>
      <c r="E62" s="34">
        <v>147.1</v>
      </c>
      <c r="F62" s="287">
        <v>260</v>
      </c>
      <c r="G62" s="287">
        <v>260</v>
      </c>
      <c r="H62" s="287">
        <v>10</v>
      </c>
      <c r="I62" s="287">
        <v>17.5</v>
      </c>
      <c r="J62" s="34">
        <v>24</v>
      </c>
      <c r="K62" s="36">
        <v>187.4</v>
      </c>
      <c r="L62" s="35">
        <v>23176</v>
      </c>
      <c r="M62" s="38">
        <v>1283</v>
      </c>
      <c r="N62" s="36">
        <v>9.4</v>
      </c>
      <c r="O62" s="287">
        <v>18.100000000000001</v>
      </c>
    </row>
    <row r="63" spans="1:15" s="434" customFormat="1" ht="13.5" customHeight="1">
      <c r="A63" s="404" t="s">
        <v>1768</v>
      </c>
      <c r="B63" s="534">
        <v>460</v>
      </c>
      <c r="C63" s="398" t="s">
        <v>1705</v>
      </c>
      <c r="D63" s="404">
        <v>20</v>
      </c>
      <c r="E63" s="405">
        <v>165.2</v>
      </c>
      <c r="F63" s="406">
        <v>260</v>
      </c>
      <c r="G63" s="406">
        <v>260</v>
      </c>
      <c r="H63" s="406">
        <v>10</v>
      </c>
      <c r="I63" s="406">
        <v>17.5</v>
      </c>
      <c r="J63" s="405">
        <v>24</v>
      </c>
      <c r="K63" s="406">
        <v>210.4</v>
      </c>
      <c r="L63" s="408">
        <v>25099</v>
      </c>
      <c r="M63" s="409">
        <v>1313</v>
      </c>
      <c r="N63" s="406">
        <v>8.9</v>
      </c>
      <c r="O63" s="406">
        <v>19.100000000000001</v>
      </c>
    </row>
    <row r="64" spans="1:15" ht="13.5" customHeight="1">
      <c r="A64" s="33" t="s">
        <v>1769</v>
      </c>
      <c r="B64" s="285">
        <v>470</v>
      </c>
      <c r="C64" s="21" t="s">
        <v>1705</v>
      </c>
      <c r="D64" s="33">
        <v>10</v>
      </c>
      <c r="E64" s="34">
        <v>209.3</v>
      </c>
      <c r="F64" s="287">
        <v>290</v>
      </c>
      <c r="G64" s="287">
        <v>268</v>
      </c>
      <c r="H64" s="287">
        <v>18</v>
      </c>
      <c r="I64" s="287">
        <v>32.5</v>
      </c>
      <c r="J64" s="34">
        <v>24</v>
      </c>
      <c r="K64" s="36">
        <v>266.60000000000002</v>
      </c>
      <c r="L64" s="35">
        <v>40022</v>
      </c>
      <c r="M64" s="38">
        <v>2334</v>
      </c>
      <c r="N64" s="36">
        <v>12.9</v>
      </c>
      <c r="O64" s="287">
        <v>17.100000000000001</v>
      </c>
    </row>
    <row r="65" spans="1:15" s="551" customFormat="1" ht="13.5" customHeight="1">
      <c r="A65" s="404" t="s">
        <v>1769</v>
      </c>
      <c r="B65" s="534">
        <v>470</v>
      </c>
      <c r="C65" s="398" t="s">
        <v>1705</v>
      </c>
      <c r="D65" s="404">
        <v>15</v>
      </c>
      <c r="E65" s="405">
        <v>227.8</v>
      </c>
      <c r="F65" s="406">
        <v>290</v>
      </c>
      <c r="G65" s="406">
        <v>268</v>
      </c>
      <c r="H65" s="406">
        <v>18</v>
      </c>
      <c r="I65" s="406">
        <v>32.5</v>
      </c>
      <c r="J65" s="405">
        <v>24</v>
      </c>
      <c r="K65" s="406">
        <v>290.10000000000002</v>
      </c>
      <c r="L65" s="408">
        <v>43732</v>
      </c>
      <c r="M65" s="409">
        <v>2402</v>
      </c>
      <c r="N65" s="406">
        <v>12.3</v>
      </c>
      <c r="O65" s="406">
        <v>18.2</v>
      </c>
    </row>
    <row r="66" spans="1:15" ht="13.5" customHeight="1">
      <c r="A66" s="33" t="s">
        <v>1769</v>
      </c>
      <c r="B66" s="285">
        <v>470</v>
      </c>
      <c r="C66" s="21" t="s">
        <v>1705</v>
      </c>
      <c r="D66" s="33">
        <v>20</v>
      </c>
      <c r="E66" s="34">
        <v>246.2</v>
      </c>
      <c r="F66" s="287">
        <v>290</v>
      </c>
      <c r="G66" s="287">
        <v>268</v>
      </c>
      <c r="H66" s="287">
        <v>18</v>
      </c>
      <c r="I66" s="287">
        <v>32.5</v>
      </c>
      <c r="J66" s="34">
        <v>24</v>
      </c>
      <c r="K66" s="36">
        <v>313.60000000000002</v>
      </c>
      <c r="L66" s="35">
        <v>47153</v>
      </c>
      <c r="M66" s="38">
        <v>2463</v>
      </c>
      <c r="N66" s="36">
        <v>11.9</v>
      </c>
      <c r="O66" s="287">
        <v>19.100000000000001</v>
      </c>
    </row>
    <row r="67" spans="1:15" s="434" customFormat="1" ht="13.5" customHeight="1">
      <c r="A67" s="404" t="s">
        <v>1769</v>
      </c>
      <c r="B67" s="534">
        <v>470</v>
      </c>
      <c r="C67" s="398" t="s">
        <v>1705</v>
      </c>
      <c r="D67" s="404">
        <v>25</v>
      </c>
      <c r="E67" s="405">
        <v>264.7</v>
      </c>
      <c r="F67" s="406">
        <v>290</v>
      </c>
      <c r="G67" s="406">
        <v>268</v>
      </c>
      <c r="H67" s="406">
        <v>18</v>
      </c>
      <c r="I67" s="406">
        <v>32.5</v>
      </c>
      <c r="J67" s="405">
        <v>24</v>
      </c>
      <c r="K67" s="406">
        <v>337.1</v>
      </c>
      <c r="L67" s="408">
        <v>50357</v>
      </c>
      <c r="M67" s="409">
        <v>2519</v>
      </c>
      <c r="N67" s="406">
        <v>11.5</v>
      </c>
      <c r="O67" s="406">
        <v>20</v>
      </c>
    </row>
    <row r="68" spans="1:15" s="299" customFormat="1" ht="13.5" customHeight="1">
      <c r="A68" s="33" t="s">
        <v>1769</v>
      </c>
      <c r="B68" s="285">
        <v>470</v>
      </c>
      <c r="C68" s="21" t="s">
        <v>1705</v>
      </c>
      <c r="D68" s="33">
        <v>30</v>
      </c>
      <c r="E68" s="34">
        <v>283.10000000000002</v>
      </c>
      <c r="F68" s="287">
        <v>290</v>
      </c>
      <c r="G68" s="287">
        <v>268</v>
      </c>
      <c r="H68" s="287">
        <v>18</v>
      </c>
      <c r="I68" s="287">
        <v>32.5</v>
      </c>
      <c r="J68" s="34">
        <v>24</v>
      </c>
      <c r="K68" s="36">
        <v>360.6</v>
      </c>
      <c r="L68" s="35">
        <v>53396</v>
      </c>
      <c r="M68" s="38">
        <v>2573</v>
      </c>
      <c r="N68" s="36">
        <v>11.2</v>
      </c>
      <c r="O68" s="287">
        <v>20.8</v>
      </c>
    </row>
    <row r="69" spans="1:15" s="551" customFormat="1" ht="13.5" customHeight="1">
      <c r="A69" s="404" t="s">
        <v>1769</v>
      </c>
      <c r="B69" s="534">
        <v>470</v>
      </c>
      <c r="C69" s="398" t="s">
        <v>1705</v>
      </c>
      <c r="D69" s="404">
        <v>35</v>
      </c>
      <c r="E69" s="405">
        <v>301.60000000000002</v>
      </c>
      <c r="F69" s="406">
        <v>290</v>
      </c>
      <c r="G69" s="406">
        <v>268</v>
      </c>
      <c r="H69" s="406">
        <v>18</v>
      </c>
      <c r="I69" s="406">
        <v>32.5</v>
      </c>
      <c r="J69" s="405">
        <v>24</v>
      </c>
      <c r="K69" s="406">
        <v>384.1</v>
      </c>
      <c r="L69" s="408">
        <v>56312</v>
      </c>
      <c r="M69" s="409">
        <v>2624</v>
      </c>
      <c r="N69" s="406">
        <v>11</v>
      </c>
      <c r="O69" s="406">
        <v>21.5</v>
      </c>
    </row>
    <row r="70" spans="1:15" s="299" customFormat="1" ht="13.5" customHeight="1">
      <c r="A70" s="33" t="s">
        <v>1769</v>
      </c>
      <c r="B70" s="285">
        <v>470</v>
      </c>
      <c r="C70" s="21" t="s">
        <v>1705</v>
      </c>
      <c r="D70" s="33">
        <v>40</v>
      </c>
      <c r="E70" s="34">
        <v>320</v>
      </c>
      <c r="F70" s="287">
        <v>290</v>
      </c>
      <c r="G70" s="287">
        <v>268</v>
      </c>
      <c r="H70" s="287">
        <v>18</v>
      </c>
      <c r="I70" s="287">
        <v>32.5</v>
      </c>
      <c r="J70" s="34">
        <v>24</v>
      </c>
      <c r="K70" s="36">
        <v>407.6</v>
      </c>
      <c r="L70" s="35">
        <v>59136</v>
      </c>
      <c r="M70" s="38">
        <v>2675</v>
      </c>
      <c r="N70" s="36">
        <v>10.9</v>
      </c>
      <c r="O70" s="287">
        <v>22.1</v>
      </c>
    </row>
    <row r="71" spans="1:15" ht="13.5" customHeight="1">
      <c r="A71" s="33"/>
      <c r="B71" s="285"/>
      <c r="C71" s="21"/>
      <c r="D71" s="33"/>
      <c r="E71" s="34"/>
      <c r="F71" s="287"/>
      <c r="G71" s="287"/>
      <c r="H71" s="287"/>
      <c r="I71" s="287"/>
      <c r="J71" s="34"/>
      <c r="K71" s="36"/>
      <c r="L71" s="35"/>
      <c r="M71" s="38"/>
      <c r="N71" s="36"/>
      <c r="O71" s="287"/>
    </row>
    <row r="72" spans="1:15" s="434" customFormat="1" ht="13.5" customHeight="1">
      <c r="A72" s="404" t="s">
        <v>1770</v>
      </c>
      <c r="B72" s="534">
        <v>480</v>
      </c>
      <c r="C72" s="398" t="s">
        <v>1705</v>
      </c>
      <c r="D72" s="404">
        <v>10</v>
      </c>
      <c r="E72" s="405">
        <v>140.80000000000001</v>
      </c>
      <c r="F72" s="406">
        <v>280</v>
      </c>
      <c r="G72" s="406">
        <v>280</v>
      </c>
      <c r="H72" s="406">
        <v>10.5</v>
      </c>
      <c r="I72" s="406">
        <v>18</v>
      </c>
      <c r="J72" s="405">
        <v>24</v>
      </c>
      <c r="K72" s="406">
        <v>179.4</v>
      </c>
      <c r="L72" s="408">
        <v>26666</v>
      </c>
      <c r="M72" s="409">
        <v>1491</v>
      </c>
      <c r="N72" s="406">
        <v>11.1</v>
      </c>
      <c r="O72" s="406">
        <v>17.899999999999999</v>
      </c>
    </row>
    <row r="73" spans="1:15" s="299" customFormat="1" ht="13.5" customHeight="1">
      <c r="A73" s="33" t="s">
        <v>1770</v>
      </c>
      <c r="B73" s="285">
        <v>480</v>
      </c>
      <c r="C73" s="21" t="s">
        <v>1705</v>
      </c>
      <c r="D73" s="33">
        <v>15</v>
      </c>
      <c r="E73" s="34">
        <v>159.6</v>
      </c>
      <c r="F73" s="287">
        <v>280</v>
      </c>
      <c r="G73" s="287">
        <v>280</v>
      </c>
      <c r="H73" s="287">
        <v>10.5</v>
      </c>
      <c r="I73" s="287">
        <v>18</v>
      </c>
      <c r="J73" s="34">
        <v>24</v>
      </c>
      <c r="K73" s="36">
        <v>203.4</v>
      </c>
      <c r="L73" s="35">
        <v>29402</v>
      </c>
      <c r="M73" s="38">
        <v>1530</v>
      </c>
      <c r="N73" s="36">
        <v>10.3</v>
      </c>
      <c r="O73" s="287">
        <v>19.2</v>
      </c>
    </row>
    <row r="74" spans="1:15" s="434" customFormat="1" ht="13.5" customHeight="1">
      <c r="A74" s="404" t="s">
        <v>1770</v>
      </c>
      <c r="B74" s="534">
        <v>480</v>
      </c>
      <c r="C74" s="398" t="s">
        <v>1705</v>
      </c>
      <c r="D74" s="404">
        <v>20</v>
      </c>
      <c r="E74" s="405">
        <v>178.5</v>
      </c>
      <c r="F74" s="406">
        <v>280</v>
      </c>
      <c r="G74" s="406">
        <v>280</v>
      </c>
      <c r="H74" s="406">
        <v>10.5</v>
      </c>
      <c r="I74" s="406">
        <v>18</v>
      </c>
      <c r="J74" s="405">
        <v>24</v>
      </c>
      <c r="K74" s="406">
        <v>227.4</v>
      </c>
      <c r="L74" s="408">
        <v>31782</v>
      </c>
      <c r="M74" s="409">
        <v>1563</v>
      </c>
      <c r="N74" s="406">
        <v>9.6999999999999993</v>
      </c>
      <c r="O74" s="406">
        <v>20.3</v>
      </c>
    </row>
    <row r="75" spans="1:15" s="299" customFormat="1" ht="13.5" customHeight="1">
      <c r="A75" s="33" t="s">
        <v>1771</v>
      </c>
      <c r="B75" s="285">
        <v>490</v>
      </c>
      <c r="C75" s="21" t="s">
        <v>1705</v>
      </c>
      <c r="D75" s="33">
        <v>10</v>
      </c>
      <c r="E75" s="34">
        <v>227</v>
      </c>
      <c r="F75" s="287">
        <v>310</v>
      </c>
      <c r="G75" s="287">
        <v>288</v>
      </c>
      <c r="H75" s="287">
        <v>18.5</v>
      </c>
      <c r="I75" s="287">
        <v>33</v>
      </c>
      <c r="J75" s="34">
        <v>24</v>
      </c>
      <c r="K75" s="36">
        <v>289.2</v>
      </c>
      <c r="L75" s="35">
        <v>49970</v>
      </c>
      <c r="M75" s="38">
        <v>2744</v>
      </c>
      <c r="N75" s="36">
        <v>13.8</v>
      </c>
      <c r="O75" s="287">
        <v>18.2</v>
      </c>
    </row>
    <row r="76" spans="1:15" s="434" customFormat="1" ht="13.5" customHeight="1">
      <c r="A76" s="404" t="s">
        <v>1771</v>
      </c>
      <c r="B76" s="534">
        <v>490</v>
      </c>
      <c r="C76" s="398" t="s">
        <v>1705</v>
      </c>
      <c r="D76" s="404">
        <v>15</v>
      </c>
      <c r="E76" s="405">
        <v>246.2</v>
      </c>
      <c r="F76" s="406">
        <v>310</v>
      </c>
      <c r="G76" s="406">
        <v>288</v>
      </c>
      <c r="H76" s="406">
        <v>18.5</v>
      </c>
      <c r="I76" s="406">
        <v>33</v>
      </c>
      <c r="J76" s="405">
        <v>24</v>
      </c>
      <c r="K76" s="406">
        <v>313.7</v>
      </c>
      <c r="L76" s="408">
        <v>54422</v>
      </c>
      <c r="M76" s="409">
        <v>2819</v>
      </c>
      <c r="N76" s="406">
        <v>13.2</v>
      </c>
      <c r="O76" s="406">
        <v>19.3</v>
      </c>
    </row>
    <row r="77" spans="1:15" s="299" customFormat="1" ht="13.5" customHeight="1">
      <c r="A77" s="33" t="s">
        <v>1771</v>
      </c>
      <c r="B77" s="285">
        <v>490</v>
      </c>
      <c r="C77" s="21" t="s">
        <v>1705</v>
      </c>
      <c r="D77" s="33">
        <v>20</v>
      </c>
      <c r="E77" s="34">
        <v>265.5</v>
      </c>
      <c r="F77" s="287">
        <v>310</v>
      </c>
      <c r="G77" s="287">
        <v>288</v>
      </c>
      <c r="H77" s="287">
        <v>18.5</v>
      </c>
      <c r="I77" s="287">
        <v>33</v>
      </c>
      <c r="J77" s="34">
        <v>24</v>
      </c>
      <c r="K77" s="36">
        <v>338.2</v>
      </c>
      <c r="L77" s="35">
        <v>58528</v>
      </c>
      <c r="M77" s="38">
        <v>2886</v>
      </c>
      <c r="N77" s="36">
        <v>12.7</v>
      </c>
      <c r="O77" s="287">
        <v>20.3</v>
      </c>
    </row>
    <row r="78" spans="1:15" s="434" customFormat="1" ht="13.5" customHeight="1">
      <c r="A78" s="404" t="s">
        <v>1771</v>
      </c>
      <c r="B78" s="534">
        <v>490</v>
      </c>
      <c r="C78" s="398" t="s">
        <v>1705</v>
      </c>
      <c r="D78" s="404">
        <v>25</v>
      </c>
      <c r="E78" s="405">
        <v>284.7</v>
      </c>
      <c r="F78" s="406">
        <v>310</v>
      </c>
      <c r="G78" s="406">
        <v>288</v>
      </c>
      <c r="H78" s="406">
        <v>18.5</v>
      </c>
      <c r="I78" s="406">
        <v>33</v>
      </c>
      <c r="J78" s="405">
        <v>24</v>
      </c>
      <c r="K78" s="406">
        <v>362.7</v>
      </c>
      <c r="L78" s="408">
        <v>62371</v>
      </c>
      <c r="M78" s="409">
        <v>2948</v>
      </c>
      <c r="N78" s="406">
        <v>12.3</v>
      </c>
      <c r="O78" s="406">
        <v>21.2</v>
      </c>
    </row>
    <row r="79" spans="1:15" ht="13.5" customHeight="1">
      <c r="A79" s="33" t="s">
        <v>1771</v>
      </c>
      <c r="B79" s="285">
        <v>490</v>
      </c>
      <c r="C79" s="21" t="s">
        <v>1705</v>
      </c>
      <c r="D79" s="33">
        <v>30</v>
      </c>
      <c r="E79" s="34">
        <v>303.89999999999998</v>
      </c>
      <c r="F79" s="287">
        <v>310</v>
      </c>
      <c r="G79" s="287">
        <v>288</v>
      </c>
      <c r="H79" s="287">
        <v>18.5</v>
      </c>
      <c r="I79" s="287">
        <v>33</v>
      </c>
      <c r="J79" s="34">
        <v>24</v>
      </c>
      <c r="K79" s="36">
        <v>387.2</v>
      </c>
      <c r="L79" s="35">
        <v>66010</v>
      </c>
      <c r="M79" s="38">
        <v>3007</v>
      </c>
      <c r="N79" s="36">
        <v>12</v>
      </c>
      <c r="O79" s="287">
        <v>22</v>
      </c>
    </row>
    <row r="80" spans="1:15" s="551" customFormat="1" ht="13.5" customHeight="1">
      <c r="A80" s="404" t="s">
        <v>1771</v>
      </c>
      <c r="B80" s="534">
        <v>490</v>
      </c>
      <c r="C80" s="398" t="s">
        <v>1705</v>
      </c>
      <c r="D80" s="404">
        <v>35</v>
      </c>
      <c r="E80" s="405">
        <v>323.2</v>
      </c>
      <c r="F80" s="406">
        <v>310</v>
      </c>
      <c r="G80" s="406">
        <v>288</v>
      </c>
      <c r="H80" s="406">
        <v>18.5</v>
      </c>
      <c r="I80" s="406">
        <v>33</v>
      </c>
      <c r="J80" s="405">
        <v>24</v>
      </c>
      <c r="K80" s="406">
        <v>411.7</v>
      </c>
      <c r="L80" s="408">
        <v>69494</v>
      </c>
      <c r="M80" s="409">
        <v>3063</v>
      </c>
      <c r="N80" s="406">
        <v>11.8</v>
      </c>
      <c r="O80" s="406">
        <v>22.7</v>
      </c>
    </row>
    <row r="81" spans="1:15" s="299" customFormat="1" ht="13.5" customHeight="1">
      <c r="A81" s="33" t="s">
        <v>1771</v>
      </c>
      <c r="B81" s="285">
        <v>490</v>
      </c>
      <c r="C81" s="21" t="s">
        <v>1705</v>
      </c>
      <c r="D81" s="33">
        <v>40</v>
      </c>
      <c r="E81" s="34">
        <v>342.4</v>
      </c>
      <c r="F81" s="287">
        <v>310</v>
      </c>
      <c r="G81" s="287">
        <v>288</v>
      </c>
      <c r="H81" s="287">
        <v>18.5</v>
      </c>
      <c r="I81" s="287">
        <v>33</v>
      </c>
      <c r="J81" s="34">
        <v>24</v>
      </c>
      <c r="K81" s="36">
        <v>436.2</v>
      </c>
      <c r="L81" s="35">
        <v>72860</v>
      </c>
      <c r="M81" s="38">
        <v>3118</v>
      </c>
      <c r="N81" s="36">
        <v>11.6</v>
      </c>
      <c r="O81" s="287">
        <v>23.4</v>
      </c>
    </row>
    <row r="82" spans="1:15" ht="13.5" customHeight="1">
      <c r="A82" s="33"/>
      <c r="B82" s="285"/>
      <c r="C82" s="21"/>
      <c r="D82" s="33"/>
      <c r="E82" s="34"/>
      <c r="F82" s="287"/>
      <c r="G82" s="287"/>
      <c r="H82" s="287"/>
      <c r="I82" s="287"/>
      <c r="J82" s="34"/>
      <c r="K82" s="36"/>
      <c r="L82" s="35"/>
      <c r="M82" s="38"/>
      <c r="N82" s="36"/>
      <c r="O82" s="287"/>
    </row>
    <row r="83" spans="1:15" s="434" customFormat="1" ht="13.5" customHeight="1">
      <c r="A83" s="404" t="s">
        <v>1772</v>
      </c>
      <c r="B83" s="534">
        <v>500</v>
      </c>
      <c r="C83" s="398" t="s">
        <v>1705</v>
      </c>
      <c r="D83" s="404">
        <v>10</v>
      </c>
      <c r="E83" s="405">
        <v>156.30000000000001</v>
      </c>
      <c r="F83" s="406">
        <v>300</v>
      </c>
      <c r="G83" s="406">
        <v>300</v>
      </c>
      <c r="H83" s="406">
        <v>11</v>
      </c>
      <c r="I83" s="406">
        <v>19</v>
      </c>
      <c r="J83" s="405">
        <v>27</v>
      </c>
      <c r="K83" s="406">
        <v>199.1</v>
      </c>
      <c r="L83" s="408">
        <v>34165</v>
      </c>
      <c r="M83" s="409">
        <v>1808</v>
      </c>
      <c r="N83" s="406">
        <v>12.1</v>
      </c>
      <c r="O83" s="406">
        <v>18.899999999999999</v>
      </c>
    </row>
    <row r="84" spans="1:15" ht="13.5" customHeight="1">
      <c r="A84" s="33" t="s">
        <v>1772</v>
      </c>
      <c r="B84" s="285">
        <v>500</v>
      </c>
      <c r="C84" s="21" t="s">
        <v>1705</v>
      </c>
      <c r="D84" s="33">
        <v>15</v>
      </c>
      <c r="E84" s="34">
        <v>175.9</v>
      </c>
      <c r="F84" s="287">
        <v>300</v>
      </c>
      <c r="G84" s="287">
        <v>300</v>
      </c>
      <c r="H84" s="287">
        <v>11</v>
      </c>
      <c r="I84" s="287">
        <v>19</v>
      </c>
      <c r="J84" s="34">
        <v>27</v>
      </c>
      <c r="K84" s="36">
        <v>224.1</v>
      </c>
      <c r="L84" s="35">
        <v>37557</v>
      </c>
      <c r="M84" s="38">
        <v>1853</v>
      </c>
      <c r="N84" s="36">
        <v>11.2</v>
      </c>
      <c r="O84" s="287">
        <v>20.3</v>
      </c>
    </row>
    <row r="85" spans="1:15" s="551" customFormat="1" ht="13.5" customHeight="1">
      <c r="A85" s="404" t="s">
        <v>1772</v>
      </c>
      <c r="B85" s="534">
        <v>500</v>
      </c>
      <c r="C85" s="398" t="s">
        <v>1705</v>
      </c>
      <c r="D85" s="404">
        <v>20</v>
      </c>
      <c r="E85" s="405">
        <v>195.5</v>
      </c>
      <c r="F85" s="406">
        <v>300</v>
      </c>
      <c r="G85" s="406">
        <v>300</v>
      </c>
      <c r="H85" s="406">
        <v>11</v>
      </c>
      <c r="I85" s="406">
        <v>19</v>
      </c>
      <c r="J85" s="405">
        <v>27</v>
      </c>
      <c r="K85" s="406">
        <v>249.1</v>
      </c>
      <c r="L85" s="408">
        <v>40521</v>
      </c>
      <c r="M85" s="409">
        <v>1891</v>
      </c>
      <c r="N85" s="406">
        <v>10.6</v>
      </c>
      <c r="O85" s="406">
        <v>21.4</v>
      </c>
    </row>
    <row r="86" spans="1:15" ht="13.5" customHeight="1">
      <c r="A86" s="33" t="s">
        <v>1772</v>
      </c>
      <c r="B86" s="285">
        <v>500</v>
      </c>
      <c r="C86" s="21" t="s">
        <v>1705</v>
      </c>
      <c r="D86" s="33">
        <v>25</v>
      </c>
      <c r="E86" s="34">
        <v>215.2</v>
      </c>
      <c r="F86" s="287">
        <v>300</v>
      </c>
      <c r="G86" s="287">
        <v>300</v>
      </c>
      <c r="H86" s="287">
        <v>11</v>
      </c>
      <c r="I86" s="287">
        <v>19</v>
      </c>
      <c r="J86" s="34">
        <v>27</v>
      </c>
      <c r="K86" s="36">
        <v>274.10000000000002</v>
      </c>
      <c r="L86" s="35">
        <v>43185</v>
      </c>
      <c r="M86" s="38">
        <v>1927</v>
      </c>
      <c r="N86" s="36">
        <v>10.1</v>
      </c>
      <c r="O86" s="287">
        <v>22.4</v>
      </c>
    </row>
    <row r="87" spans="1:15" s="434" customFormat="1" ht="13.5" customHeight="1">
      <c r="A87" s="404" t="s">
        <v>1773</v>
      </c>
      <c r="B87" s="534">
        <v>510</v>
      </c>
      <c r="C87" s="398" t="s">
        <v>1705</v>
      </c>
      <c r="D87" s="404">
        <v>10</v>
      </c>
      <c r="E87" s="405">
        <v>278</v>
      </c>
      <c r="F87" s="406">
        <v>340</v>
      </c>
      <c r="G87" s="406">
        <v>310</v>
      </c>
      <c r="H87" s="406">
        <v>21</v>
      </c>
      <c r="I87" s="406">
        <v>39</v>
      </c>
      <c r="J87" s="405">
        <v>27</v>
      </c>
      <c r="K87" s="406">
        <v>354.1</v>
      </c>
      <c r="L87" s="408">
        <v>72574</v>
      </c>
      <c r="M87" s="409">
        <v>3718</v>
      </c>
      <c r="N87" s="406">
        <v>15.5</v>
      </c>
      <c r="O87" s="406">
        <v>19.5</v>
      </c>
    </row>
    <row r="88" spans="1:15" s="299" customFormat="1" ht="13.5" customHeight="1">
      <c r="A88" s="33" t="s">
        <v>1773</v>
      </c>
      <c r="B88" s="285">
        <v>510</v>
      </c>
      <c r="C88" s="21" t="s">
        <v>1705</v>
      </c>
      <c r="D88" s="33">
        <v>15</v>
      </c>
      <c r="E88" s="34">
        <v>298</v>
      </c>
      <c r="F88" s="287">
        <v>340</v>
      </c>
      <c r="G88" s="287">
        <v>310</v>
      </c>
      <c r="H88" s="287">
        <v>21</v>
      </c>
      <c r="I88" s="287">
        <v>39</v>
      </c>
      <c r="J88" s="34">
        <v>27</v>
      </c>
      <c r="K88" s="36">
        <v>379.6</v>
      </c>
      <c r="L88" s="35">
        <v>78460</v>
      </c>
      <c r="M88" s="38">
        <v>3813</v>
      </c>
      <c r="N88" s="36">
        <v>14.9</v>
      </c>
      <c r="O88" s="287">
        <v>20.6</v>
      </c>
    </row>
    <row r="89" spans="1:15" s="434" customFormat="1" ht="13.5" customHeight="1">
      <c r="A89" s="404" t="s">
        <v>1773</v>
      </c>
      <c r="B89" s="534">
        <v>510</v>
      </c>
      <c r="C89" s="398" t="s">
        <v>1705</v>
      </c>
      <c r="D89" s="404">
        <v>20</v>
      </c>
      <c r="E89" s="405">
        <v>318</v>
      </c>
      <c r="F89" s="406">
        <v>340</v>
      </c>
      <c r="G89" s="406">
        <v>310</v>
      </c>
      <c r="H89" s="406">
        <v>21</v>
      </c>
      <c r="I89" s="406">
        <v>39</v>
      </c>
      <c r="J89" s="405">
        <v>27</v>
      </c>
      <c r="K89" s="406">
        <v>405.1</v>
      </c>
      <c r="L89" s="408">
        <v>83961</v>
      </c>
      <c r="M89" s="409">
        <v>3899</v>
      </c>
      <c r="N89" s="406">
        <v>14.5</v>
      </c>
      <c r="O89" s="406">
        <v>21.5</v>
      </c>
    </row>
    <row r="90" spans="1:15" s="299" customFormat="1" ht="13.5" customHeight="1">
      <c r="A90" s="300" t="s">
        <v>1773</v>
      </c>
      <c r="B90" s="285">
        <v>510</v>
      </c>
      <c r="C90" s="21" t="s">
        <v>1705</v>
      </c>
      <c r="D90" s="33">
        <v>25</v>
      </c>
      <c r="E90" s="34">
        <v>338</v>
      </c>
      <c r="F90" s="287">
        <v>340</v>
      </c>
      <c r="G90" s="287">
        <v>310</v>
      </c>
      <c r="H90" s="287">
        <v>21</v>
      </c>
      <c r="I90" s="287">
        <v>39</v>
      </c>
      <c r="J90" s="34">
        <v>27</v>
      </c>
      <c r="K90" s="36">
        <v>430.6</v>
      </c>
      <c r="L90" s="35">
        <v>89158</v>
      </c>
      <c r="M90" s="38">
        <v>3980</v>
      </c>
      <c r="N90" s="36">
        <v>14.1</v>
      </c>
      <c r="O90" s="287">
        <v>22.4</v>
      </c>
    </row>
    <row r="91" spans="1:15" s="434" customFormat="1" ht="13.5" customHeight="1">
      <c r="A91" s="552" t="s">
        <v>1773</v>
      </c>
      <c r="B91" s="534">
        <v>510</v>
      </c>
      <c r="C91" s="398" t="s">
        <v>1705</v>
      </c>
      <c r="D91" s="404">
        <v>30</v>
      </c>
      <c r="E91" s="405">
        <v>358</v>
      </c>
      <c r="F91" s="406">
        <v>340</v>
      </c>
      <c r="G91" s="406">
        <v>310</v>
      </c>
      <c r="H91" s="406">
        <v>21</v>
      </c>
      <c r="I91" s="406">
        <v>39</v>
      </c>
      <c r="J91" s="405">
        <v>27</v>
      </c>
      <c r="K91" s="406">
        <v>456.1</v>
      </c>
      <c r="L91" s="408">
        <v>94113</v>
      </c>
      <c r="M91" s="409">
        <v>4056</v>
      </c>
      <c r="N91" s="406">
        <v>13.8</v>
      </c>
      <c r="O91" s="406">
        <v>23.2</v>
      </c>
    </row>
    <row r="92" spans="1:15" ht="13.5" customHeight="1">
      <c r="A92" s="300" t="s">
        <v>1773</v>
      </c>
      <c r="B92" s="285">
        <v>510</v>
      </c>
      <c r="C92" s="21" t="s">
        <v>1705</v>
      </c>
      <c r="D92" s="33">
        <v>35</v>
      </c>
      <c r="E92" s="34">
        <v>378</v>
      </c>
      <c r="F92" s="287">
        <v>340</v>
      </c>
      <c r="G92" s="287">
        <v>310</v>
      </c>
      <c r="H92" s="287">
        <v>21</v>
      </c>
      <c r="I92" s="287">
        <v>39</v>
      </c>
      <c r="J92" s="34">
        <v>27</v>
      </c>
      <c r="K92" s="36">
        <v>481.6</v>
      </c>
      <c r="L92" s="35">
        <v>98877</v>
      </c>
      <c r="M92" s="38">
        <v>4129</v>
      </c>
      <c r="N92" s="36">
        <v>13.6</v>
      </c>
      <c r="O92" s="287">
        <v>23.9</v>
      </c>
    </row>
    <row r="93" spans="1:15" s="434" customFormat="1" ht="13.5" customHeight="1">
      <c r="A93" s="552" t="s">
        <v>1773</v>
      </c>
      <c r="B93" s="534">
        <v>510</v>
      </c>
      <c r="C93" s="398" t="s">
        <v>1705</v>
      </c>
      <c r="D93" s="404">
        <v>40</v>
      </c>
      <c r="E93" s="405">
        <v>398.1</v>
      </c>
      <c r="F93" s="406">
        <v>340</v>
      </c>
      <c r="G93" s="406">
        <v>310</v>
      </c>
      <c r="H93" s="406">
        <v>21</v>
      </c>
      <c r="I93" s="406">
        <v>39</v>
      </c>
      <c r="J93" s="405">
        <v>27</v>
      </c>
      <c r="K93" s="406">
        <v>507.1</v>
      </c>
      <c r="L93" s="408">
        <v>103490</v>
      </c>
      <c r="M93" s="409">
        <v>4199</v>
      </c>
      <c r="N93" s="406">
        <v>13.4</v>
      </c>
      <c r="O93" s="406">
        <v>24.6</v>
      </c>
    </row>
    <row r="94" spans="1:15" s="299" customFormat="1" ht="13.5" customHeight="1">
      <c r="A94" s="300"/>
      <c r="B94" s="285"/>
      <c r="C94" s="21"/>
      <c r="D94" s="33"/>
      <c r="E94" s="34"/>
      <c r="F94" s="287"/>
      <c r="G94" s="287"/>
      <c r="H94" s="287"/>
      <c r="I94" s="287"/>
      <c r="J94" s="34"/>
      <c r="K94" s="36"/>
      <c r="L94" s="35"/>
      <c r="M94" s="38"/>
      <c r="N94" s="36"/>
      <c r="O94" s="287"/>
    </row>
    <row r="95" spans="1:15" s="434" customFormat="1" ht="13.5" customHeight="1">
      <c r="A95" s="552" t="s">
        <v>1774</v>
      </c>
      <c r="B95" s="534">
        <v>500</v>
      </c>
      <c r="C95" s="398" t="s">
        <v>1705</v>
      </c>
      <c r="D95" s="404">
        <v>10</v>
      </c>
      <c r="E95" s="405">
        <v>165.9</v>
      </c>
      <c r="F95" s="406">
        <v>320</v>
      </c>
      <c r="G95" s="406">
        <v>300</v>
      </c>
      <c r="H95" s="406">
        <v>11.5</v>
      </c>
      <c r="I95" s="406">
        <v>20.5</v>
      </c>
      <c r="J95" s="405">
        <v>27</v>
      </c>
      <c r="K95" s="406">
        <v>211.3</v>
      </c>
      <c r="L95" s="408">
        <v>41220</v>
      </c>
      <c r="M95" s="409">
        <v>2071</v>
      </c>
      <c r="N95" s="406">
        <v>13.1</v>
      </c>
      <c r="O95" s="406">
        <v>19.899999999999999</v>
      </c>
    </row>
    <row r="96" spans="1:15" s="299" customFormat="1" ht="13.5" customHeight="1">
      <c r="A96" s="300" t="s">
        <v>1774</v>
      </c>
      <c r="B96" s="285">
        <v>500</v>
      </c>
      <c r="C96" s="21" t="s">
        <v>1705</v>
      </c>
      <c r="D96" s="33">
        <v>15</v>
      </c>
      <c r="E96" s="34">
        <v>185.5</v>
      </c>
      <c r="F96" s="287">
        <v>320</v>
      </c>
      <c r="G96" s="287">
        <v>300</v>
      </c>
      <c r="H96" s="287">
        <v>11.5</v>
      </c>
      <c r="I96" s="287">
        <v>20.5</v>
      </c>
      <c r="J96" s="34">
        <v>27</v>
      </c>
      <c r="K96" s="36">
        <v>236.3</v>
      </c>
      <c r="L96" s="35">
        <v>45202</v>
      </c>
      <c r="M96" s="38">
        <v>2121</v>
      </c>
      <c r="N96" s="36">
        <v>12.2</v>
      </c>
      <c r="O96" s="287">
        <v>21.3</v>
      </c>
    </row>
    <row r="97" spans="1:15" s="434" customFormat="1" ht="13.5" customHeight="1">
      <c r="A97" s="552" t="s">
        <v>1774</v>
      </c>
      <c r="B97" s="534">
        <v>500</v>
      </c>
      <c r="C97" s="398" t="s">
        <v>1705</v>
      </c>
      <c r="D97" s="404">
        <v>20</v>
      </c>
      <c r="E97" s="405">
        <v>205.2</v>
      </c>
      <c r="F97" s="406">
        <v>320</v>
      </c>
      <c r="G97" s="406">
        <v>300</v>
      </c>
      <c r="H97" s="406">
        <v>11.5</v>
      </c>
      <c r="I97" s="406">
        <v>20.5</v>
      </c>
      <c r="J97" s="405">
        <v>27</v>
      </c>
      <c r="K97" s="406">
        <v>261.3</v>
      </c>
      <c r="L97" s="408">
        <v>48699</v>
      </c>
      <c r="M97" s="409">
        <v>2164</v>
      </c>
      <c r="N97" s="406">
        <v>11.5</v>
      </c>
      <c r="O97" s="406">
        <v>22.5</v>
      </c>
    </row>
    <row r="98" spans="1:15" s="299" customFormat="1" ht="13.5" customHeight="1">
      <c r="A98" s="300" t="s">
        <v>1774</v>
      </c>
      <c r="B98" s="285">
        <v>500</v>
      </c>
      <c r="C98" s="21" t="s">
        <v>1705</v>
      </c>
      <c r="D98" s="33">
        <v>25</v>
      </c>
      <c r="E98" s="34">
        <v>224.8</v>
      </c>
      <c r="F98" s="287">
        <v>320</v>
      </c>
      <c r="G98" s="287">
        <v>300</v>
      </c>
      <c r="H98" s="287">
        <v>11.5</v>
      </c>
      <c r="I98" s="287">
        <v>20.5</v>
      </c>
      <c r="J98" s="34">
        <v>27</v>
      </c>
      <c r="K98" s="36">
        <v>286.3</v>
      </c>
      <c r="L98" s="35">
        <v>51847</v>
      </c>
      <c r="M98" s="38">
        <v>2203</v>
      </c>
      <c r="N98" s="36">
        <v>11</v>
      </c>
      <c r="O98" s="287">
        <v>23.5</v>
      </c>
    </row>
    <row r="99" spans="1:15" ht="13.5" customHeight="1">
      <c r="A99" s="300"/>
      <c r="B99" s="285"/>
      <c r="C99" s="21"/>
      <c r="D99" s="33"/>
      <c r="E99" s="34"/>
      <c r="F99" s="287"/>
      <c r="G99" s="287"/>
      <c r="H99" s="287"/>
      <c r="I99" s="287"/>
      <c r="J99" s="34"/>
      <c r="K99" s="36"/>
      <c r="L99" s="35"/>
      <c r="M99" s="38"/>
      <c r="N99" s="36"/>
      <c r="O99" s="287"/>
    </row>
    <row r="100" spans="1:15" s="299" customFormat="1" ht="13.5" hidden="1" customHeight="1">
      <c r="A100" s="213"/>
      <c r="B100" s="301"/>
      <c r="C100" s="203"/>
      <c r="D100" s="213"/>
      <c r="E100" s="212"/>
      <c r="F100" s="203"/>
      <c r="G100" s="203"/>
      <c r="H100" s="203"/>
      <c r="I100" s="203"/>
      <c r="J100" s="203"/>
      <c r="K100" s="203"/>
      <c r="L100" s="203"/>
      <c r="M100" s="203"/>
      <c r="N100" s="203"/>
      <c r="O100" s="212"/>
    </row>
    <row r="101" spans="1:15" ht="13.5" hidden="1" customHeight="1"/>
    <row r="102" spans="1:15" s="299" customFormat="1" ht="13.5" hidden="1" customHeight="1">
      <c r="A102" s="213"/>
      <c r="B102" s="301"/>
      <c r="C102" s="203"/>
      <c r="D102" s="213"/>
      <c r="E102" s="212"/>
      <c r="F102" s="203"/>
      <c r="G102" s="203"/>
      <c r="H102" s="203"/>
      <c r="I102" s="203"/>
      <c r="J102" s="203"/>
      <c r="K102" s="203"/>
      <c r="L102" s="203"/>
      <c r="M102" s="203"/>
      <c r="N102" s="203"/>
      <c r="O102" s="212"/>
    </row>
    <row r="103" spans="1:15" ht="13.5" hidden="1" customHeight="1"/>
    <row r="104" spans="1:15" ht="13.5" hidden="1" customHeight="1"/>
    <row r="105" spans="1:15" s="299" customFormat="1" ht="13.5" hidden="1" customHeight="1">
      <c r="A105" s="213"/>
      <c r="B105" s="301"/>
      <c r="C105" s="203"/>
      <c r="D105" s="213"/>
      <c r="E105" s="212"/>
      <c r="F105" s="203"/>
      <c r="G105" s="203"/>
      <c r="H105" s="203"/>
      <c r="I105" s="203"/>
      <c r="J105" s="203"/>
      <c r="K105" s="203"/>
      <c r="L105" s="203"/>
      <c r="M105" s="203"/>
      <c r="N105" s="203"/>
      <c r="O105" s="212"/>
    </row>
    <row r="106" spans="1:15" ht="13.5" hidden="1" customHeight="1"/>
    <row r="107" spans="1:15" ht="13.5" hidden="1" customHeight="1"/>
    <row r="108" spans="1:15" ht="13.5" hidden="1" customHeight="1"/>
    <row r="109" spans="1:15" ht="13.5" hidden="1" customHeight="1"/>
    <row r="110" spans="1:15" ht="13.5" hidden="1" customHeight="1"/>
    <row r="111" spans="1:15" ht="13.5" hidden="1" customHeight="1"/>
    <row r="112" spans="1:15" ht="13.5" hidden="1" customHeight="1"/>
    <row r="113" ht="13.5" hidden="1" customHeight="1"/>
  </sheetData>
  <phoneticPr fontId="0" type="noConversion"/>
  <pageMargins left="0.75" right="0.75" top="1" bottom="1" header="0.4921259845" footer="0.4921259845"/>
  <pageSetup paperSize="0" orientation="landscape" horizontalDpi="4294967292" verticalDpi="4294967292"/>
  <headerFooter alignWithMargins="0">
    <oddFooter>&amp;LLe &amp;D&amp;CProfilés &amp;A du &amp;F&amp;RPage &amp;P sur &amp;N</oddFooter>
  </headerFooter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8"/>
  <sheetViews>
    <sheetView workbookViewId="0">
      <pane ySplit="3" topLeftCell="A4" activePane="bottomLeft" state="frozen"/>
      <selection activeCell="D31" sqref="D31"/>
      <selection pane="bottomLeft" activeCell="D31" sqref="D31"/>
    </sheetView>
  </sheetViews>
  <sheetFormatPr defaultColWidth="9.140625" defaultRowHeight="12"/>
  <cols>
    <col min="1" max="2" width="9.140625" style="1456"/>
    <col min="3" max="3" width="7.85546875" style="1456" customWidth="1"/>
    <col min="4" max="4" width="7.28515625" style="1456" customWidth="1"/>
    <col min="5" max="6" width="4.5703125" style="1456" customWidth="1"/>
    <col min="7" max="7" width="5.42578125" style="1456" customWidth="1"/>
    <col min="8" max="8" width="8.85546875" style="1456" customWidth="1"/>
    <col min="9" max="9" width="6.5703125" style="1456" customWidth="1"/>
    <col min="10" max="10" width="7.85546875" style="1456" customWidth="1"/>
    <col min="11" max="11" width="9.140625" style="1456"/>
    <col min="12" max="12" width="5.5703125" style="1456" customWidth="1"/>
    <col min="13" max="13" width="7.85546875" style="1456" customWidth="1"/>
    <col min="14" max="14" width="9.28515625" style="1456" customWidth="1"/>
    <col min="15" max="15" width="6.42578125" style="1456" customWidth="1"/>
    <col min="16" max="16384" width="9.140625" style="1456"/>
  </cols>
  <sheetData>
    <row r="1" spans="1:15">
      <c r="J1" s="1796" t="s">
        <v>1956</v>
      </c>
      <c r="K1" s="1796"/>
      <c r="L1" s="1796"/>
      <c r="M1" s="1796" t="s">
        <v>1957</v>
      </c>
      <c r="N1" s="1796"/>
      <c r="O1" s="1796"/>
    </row>
    <row r="2" spans="1:15" ht="25.5" customHeight="1">
      <c r="A2" s="1457" t="s">
        <v>1700</v>
      </c>
      <c r="B2" s="1457" t="s">
        <v>1958</v>
      </c>
      <c r="C2" s="1458" t="s">
        <v>1959</v>
      </c>
      <c r="D2" s="1458" t="s">
        <v>1960</v>
      </c>
      <c r="E2" s="1457" t="s">
        <v>1961</v>
      </c>
      <c r="F2" s="1457" t="s">
        <v>109</v>
      </c>
      <c r="G2" s="1457" t="s">
        <v>577</v>
      </c>
      <c r="H2" s="1457" t="s">
        <v>1874</v>
      </c>
      <c r="I2" s="1457" t="s">
        <v>599</v>
      </c>
      <c r="J2" s="1459" t="s">
        <v>1962</v>
      </c>
      <c r="K2" s="1457" t="s">
        <v>1963</v>
      </c>
      <c r="L2" s="1457" t="s">
        <v>205</v>
      </c>
      <c r="M2" s="1459" t="s">
        <v>1962</v>
      </c>
      <c r="N2" s="1457" t="s">
        <v>1963</v>
      </c>
      <c r="O2" s="1457" t="s">
        <v>205</v>
      </c>
    </row>
    <row r="3" spans="1:15" ht="12" customHeight="1">
      <c r="C3" s="1460"/>
      <c r="D3" s="1460"/>
      <c r="H3" s="1460"/>
    </row>
    <row r="4" spans="1:15">
      <c r="A4" s="1794" t="s">
        <v>1964</v>
      </c>
      <c r="B4" s="1456" t="s">
        <v>1965</v>
      </c>
      <c r="C4" s="1456">
        <v>100</v>
      </c>
      <c r="D4" s="1456">
        <v>100</v>
      </c>
      <c r="E4" s="1456">
        <v>6</v>
      </c>
      <c r="F4" s="1456">
        <v>8</v>
      </c>
      <c r="G4" s="1456">
        <v>10</v>
      </c>
      <c r="H4" s="1456">
        <v>21.92</v>
      </c>
      <c r="I4" s="1461">
        <v>17.2</v>
      </c>
      <c r="J4" s="1462">
        <v>383</v>
      </c>
      <c r="K4" s="1462">
        <v>76.5</v>
      </c>
      <c r="L4" s="1463">
        <v>4.18</v>
      </c>
      <c r="M4" s="1462">
        <v>134</v>
      </c>
      <c r="N4" s="1462">
        <v>26.7</v>
      </c>
      <c r="O4" s="1463">
        <v>2.4700000000000002</v>
      </c>
    </row>
    <row r="5" spans="1:15">
      <c r="A5" s="1794"/>
      <c r="B5" s="1456" t="s">
        <v>1966</v>
      </c>
      <c r="C5" s="1456">
        <v>125</v>
      </c>
      <c r="D5" s="1456">
        <v>125</v>
      </c>
      <c r="E5" s="1456">
        <v>6.5</v>
      </c>
      <c r="F5" s="1456">
        <v>9</v>
      </c>
      <c r="G5" s="1456">
        <v>10</v>
      </c>
      <c r="H5" s="1456">
        <v>30.31</v>
      </c>
      <c r="I5" s="1461">
        <v>23.8</v>
      </c>
      <c r="J5" s="1462">
        <v>847</v>
      </c>
      <c r="K5" s="1462">
        <v>136</v>
      </c>
      <c r="L5" s="1463">
        <v>5.29</v>
      </c>
      <c r="M5" s="1462">
        <v>294</v>
      </c>
      <c r="N5" s="1462">
        <v>47</v>
      </c>
      <c r="O5" s="1463">
        <v>3.11</v>
      </c>
    </row>
    <row r="6" spans="1:15">
      <c r="A6" s="1794"/>
      <c r="B6" s="1456" t="s">
        <v>1967</v>
      </c>
      <c r="C6" s="1456">
        <v>150</v>
      </c>
      <c r="D6" s="1456">
        <v>150</v>
      </c>
      <c r="E6" s="1456">
        <v>7</v>
      </c>
      <c r="F6" s="1456">
        <v>10</v>
      </c>
      <c r="G6" s="1456">
        <v>13</v>
      </c>
      <c r="H6" s="1456">
        <v>40.549999999999997</v>
      </c>
      <c r="I6" s="1461">
        <v>31.9</v>
      </c>
      <c r="J6" s="1462">
        <v>1660</v>
      </c>
      <c r="K6" s="1462">
        <v>221</v>
      </c>
      <c r="L6" s="1463">
        <v>6.39</v>
      </c>
      <c r="M6" s="1462">
        <v>564</v>
      </c>
      <c r="N6" s="1462">
        <v>75.099999999999994</v>
      </c>
      <c r="O6" s="1463">
        <v>3.73</v>
      </c>
    </row>
    <row r="7" spans="1:15">
      <c r="A7" s="1794"/>
      <c r="B7" s="1456" t="s">
        <v>1968</v>
      </c>
      <c r="C7" s="1456">
        <v>175</v>
      </c>
      <c r="D7" s="1456">
        <v>175</v>
      </c>
      <c r="E7" s="1456">
        <v>7.5</v>
      </c>
      <c r="F7" s="1456">
        <v>11</v>
      </c>
      <c r="G7" s="1456">
        <v>13</v>
      </c>
      <c r="H7" s="1456">
        <v>51.43</v>
      </c>
      <c r="I7" s="1461">
        <v>40.4</v>
      </c>
      <c r="J7" s="1462">
        <v>2900</v>
      </c>
      <c r="K7" s="1462">
        <v>391</v>
      </c>
      <c r="L7" s="1463">
        <v>7.5</v>
      </c>
      <c r="M7" s="1462">
        <v>984</v>
      </c>
      <c r="N7" s="1462">
        <v>112</v>
      </c>
      <c r="O7" s="1463">
        <v>4.7</v>
      </c>
    </row>
    <row r="8" spans="1:15">
      <c r="A8" s="1794"/>
      <c r="B8" s="1794" t="s">
        <v>1969</v>
      </c>
      <c r="C8" s="1456">
        <v>200</v>
      </c>
      <c r="D8" s="1456">
        <v>200</v>
      </c>
      <c r="E8" s="1456">
        <v>8</v>
      </c>
      <c r="F8" s="1456">
        <v>12</v>
      </c>
      <c r="G8" s="1456">
        <v>16</v>
      </c>
      <c r="H8" s="1456">
        <v>64.28</v>
      </c>
      <c r="I8" s="1461">
        <v>50.5</v>
      </c>
      <c r="J8" s="1462">
        <v>4770</v>
      </c>
      <c r="K8" s="1462">
        <v>477</v>
      </c>
      <c r="L8" s="1463">
        <v>8.51</v>
      </c>
      <c r="M8" s="1462">
        <v>1600</v>
      </c>
      <c r="N8" s="1462">
        <v>160</v>
      </c>
      <c r="O8" s="1463">
        <v>4.99</v>
      </c>
    </row>
    <row r="9" spans="1:15">
      <c r="A9" s="1794"/>
      <c r="B9" s="1794"/>
      <c r="C9" s="1456">
        <v>200</v>
      </c>
      <c r="D9" s="1456">
        <v>204</v>
      </c>
      <c r="E9" s="1456">
        <v>12</v>
      </c>
      <c r="F9" s="1456">
        <v>12</v>
      </c>
      <c r="G9" s="1456">
        <v>16</v>
      </c>
      <c r="H9" s="1456">
        <v>72.25</v>
      </c>
      <c r="I9" s="1461">
        <v>56.7</v>
      </c>
      <c r="J9" s="1462">
        <v>5030</v>
      </c>
      <c r="K9" s="1462">
        <v>503</v>
      </c>
      <c r="L9" s="1463">
        <v>8.35</v>
      </c>
      <c r="M9" s="1462">
        <v>1700</v>
      </c>
      <c r="N9" s="1462">
        <v>167</v>
      </c>
      <c r="O9" s="1463">
        <v>4.8499999999999996</v>
      </c>
    </row>
    <row r="10" spans="1:15">
      <c r="A10" s="1794"/>
      <c r="B10" s="1794" t="s">
        <v>1970</v>
      </c>
      <c r="C10" s="1456">
        <v>250</v>
      </c>
      <c r="D10" s="1456">
        <v>250</v>
      </c>
      <c r="E10" s="1456">
        <v>9</v>
      </c>
      <c r="F10" s="1456">
        <v>14</v>
      </c>
      <c r="G10" s="1456">
        <v>16</v>
      </c>
      <c r="H10" s="1456">
        <v>92.18</v>
      </c>
      <c r="I10" s="1461">
        <v>72.400000000000006</v>
      </c>
      <c r="J10" s="1462">
        <v>10800</v>
      </c>
      <c r="K10" s="1462">
        <v>867</v>
      </c>
      <c r="L10" s="1463">
        <v>10.8</v>
      </c>
      <c r="M10" s="1462">
        <v>3650</v>
      </c>
      <c r="N10" s="1462">
        <v>292</v>
      </c>
      <c r="O10" s="1463">
        <v>6.29</v>
      </c>
    </row>
    <row r="11" spans="1:15">
      <c r="A11" s="1794"/>
      <c r="B11" s="1794"/>
      <c r="C11" s="1456">
        <v>250</v>
      </c>
      <c r="D11" s="1456">
        <v>255</v>
      </c>
      <c r="E11" s="1456">
        <v>14</v>
      </c>
      <c r="F11" s="1456">
        <v>14</v>
      </c>
      <c r="G11" s="1456">
        <v>16</v>
      </c>
      <c r="H11" s="1456">
        <v>104.7</v>
      </c>
      <c r="I11" s="1461">
        <v>82.2</v>
      </c>
      <c r="J11" s="1462">
        <v>11500</v>
      </c>
      <c r="K11" s="1462">
        <v>919</v>
      </c>
      <c r="L11" s="1463">
        <v>10.5</v>
      </c>
      <c r="M11" s="1462">
        <v>3880</v>
      </c>
      <c r="N11" s="1462">
        <v>304</v>
      </c>
      <c r="O11" s="1463">
        <v>6.9</v>
      </c>
    </row>
    <row r="12" spans="1:15">
      <c r="A12" s="1794"/>
      <c r="B12" s="1794" t="s">
        <v>1971</v>
      </c>
      <c r="C12" s="1456">
        <v>294</v>
      </c>
      <c r="D12" s="1456">
        <v>302</v>
      </c>
      <c r="E12" s="1456">
        <v>12</v>
      </c>
      <c r="F12" s="1456">
        <v>12</v>
      </c>
      <c r="G12" s="1456">
        <v>20</v>
      </c>
      <c r="H12" s="1456">
        <v>108.3</v>
      </c>
      <c r="I12" s="1461">
        <v>65</v>
      </c>
      <c r="J12" s="1462">
        <v>17000</v>
      </c>
      <c r="K12" s="1462">
        <v>1160</v>
      </c>
      <c r="L12" s="1463">
        <v>12.5</v>
      </c>
      <c r="M12" s="1462">
        <v>5520</v>
      </c>
      <c r="N12" s="1462">
        <v>365</v>
      </c>
      <c r="O12" s="1463">
        <v>7.14</v>
      </c>
    </row>
    <row r="13" spans="1:15">
      <c r="A13" s="1794"/>
      <c r="B13" s="1794"/>
      <c r="C13" s="1456">
        <v>300</v>
      </c>
      <c r="D13" s="1456">
        <v>300</v>
      </c>
      <c r="E13" s="1456">
        <v>10</v>
      </c>
      <c r="F13" s="1456">
        <v>15</v>
      </c>
      <c r="G13" s="1456">
        <v>20</v>
      </c>
      <c r="H13" s="1456">
        <v>120.4</v>
      </c>
      <c r="I13" s="1461">
        <v>94.5</v>
      </c>
      <c r="J13" s="1462">
        <v>20500</v>
      </c>
      <c r="K13" s="1462">
        <v>1370</v>
      </c>
      <c r="L13" s="1463">
        <v>13.1</v>
      </c>
      <c r="M13" s="1462">
        <v>6760</v>
      </c>
      <c r="N13" s="1462">
        <v>450</v>
      </c>
      <c r="O13" s="1463">
        <v>7.49</v>
      </c>
    </row>
    <row r="14" spans="1:15">
      <c r="A14" s="1794"/>
      <c r="B14" s="1794"/>
      <c r="C14" s="1456">
        <v>300</v>
      </c>
      <c r="D14" s="1456">
        <v>305</v>
      </c>
      <c r="E14" s="1456">
        <v>15</v>
      </c>
      <c r="F14" s="1456">
        <v>15</v>
      </c>
      <c r="G14" s="1456">
        <v>20</v>
      </c>
      <c r="H14" s="1456">
        <v>135.4</v>
      </c>
      <c r="I14" s="1461">
        <v>106</v>
      </c>
      <c r="J14" s="1462">
        <v>21600</v>
      </c>
      <c r="K14" s="1462">
        <v>1440</v>
      </c>
      <c r="L14" s="1463">
        <v>12.6</v>
      </c>
      <c r="M14" s="1462">
        <v>7100</v>
      </c>
      <c r="N14" s="1462">
        <v>466</v>
      </c>
      <c r="O14" s="1463">
        <v>7.24</v>
      </c>
    </row>
    <row r="15" spans="1:15">
      <c r="A15" s="1794"/>
      <c r="B15" s="1794" t="s">
        <v>1972</v>
      </c>
      <c r="C15" s="1456">
        <v>314</v>
      </c>
      <c r="D15" s="1456">
        <v>348</v>
      </c>
      <c r="E15" s="1456">
        <v>10</v>
      </c>
      <c r="F15" s="1456">
        <v>16</v>
      </c>
      <c r="G15" s="1456">
        <v>20</v>
      </c>
      <c r="H15" s="1456">
        <v>145</v>
      </c>
      <c r="I15" s="1461">
        <v>115</v>
      </c>
      <c r="J15" s="1462">
        <v>33300</v>
      </c>
      <c r="K15" s="1462">
        <v>1940</v>
      </c>
      <c r="L15" s="1463">
        <v>15.1</v>
      </c>
      <c r="M15" s="1462">
        <v>11200</v>
      </c>
      <c r="N15" s="1462">
        <v>646</v>
      </c>
      <c r="O15" s="1463">
        <v>8.7799999999999994</v>
      </c>
    </row>
    <row r="16" spans="1:15">
      <c r="A16" s="1794"/>
      <c r="B16" s="1794"/>
      <c r="C16" s="1456">
        <v>350</v>
      </c>
      <c r="D16" s="1456">
        <v>350</v>
      </c>
      <c r="E16" s="1456">
        <v>12</v>
      </c>
      <c r="F16" s="1456">
        <v>19</v>
      </c>
      <c r="G16" s="1456">
        <v>20</v>
      </c>
      <c r="H16" s="1456">
        <v>173.9</v>
      </c>
      <c r="I16" s="1461">
        <v>137</v>
      </c>
      <c r="J16" s="1462">
        <v>40300</v>
      </c>
      <c r="K16" s="1462">
        <v>2300</v>
      </c>
      <c r="L16" s="1463">
        <v>15.2</v>
      </c>
      <c r="M16" s="1462">
        <v>13600</v>
      </c>
      <c r="N16" s="1462">
        <v>776</v>
      </c>
      <c r="O16" s="1463">
        <v>8.84</v>
      </c>
    </row>
    <row r="17" spans="1:15">
      <c r="A17" s="1794"/>
      <c r="B17" s="1794" t="s">
        <v>1973</v>
      </c>
      <c r="C17" s="1456">
        <v>388</v>
      </c>
      <c r="D17" s="1456">
        <v>402</v>
      </c>
      <c r="E17" s="1456">
        <v>15</v>
      </c>
      <c r="F17" s="1456">
        <v>15</v>
      </c>
      <c r="G17" s="1456">
        <v>24</v>
      </c>
      <c r="H17" s="1456">
        <v>179.2</v>
      </c>
      <c r="I17" s="1461">
        <v>141</v>
      </c>
      <c r="J17" s="1462">
        <v>49200</v>
      </c>
      <c r="K17" s="1462">
        <v>2540</v>
      </c>
      <c r="L17" s="1463">
        <v>16.600000000000001</v>
      </c>
      <c r="M17" s="1462">
        <v>16300</v>
      </c>
      <c r="N17" s="1462">
        <v>809</v>
      </c>
      <c r="O17" s="1463">
        <v>9.52</v>
      </c>
    </row>
    <row r="18" spans="1:15">
      <c r="A18" s="1794"/>
      <c r="B18" s="1794"/>
      <c r="C18" s="1456">
        <v>394</v>
      </c>
      <c r="D18" s="1456">
        <v>398</v>
      </c>
      <c r="E18" s="1456">
        <v>11</v>
      </c>
      <c r="F18" s="1456">
        <v>18</v>
      </c>
      <c r="G18" s="1456">
        <v>24</v>
      </c>
      <c r="H18" s="1456">
        <v>187.6</v>
      </c>
      <c r="I18" s="1461">
        <v>147</v>
      </c>
      <c r="J18" s="1462">
        <v>56400</v>
      </c>
      <c r="K18" s="1462">
        <v>2860</v>
      </c>
      <c r="L18" s="1463">
        <v>17.3</v>
      </c>
      <c r="M18" s="1462">
        <v>18900</v>
      </c>
      <c r="N18" s="1462">
        <v>951</v>
      </c>
      <c r="O18" s="1463">
        <v>10</v>
      </c>
    </row>
    <row r="19" spans="1:15">
      <c r="A19" s="1794"/>
      <c r="B19" s="1794"/>
      <c r="C19" s="1456">
        <v>400</v>
      </c>
      <c r="D19" s="1456">
        <v>400</v>
      </c>
      <c r="E19" s="1456">
        <v>13</v>
      </c>
      <c r="F19" s="1456">
        <v>21</v>
      </c>
      <c r="G19" s="1456">
        <v>24</v>
      </c>
      <c r="H19" s="1456">
        <v>219.5</v>
      </c>
      <c r="I19" s="1461">
        <v>172</v>
      </c>
      <c r="J19" s="1462">
        <v>66900</v>
      </c>
      <c r="K19" s="1462">
        <v>3340</v>
      </c>
      <c r="L19" s="1463">
        <v>17.5</v>
      </c>
      <c r="M19" s="1462">
        <v>23400</v>
      </c>
      <c r="N19" s="1462">
        <v>1120</v>
      </c>
      <c r="O19" s="1463">
        <v>10.1</v>
      </c>
    </row>
    <row r="20" spans="1:15">
      <c r="A20" s="1794"/>
      <c r="B20" s="1794"/>
      <c r="C20" s="1456">
        <v>400</v>
      </c>
      <c r="D20" s="1456">
        <v>408</v>
      </c>
      <c r="E20" s="1456">
        <v>21</v>
      </c>
      <c r="F20" s="1456">
        <v>21</v>
      </c>
      <c r="G20" s="1456">
        <v>24</v>
      </c>
      <c r="H20" s="1456">
        <v>251.5</v>
      </c>
      <c r="I20" s="1461">
        <v>197</v>
      </c>
      <c r="J20" s="1462">
        <v>71100</v>
      </c>
      <c r="K20" s="1462">
        <v>3560</v>
      </c>
      <c r="L20" s="1463">
        <v>16.8</v>
      </c>
      <c r="M20" s="1462">
        <v>23800</v>
      </c>
      <c r="N20" s="1462">
        <v>1170</v>
      </c>
      <c r="O20" s="1463">
        <v>9.73</v>
      </c>
    </row>
    <row r="21" spans="1:15">
      <c r="A21" s="1794"/>
      <c r="B21" s="1794"/>
      <c r="C21" s="1456">
        <v>414</v>
      </c>
      <c r="D21" s="1456">
        <v>405</v>
      </c>
      <c r="E21" s="1456">
        <v>18</v>
      </c>
      <c r="F21" s="1456">
        <v>28</v>
      </c>
      <c r="G21" s="1456">
        <v>24</v>
      </c>
      <c r="H21" s="1456">
        <v>296.2</v>
      </c>
      <c r="I21" s="1461">
        <v>233</v>
      </c>
      <c r="J21" s="1462">
        <v>93000</v>
      </c>
      <c r="K21" s="1462">
        <v>4490</v>
      </c>
      <c r="L21" s="1463">
        <v>17.7</v>
      </c>
      <c r="M21" s="1462">
        <v>31000</v>
      </c>
      <c r="N21" s="1462">
        <v>1530</v>
      </c>
      <c r="O21" s="1463">
        <v>10.199999999999999</v>
      </c>
    </row>
    <row r="22" spans="1:15">
      <c r="A22" s="1794"/>
      <c r="B22" s="1794"/>
      <c r="C22" s="1456">
        <v>428</v>
      </c>
      <c r="D22" s="1456">
        <v>407</v>
      </c>
      <c r="E22" s="1456">
        <v>20</v>
      </c>
      <c r="F22" s="1456">
        <v>35</v>
      </c>
      <c r="G22" s="1456">
        <v>24</v>
      </c>
      <c r="H22" s="1456">
        <v>351.4</v>
      </c>
      <c r="I22" s="1461">
        <v>284</v>
      </c>
      <c r="J22" s="1462">
        <v>119000</v>
      </c>
      <c r="K22" s="1462">
        <v>6580</v>
      </c>
      <c r="L22" s="1463">
        <v>18.2</v>
      </c>
      <c r="M22" s="1462">
        <v>39400</v>
      </c>
      <c r="N22" s="1462">
        <v>1930</v>
      </c>
      <c r="O22" s="1463">
        <v>10.4</v>
      </c>
    </row>
    <row r="23" spans="1:15">
      <c r="A23" s="1794"/>
      <c r="B23" s="1794"/>
      <c r="C23" s="1456">
        <v>458</v>
      </c>
      <c r="D23" s="1456">
        <v>417</v>
      </c>
      <c r="E23" s="1456">
        <v>38</v>
      </c>
      <c r="F23" s="1456">
        <v>50</v>
      </c>
      <c r="G23" s="1456">
        <v>24</v>
      </c>
      <c r="H23" s="1456">
        <v>529.29999999999995</v>
      </c>
      <c r="I23" s="1461">
        <v>415</v>
      </c>
      <c r="J23" s="1462">
        <v>187000</v>
      </c>
      <c r="K23" s="1462">
        <v>8180</v>
      </c>
      <c r="L23" s="1463">
        <v>18.8</v>
      </c>
      <c r="M23" s="1462">
        <v>60500</v>
      </c>
      <c r="N23" s="1462">
        <v>2900</v>
      </c>
      <c r="O23" s="1463">
        <v>10.7</v>
      </c>
    </row>
    <row r="24" spans="1:15">
      <c r="A24" s="1794" t="s">
        <v>1974</v>
      </c>
      <c r="B24" s="1456" t="s">
        <v>1975</v>
      </c>
      <c r="C24" s="1456">
        <v>148</v>
      </c>
      <c r="D24" s="1456">
        <v>100</v>
      </c>
      <c r="E24" s="1456">
        <v>6</v>
      </c>
      <c r="F24" s="1456">
        <v>9</v>
      </c>
      <c r="G24" s="1456">
        <v>13</v>
      </c>
      <c r="H24" s="1456">
        <v>2725</v>
      </c>
      <c r="I24" s="1461">
        <v>21.4</v>
      </c>
      <c r="J24" s="1462">
        <v>1040</v>
      </c>
      <c r="K24" s="1462">
        <v>140</v>
      </c>
      <c r="L24" s="1463">
        <v>6.17</v>
      </c>
      <c r="M24" s="1462">
        <v>151</v>
      </c>
      <c r="N24" s="1462">
        <v>30.2</v>
      </c>
      <c r="O24" s="1463">
        <v>2.35</v>
      </c>
    </row>
    <row r="25" spans="1:15">
      <c r="A25" s="1794"/>
      <c r="B25" s="1456" t="s">
        <v>1976</v>
      </c>
      <c r="C25" s="1456">
        <v>194</v>
      </c>
      <c r="D25" s="1456">
        <v>150</v>
      </c>
      <c r="E25" s="1456">
        <v>5</v>
      </c>
      <c r="F25" s="1456">
        <v>9</v>
      </c>
      <c r="G25" s="1456">
        <v>18</v>
      </c>
      <c r="H25" s="1456">
        <v>39.76</v>
      </c>
      <c r="I25" s="1461">
        <v>34.200000000000003</v>
      </c>
      <c r="J25" s="1462">
        <v>2740</v>
      </c>
      <c r="K25" s="1462">
        <v>283</v>
      </c>
      <c r="L25" s="1463">
        <v>8.3000000000000007</v>
      </c>
      <c r="M25" s="1462">
        <v>508</v>
      </c>
      <c r="N25" s="1462">
        <v>67.7</v>
      </c>
      <c r="O25" s="1463">
        <v>3.57</v>
      </c>
    </row>
    <row r="26" spans="1:15">
      <c r="A26" s="1794"/>
      <c r="B26" s="1456" t="s">
        <v>1977</v>
      </c>
      <c r="C26" s="1456">
        <v>244</v>
      </c>
      <c r="D26" s="1456">
        <v>175</v>
      </c>
      <c r="E26" s="1456">
        <v>7</v>
      </c>
      <c r="F26" s="1456">
        <v>11</v>
      </c>
      <c r="G26" s="1456">
        <v>16</v>
      </c>
      <c r="H26" s="1456">
        <v>56.24</v>
      </c>
      <c r="I26" s="1461">
        <v>44.1</v>
      </c>
      <c r="J26" s="1462">
        <v>6120</v>
      </c>
      <c r="K26" s="1462">
        <v>502</v>
      </c>
      <c r="L26" s="1463">
        <v>10.4</v>
      </c>
      <c r="M26" s="1462">
        <v>985</v>
      </c>
      <c r="N26" s="1462">
        <v>112</v>
      </c>
      <c r="O26" s="1463">
        <v>4.1500000000000004</v>
      </c>
    </row>
    <row r="27" spans="1:15">
      <c r="A27" s="1794"/>
      <c r="B27" s="1456" t="s">
        <v>1978</v>
      </c>
      <c r="C27" s="1456">
        <v>294</v>
      </c>
      <c r="D27" s="1456">
        <v>200</v>
      </c>
      <c r="E27" s="1456">
        <v>8</v>
      </c>
      <c r="F27" s="1456">
        <v>12</v>
      </c>
      <c r="G27" s="1456">
        <v>20</v>
      </c>
      <c r="H27" s="1456">
        <v>73.03</v>
      </c>
      <c r="I27" s="1461">
        <v>57.3</v>
      </c>
      <c r="J27" s="1462">
        <v>11400</v>
      </c>
      <c r="K27" s="1462">
        <v>779</v>
      </c>
      <c r="L27" s="1463">
        <v>12.5</v>
      </c>
      <c r="M27" s="1462">
        <v>1600</v>
      </c>
      <c r="N27" s="1462">
        <v>160</v>
      </c>
      <c r="O27" s="1463">
        <v>4.6900000000000004</v>
      </c>
    </row>
    <row r="28" spans="1:15">
      <c r="A28" s="1794"/>
      <c r="B28" s="1456" t="s">
        <v>1979</v>
      </c>
      <c r="C28" s="1456">
        <v>340</v>
      </c>
      <c r="D28" s="1456">
        <v>250</v>
      </c>
      <c r="E28" s="1456">
        <v>9</v>
      </c>
      <c r="F28" s="1456">
        <v>14</v>
      </c>
      <c r="G28" s="1456">
        <v>20</v>
      </c>
      <c r="H28" s="1456">
        <v>101.5</v>
      </c>
      <c r="I28" s="1461">
        <v>79.7</v>
      </c>
      <c r="J28" s="1462">
        <v>21700</v>
      </c>
      <c r="K28" s="1462">
        <v>1280</v>
      </c>
      <c r="L28" s="1463">
        <v>14.6</v>
      </c>
      <c r="M28" s="1462">
        <v>3650</v>
      </c>
      <c r="N28" s="1462">
        <v>292</v>
      </c>
      <c r="O28" s="1463">
        <v>6</v>
      </c>
    </row>
    <row r="29" spans="1:15">
      <c r="A29" s="1794"/>
      <c r="B29" s="1456" t="s">
        <v>1980</v>
      </c>
      <c r="C29" s="1456">
        <v>390</v>
      </c>
      <c r="D29" s="1456">
        <v>300</v>
      </c>
      <c r="E29" s="1456">
        <v>10</v>
      </c>
      <c r="F29" s="1456">
        <v>16</v>
      </c>
      <c r="G29" s="1456">
        <v>24</v>
      </c>
      <c r="H29" s="1456">
        <v>186.7</v>
      </c>
      <c r="I29" s="1461">
        <v>107</v>
      </c>
      <c r="J29" s="1462">
        <v>38900</v>
      </c>
      <c r="K29" s="1462">
        <v>2000</v>
      </c>
      <c r="L29" s="1463">
        <v>16.899999999999999</v>
      </c>
      <c r="M29" s="1462">
        <v>7210</v>
      </c>
      <c r="N29" s="1462">
        <v>481</v>
      </c>
      <c r="O29" s="1463">
        <v>7.26</v>
      </c>
    </row>
    <row r="30" spans="1:15">
      <c r="A30" s="1794"/>
      <c r="B30" s="1456" t="s">
        <v>1981</v>
      </c>
      <c r="C30" s="1456">
        <v>440</v>
      </c>
      <c r="D30" s="1456">
        <v>300</v>
      </c>
      <c r="E30" s="1456">
        <v>11</v>
      </c>
      <c r="F30" s="1456">
        <v>18</v>
      </c>
      <c r="G30" s="1456">
        <v>24</v>
      </c>
      <c r="H30" s="1456">
        <v>157.4</v>
      </c>
      <c r="I30" s="1461">
        <v>124</v>
      </c>
      <c r="J30" s="1462">
        <v>56100</v>
      </c>
      <c r="K30" s="1462">
        <v>2550</v>
      </c>
      <c r="L30" s="1463">
        <v>15.9</v>
      </c>
      <c r="M30" s="1462">
        <v>8110</v>
      </c>
      <c r="N30" s="1462">
        <v>541</v>
      </c>
      <c r="O30" s="1463">
        <v>7.18</v>
      </c>
    </row>
    <row r="31" spans="1:15">
      <c r="A31" s="1794"/>
      <c r="B31" s="1794" t="s">
        <v>1982</v>
      </c>
      <c r="C31" s="1456">
        <v>482</v>
      </c>
      <c r="D31" s="1456">
        <v>300</v>
      </c>
      <c r="E31" s="1456">
        <v>11</v>
      </c>
      <c r="F31" s="1456">
        <v>15</v>
      </c>
      <c r="G31" s="1456">
        <v>28</v>
      </c>
      <c r="H31" s="1456">
        <v>146.4</v>
      </c>
      <c r="I31" s="1461">
        <v>118</v>
      </c>
      <c r="J31" s="1462">
        <v>60800</v>
      </c>
      <c r="K31" s="1462">
        <v>2520</v>
      </c>
      <c r="L31" s="1463">
        <v>20.399999999999999</v>
      </c>
      <c r="M31" s="1462">
        <v>6770</v>
      </c>
      <c r="N31" s="1462">
        <v>451</v>
      </c>
      <c r="O31" s="1463">
        <v>6.8</v>
      </c>
    </row>
    <row r="32" spans="1:15">
      <c r="A32" s="1794"/>
      <c r="B32" s="1794"/>
      <c r="C32" s="1456">
        <v>488</v>
      </c>
      <c r="D32" s="1456">
        <v>300</v>
      </c>
      <c r="E32" s="1456">
        <v>11</v>
      </c>
      <c r="F32" s="1456">
        <v>18</v>
      </c>
      <c r="G32" s="1456">
        <v>28</v>
      </c>
      <c r="H32" s="1456">
        <v>164.4</v>
      </c>
      <c r="I32" s="1461">
        <v>129</v>
      </c>
      <c r="J32" s="1462">
        <v>71400</v>
      </c>
      <c r="K32" s="1462">
        <v>2930</v>
      </c>
      <c r="L32" s="1463">
        <v>20.8</v>
      </c>
      <c r="M32" s="1462">
        <v>8120</v>
      </c>
      <c r="N32" s="1462">
        <v>541</v>
      </c>
      <c r="O32" s="1463">
        <v>7.03</v>
      </c>
    </row>
    <row r="33" spans="1:15">
      <c r="A33" s="1794"/>
      <c r="B33" s="1794" t="s">
        <v>1983</v>
      </c>
      <c r="C33" s="1456">
        <v>582</v>
      </c>
      <c r="D33" s="1456">
        <v>300</v>
      </c>
      <c r="E33" s="1456">
        <v>12</v>
      </c>
      <c r="F33" s="1456">
        <v>17</v>
      </c>
      <c r="G33" s="1456">
        <v>28</v>
      </c>
      <c r="H33" s="1456">
        <v>174.5</v>
      </c>
      <c r="I33" s="1461">
        <v>137</v>
      </c>
      <c r="J33" s="1462">
        <v>103000</v>
      </c>
      <c r="K33" s="1462">
        <v>3530</v>
      </c>
      <c r="L33" s="1463">
        <v>24.3</v>
      </c>
      <c r="M33" s="1462">
        <v>7670</v>
      </c>
      <c r="N33" s="1462">
        <v>511</v>
      </c>
      <c r="O33" s="1463">
        <v>6.63</v>
      </c>
    </row>
    <row r="34" spans="1:15">
      <c r="A34" s="1794"/>
      <c r="B34" s="1794"/>
      <c r="C34" s="1456">
        <v>588</v>
      </c>
      <c r="D34" s="1456">
        <v>300</v>
      </c>
      <c r="E34" s="1456">
        <v>12</v>
      </c>
      <c r="F34" s="1456">
        <v>20</v>
      </c>
      <c r="G34" s="1456">
        <v>28</v>
      </c>
      <c r="H34" s="1456">
        <v>192.5</v>
      </c>
      <c r="I34" s="1461">
        <v>151</v>
      </c>
      <c r="J34" s="1462">
        <v>118000</v>
      </c>
      <c r="K34" s="1462">
        <v>4020</v>
      </c>
      <c r="L34" s="1463">
        <v>24.8</v>
      </c>
      <c r="M34" s="1462">
        <v>9020</v>
      </c>
      <c r="N34" s="1462">
        <v>601</v>
      </c>
      <c r="O34" s="1463">
        <v>6.53</v>
      </c>
    </row>
    <row r="35" spans="1:15">
      <c r="A35" s="1794"/>
      <c r="B35" s="1794"/>
      <c r="C35" s="1456">
        <v>594</v>
      </c>
      <c r="D35" s="1456">
        <v>302</v>
      </c>
      <c r="E35" s="1456">
        <v>14</v>
      </c>
      <c r="F35" s="1456">
        <v>23</v>
      </c>
      <c r="G35" s="1456">
        <v>28</v>
      </c>
      <c r="H35" s="1456">
        <v>222.4</v>
      </c>
      <c r="I35" s="1461">
        <v>175</v>
      </c>
      <c r="J35" s="1462">
        <v>137000</v>
      </c>
      <c r="K35" s="1462">
        <v>4620</v>
      </c>
      <c r="L35" s="1463">
        <v>24.9</v>
      </c>
      <c r="M35" s="1462">
        <v>10600</v>
      </c>
      <c r="N35" s="1462">
        <v>701</v>
      </c>
      <c r="O35" s="1463">
        <v>6.9</v>
      </c>
    </row>
    <row r="36" spans="1:15">
      <c r="A36" s="1794" t="s">
        <v>1984</v>
      </c>
      <c r="B36" s="1456" t="s">
        <v>1985</v>
      </c>
      <c r="C36" s="1456">
        <v>100</v>
      </c>
      <c r="D36" s="1456">
        <v>60</v>
      </c>
      <c r="E36" s="1456">
        <v>5</v>
      </c>
      <c r="F36" s="1456">
        <v>7</v>
      </c>
      <c r="G36" s="1456">
        <v>10</v>
      </c>
      <c r="H36" s="1456">
        <v>1215</v>
      </c>
      <c r="I36" s="1461">
        <v>9.5399999999999991</v>
      </c>
      <c r="J36" s="1462">
        <v>192</v>
      </c>
      <c r="K36" s="1462">
        <v>38.5</v>
      </c>
      <c r="L36" s="1463">
        <v>3.98</v>
      </c>
      <c r="M36" s="1462">
        <v>14.9</v>
      </c>
      <c r="N36" s="1462">
        <v>5.96</v>
      </c>
      <c r="O36" s="1463">
        <v>1.31</v>
      </c>
    </row>
    <row r="37" spans="1:15">
      <c r="A37" s="1794"/>
      <c r="B37" s="1456" t="s">
        <v>1986</v>
      </c>
      <c r="C37" s="1456">
        <v>125</v>
      </c>
      <c r="D37" s="1456">
        <v>60</v>
      </c>
      <c r="E37" s="1456">
        <v>6</v>
      </c>
      <c r="F37" s="1456">
        <v>8</v>
      </c>
      <c r="G37" s="1456">
        <v>10</v>
      </c>
      <c r="H37" s="1456">
        <v>17.010000000000002</v>
      </c>
      <c r="I37" s="1461">
        <v>13.3</v>
      </c>
      <c r="J37" s="1462">
        <v>417</v>
      </c>
      <c r="K37" s="1462">
        <v>66.8</v>
      </c>
      <c r="L37" s="1463">
        <v>4.95</v>
      </c>
      <c r="M37" s="1462">
        <v>29.3</v>
      </c>
      <c r="N37" s="1462">
        <v>9.75</v>
      </c>
      <c r="O37" s="1463">
        <v>1.31</v>
      </c>
    </row>
    <row r="38" spans="1:15">
      <c r="A38" s="1794"/>
      <c r="B38" s="1456" t="s">
        <v>1987</v>
      </c>
      <c r="C38" s="1456">
        <v>150</v>
      </c>
      <c r="D38" s="1456">
        <v>75</v>
      </c>
      <c r="E38" s="1456">
        <v>5</v>
      </c>
      <c r="F38" s="1456">
        <v>7</v>
      </c>
      <c r="G38" s="1456">
        <v>10</v>
      </c>
      <c r="H38" s="1456">
        <v>18.16</v>
      </c>
      <c r="I38" s="1461">
        <v>14.3</v>
      </c>
      <c r="J38" s="1462">
        <v>679</v>
      </c>
      <c r="K38" s="1462">
        <v>90.6</v>
      </c>
      <c r="L38" s="1463">
        <v>6.12</v>
      </c>
      <c r="M38" s="1462">
        <v>49.6</v>
      </c>
      <c r="N38" s="1462">
        <v>13.2</v>
      </c>
      <c r="O38" s="1463">
        <v>1.65</v>
      </c>
    </row>
    <row r="39" spans="1:15">
      <c r="A39" s="1794"/>
      <c r="B39" s="1456" t="s">
        <v>1988</v>
      </c>
      <c r="C39" s="1456">
        <v>175</v>
      </c>
      <c r="D39" s="1456">
        <v>90</v>
      </c>
      <c r="E39" s="1456">
        <v>5</v>
      </c>
      <c r="F39" s="1456">
        <v>8</v>
      </c>
      <c r="G39" s="1456">
        <v>10</v>
      </c>
      <c r="H39" s="1456">
        <v>23.21</v>
      </c>
      <c r="I39" s="1461">
        <v>18.2</v>
      </c>
      <c r="J39" s="1462">
        <v>1220</v>
      </c>
      <c r="K39" s="1462">
        <v>140</v>
      </c>
      <c r="L39" s="1463">
        <v>7.26</v>
      </c>
      <c r="M39" s="1462">
        <v>97.6</v>
      </c>
      <c r="N39" s="1462">
        <v>21.7</v>
      </c>
      <c r="O39" s="1463">
        <v>2.0499999999999998</v>
      </c>
    </row>
    <row r="40" spans="1:15">
      <c r="A40" s="1794"/>
      <c r="B40" s="1794" t="s">
        <v>1989</v>
      </c>
      <c r="C40" s="1456">
        <v>198</v>
      </c>
      <c r="D40" s="1456">
        <v>99</v>
      </c>
      <c r="E40" s="1456">
        <v>4.5</v>
      </c>
      <c r="F40" s="1456">
        <v>7</v>
      </c>
      <c r="G40" s="1456">
        <v>13</v>
      </c>
      <c r="H40" s="1456">
        <v>23.59</v>
      </c>
      <c r="I40" s="1461">
        <v>18.5</v>
      </c>
      <c r="J40" s="1462">
        <v>1510</v>
      </c>
      <c r="K40" s="1462">
        <v>163</v>
      </c>
      <c r="L40" s="1463">
        <v>8.27</v>
      </c>
      <c r="M40" s="1462">
        <v>114</v>
      </c>
      <c r="N40" s="1462">
        <v>23</v>
      </c>
      <c r="O40" s="1463">
        <v>2.2000000000000002</v>
      </c>
    </row>
    <row r="41" spans="1:15">
      <c r="A41" s="1794"/>
      <c r="B41" s="1794"/>
      <c r="C41" s="1456">
        <v>200</v>
      </c>
      <c r="D41" s="1456">
        <v>100</v>
      </c>
      <c r="E41" s="1456">
        <v>5.5</v>
      </c>
      <c r="F41" s="1456">
        <v>8</v>
      </c>
      <c r="G41" s="1456">
        <v>13</v>
      </c>
      <c r="H41" s="1456">
        <v>27.57</v>
      </c>
      <c r="I41" s="1461">
        <v>21.7</v>
      </c>
      <c r="J41" s="1462">
        <v>1880</v>
      </c>
      <c r="K41" s="1462">
        <v>188</v>
      </c>
      <c r="L41" s="1463">
        <v>8.25</v>
      </c>
      <c r="M41" s="1462">
        <v>134</v>
      </c>
      <c r="N41" s="1462">
        <v>26.8</v>
      </c>
      <c r="O41" s="1463">
        <v>2.21</v>
      </c>
    </row>
    <row r="42" spans="1:15">
      <c r="A42" s="1794"/>
      <c r="B42" s="1794" t="s">
        <v>1990</v>
      </c>
      <c r="C42" s="1456">
        <v>248</v>
      </c>
      <c r="D42" s="1456">
        <v>124</v>
      </c>
      <c r="E42" s="1456">
        <v>5</v>
      </c>
      <c r="F42" s="1456">
        <v>8</v>
      </c>
      <c r="G42" s="1456">
        <v>13</v>
      </c>
      <c r="H42" s="1456">
        <v>32.89</v>
      </c>
      <c r="I42" s="1461">
        <v>25.8</v>
      </c>
      <c r="J42" s="1462">
        <v>3560</v>
      </c>
      <c r="K42" s="1462">
        <v>287</v>
      </c>
      <c r="L42" s="1463">
        <v>10.4</v>
      </c>
      <c r="M42" s="1462">
        <v>255</v>
      </c>
      <c r="N42" s="1462">
        <v>41.1</v>
      </c>
      <c r="O42" s="1463">
        <v>2.78</v>
      </c>
    </row>
    <row r="43" spans="1:15">
      <c r="A43" s="1794"/>
      <c r="B43" s="1794"/>
      <c r="C43" s="1456">
        <v>250</v>
      </c>
      <c r="D43" s="1456">
        <v>125</v>
      </c>
      <c r="E43" s="1456">
        <v>6</v>
      </c>
      <c r="F43" s="1456">
        <v>9</v>
      </c>
      <c r="G43" s="1456">
        <v>13</v>
      </c>
      <c r="H43" s="1456">
        <v>37.869999999999997</v>
      </c>
      <c r="I43" s="1461">
        <v>29.7</v>
      </c>
      <c r="J43" s="1462">
        <v>4080</v>
      </c>
      <c r="K43" s="1462">
        <v>326</v>
      </c>
      <c r="L43" s="1463">
        <v>10.4</v>
      </c>
      <c r="M43" s="1462">
        <v>294</v>
      </c>
      <c r="N43" s="1462">
        <v>47</v>
      </c>
      <c r="O43" s="1463">
        <v>2.79</v>
      </c>
    </row>
    <row r="44" spans="1:15">
      <c r="A44" s="1794"/>
      <c r="B44" s="1794" t="s">
        <v>1991</v>
      </c>
      <c r="C44" s="1456">
        <v>298</v>
      </c>
      <c r="D44" s="1456">
        <v>149</v>
      </c>
      <c r="E44" s="1456">
        <v>5.5</v>
      </c>
      <c r="F44" s="1456">
        <v>8</v>
      </c>
      <c r="G44" s="1456">
        <v>16</v>
      </c>
      <c r="H44" s="1456">
        <v>41.55</v>
      </c>
      <c r="I44" s="1461">
        <v>32.6</v>
      </c>
      <c r="J44" s="1462">
        <v>6460</v>
      </c>
      <c r="K44" s="1462">
        <v>433</v>
      </c>
      <c r="L44" s="1463">
        <v>12.4</v>
      </c>
      <c r="M44" s="1462">
        <v>443</v>
      </c>
      <c r="N44" s="1462">
        <v>59.4</v>
      </c>
      <c r="O44" s="1463">
        <v>3.26</v>
      </c>
    </row>
    <row r="45" spans="1:15">
      <c r="A45" s="1794"/>
      <c r="B45" s="1794"/>
      <c r="C45" s="1456">
        <v>300</v>
      </c>
      <c r="D45" s="1456">
        <v>150</v>
      </c>
      <c r="E45" s="1456">
        <v>6.5</v>
      </c>
      <c r="F45" s="1456">
        <v>9</v>
      </c>
      <c r="G45" s="1456">
        <v>16</v>
      </c>
      <c r="H45" s="1456">
        <v>47.53</v>
      </c>
      <c r="I45" s="1461">
        <v>37.299999999999997</v>
      </c>
      <c r="J45" s="1462">
        <v>7350</v>
      </c>
      <c r="K45" s="1462">
        <v>490</v>
      </c>
      <c r="L45" s="1463">
        <v>12.4</v>
      </c>
      <c r="M45" s="1462">
        <v>508</v>
      </c>
      <c r="N45" s="1462">
        <v>67.7</v>
      </c>
      <c r="O45" s="1463">
        <v>3.27</v>
      </c>
    </row>
    <row r="46" spans="1:15">
      <c r="A46" s="1794"/>
      <c r="B46" s="1794" t="s">
        <v>1992</v>
      </c>
      <c r="C46" s="1456">
        <v>346</v>
      </c>
      <c r="D46" s="1456">
        <v>174</v>
      </c>
      <c r="E46" s="1456">
        <v>6</v>
      </c>
      <c r="F46" s="1456">
        <v>9</v>
      </c>
      <c r="G46" s="1456">
        <v>18</v>
      </c>
      <c r="H46" s="1456">
        <v>53.19</v>
      </c>
      <c r="I46" s="1461">
        <v>41.8</v>
      </c>
      <c r="J46" s="1462">
        <v>11200</v>
      </c>
      <c r="K46" s="1462">
        <v>649</v>
      </c>
      <c r="L46" s="1463">
        <v>14.5</v>
      </c>
      <c r="M46" s="1462">
        <v>792</v>
      </c>
      <c r="N46" s="1462">
        <v>91</v>
      </c>
      <c r="O46" s="1463">
        <v>3.96</v>
      </c>
    </row>
    <row r="47" spans="1:15">
      <c r="A47" s="1794"/>
      <c r="B47" s="1794"/>
      <c r="C47" s="1456">
        <v>350</v>
      </c>
      <c r="D47" s="1456">
        <v>175</v>
      </c>
      <c r="E47" s="1456">
        <v>7</v>
      </c>
      <c r="F47" s="1456">
        <v>11</v>
      </c>
      <c r="G47" s="1456">
        <v>16</v>
      </c>
      <c r="H47" s="1456">
        <v>63.86</v>
      </c>
      <c r="I47" s="1461">
        <v>50</v>
      </c>
      <c r="J47" s="1462">
        <v>13700</v>
      </c>
      <c r="K47" s="1462">
        <v>782</v>
      </c>
      <c r="L47" s="1463">
        <v>14.7</v>
      </c>
      <c r="M47" s="1462">
        <v>985</v>
      </c>
      <c r="N47" s="1462">
        <v>113</v>
      </c>
      <c r="O47" s="1463">
        <v>3.93</v>
      </c>
    </row>
    <row r="48" spans="1:15" s="1464" customFormat="1">
      <c r="A48" s="1794"/>
      <c r="B48" s="1464" t="s">
        <v>1993</v>
      </c>
      <c r="C48" s="1464">
        <v>400</v>
      </c>
      <c r="D48" s="1464">
        <v>150</v>
      </c>
      <c r="E48" s="1464">
        <v>8</v>
      </c>
      <c r="F48" s="1464">
        <v>13</v>
      </c>
      <c r="G48" s="1464">
        <v>16</v>
      </c>
      <c r="H48" s="1464">
        <v>71.12</v>
      </c>
      <c r="I48" s="1465">
        <v>55.8</v>
      </c>
      <c r="J48" s="1466">
        <v>18800</v>
      </c>
      <c r="K48" s="1466">
        <v>942</v>
      </c>
      <c r="L48" s="1467">
        <v>16.3</v>
      </c>
      <c r="M48" s="1466">
        <v>784</v>
      </c>
      <c r="N48" s="1466">
        <v>97.9</v>
      </c>
      <c r="O48" s="1467">
        <v>3.21</v>
      </c>
    </row>
    <row r="49" spans="1:15" s="1464" customFormat="1">
      <c r="A49" s="1794"/>
      <c r="B49" s="1795" t="s">
        <v>1994</v>
      </c>
      <c r="C49" s="1464">
        <v>396</v>
      </c>
      <c r="D49" s="1464">
        <v>199</v>
      </c>
      <c r="E49" s="1464">
        <v>7</v>
      </c>
      <c r="F49" s="1464">
        <v>11</v>
      </c>
      <c r="G49" s="1464">
        <v>16</v>
      </c>
      <c r="H49" s="1464">
        <v>72.16</v>
      </c>
      <c r="I49" s="1465">
        <v>56.7</v>
      </c>
      <c r="J49" s="1466">
        <v>20000</v>
      </c>
      <c r="K49" s="1466">
        <v>1010</v>
      </c>
      <c r="L49" s="1467">
        <v>16.7</v>
      </c>
      <c r="M49" s="1466">
        <v>1450</v>
      </c>
      <c r="N49" s="1466">
        <v>145</v>
      </c>
      <c r="O49" s="1467">
        <v>4.4800000000000004</v>
      </c>
    </row>
    <row r="50" spans="1:15" s="1464" customFormat="1">
      <c r="A50" s="1794"/>
      <c r="B50" s="1795"/>
      <c r="C50" s="1464">
        <v>400</v>
      </c>
      <c r="D50" s="1464">
        <v>200</v>
      </c>
      <c r="E50" s="1464">
        <v>8</v>
      </c>
      <c r="F50" s="1464">
        <v>13</v>
      </c>
      <c r="G50" s="1464">
        <v>16</v>
      </c>
      <c r="H50" s="1464">
        <v>84.12</v>
      </c>
      <c r="I50" s="1465">
        <v>66</v>
      </c>
      <c r="J50" s="1466">
        <v>23700</v>
      </c>
      <c r="K50" s="1466">
        <v>1190</v>
      </c>
      <c r="L50" s="1467">
        <v>16.8</v>
      </c>
      <c r="M50" s="1466">
        <v>1740</v>
      </c>
      <c r="N50" s="1466">
        <v>174</v>
      </c>
      <c r="O50" s="1467">
        <v>4.54</v>
      </c>
    </row>
    <row r="51" spans="1:15" s="1464" customFormat="1">
      <c r="A51" s="1794"/>
      <c r="B51" s="1464" t="s">
        <v>1995</v>
      </c>
      <c r="C51" s="1464">
        <v>450</v>
      </c>
      <c r="D51" s="1464">
        <v>150</v>
      </c>
      <c r="E51" s="1464">
        <v>9</v>
      </c>
      <c r="F51" s="1464">
        <v>14</v>
      </c>
      <c r="G51" s="1464">
        <v>20</v>
      </c>
      <c r="H51" s="1464">
        <v>83.41</v>
      </c>
      <c r="I51" s="1465">
        <v>65.5</v>
      </c>
      <c r="J51" s="1466">
        <v>27100</v>
      </c>
      <c r="K51" s="1466">
        <v>1200</v>
      </c>
      <c r="L51" s="1467">
        <v>18</v>
      </c>
      <c r="M51" s="1466">
        <v>793</v>
      </c>
      <c r="N51" s="1466">
        <v>106</v>
      </c>
      <c r="O51" s="1467">
        <v>3.08</v>
      </c>
    </row>
    <row r="52" spans="1:15" s="1464" customFormat="1">
      <c r="A52" s="1794"/>
      <c r="B52" s="1795" t="s">
        <v>1996</v>
      </c>
      <c r="C52" s="1464">
        <v>446</v>
      </c>
      <c r="D52" s="1464">
        <v>199</v>
      </c>
      <c r="E52" s="1464">
        <v>8</v>
      </c>
      <c r="F52" s="1464">
        <v>12</v>
      </c>
      <c r="G52" s="1464">
        <v>20</v>
      </c>
      <c r="H52" s="1464">
        <v>84.95</v>
      </c>
      <c r="I52" s="1465">
        <v>66.7</v>
      </c>
      <c r="J52" s="1466">
        <v>29000</v>
      </c>
      <c r="K52" s="1466">
        <v>1300</v>
      </c>
      <c r="L52" s="1467">
        <v>18.5</v>
      </c>
      <c r="M52" s="1466">
        <v>1580</v>
      </c>
      <c r="N52" s="1466">
        <v>159</v>
      </c>
      <c r="O52" s="1467">
        <v>4.3099999999999996</v>
      </c>
    </row>
    <row r="53" spans="1:15" s="1464" customFormat="1">
      <c r="A53" s="1794"/>
      <c r="B53" s="1795"/>
      <c r="C53" s="1464">
        <v>450</v>
      </c>
      <c r="D53" s="1464">
        <v>200</v>
      </c>
      <c r="E53" s="1464">
        <v>9</v>
      </c>
      <c r="F53" s="1464">
        <v>14</v>
      </c>
      <c r="G53" s="1464">
        <v>20</v>
      </c>
      <c r="H53" s="1464">
        <v>97.41</v>
      </c>
      <c r="I53" s="1465">
        <v>76.5</v>
      </c>
      <c r="J53" s="1466">
        <v>33700</v>
      </c>
      <c r="K53" s="1466">
        <v>1500</v>
      </c>
      <c r="L53" s="1467">
        <v>18.600000000000001</v>
      </c>
      <c r="M53" s="1466">
        <v>1870</v>
      </c>
      <c r="N53" s="1466">
        <v>187</v>
      </c>
      <c r="O53" s="1467">
        <v>4.3499999999999996</v>
      </c>
    </row>
    <row r="54" spans="1:15" s="1464" customFormat="1">
      <c r="A54" s="1794"/>
      <c r="B54" s="1464" t="s">
        <v>1997</v>
      </c>
      <c r="C54" s="1464">
        <v>500</v>
      </c>
      <c r="D54" s="1464">
        <v>150</v>
      </c>
      <c r="E54" s="1464">
        <v>10</v>
      </c>
      <c r="F54" s="1464">
        <v>16</v>
      </c>
      <c r="G54" s="1464">
        <v>20</v>
      </c>
      <c r="H54" s="1464">
        <v>98.28</v>
      </c>
      <c r="I54" s="1465">
        <v>77.099999999999994</v>
      </c>
      <c r="J54" s="1466">
        <v>38500</v>
      </c>
      <c r="K54" s="1466">
        <v>1540</v>
      </c>
      <c r="L54" s="1467">
        <v>19.8</v>
      </c>
      <c r="M54" s="1466">
        <v>907</v>
      </c>
      <c r="N54" s="1466">
        <v>121</v>
      </c>
      <c r="O54" s="1467">
        <v>3.04</v>
      </c>
    </row>
    <row r="55" spans="1:15" s="1464" customFormat="1">
      <c r="A55" s="1794"/>
      <c r="B55" s="1795" t="s">
        <v>1998</v>
      </c>
      <c r="C55" s="1464">
        <v>496</v>
      </c>
      <c r="D55" s="1464">
        <v>199</v>
      </c>
      <c r="E55" s="1464">
        <v>9</v>
      </c>
      <c r="F55" s="1464">
        <v>14</v>
      </c>
      <c r="G55" s="1464">
        <v>20</v>
      </c>
      <c r="H55" s="1464">
        <v>101.3</v>
      </c>
      <c r="I55" s="1465">
        <v>79.5</v>
      </c>
      <c r="J55" s="1466">
        <v>41900</v>
      </c>
      <c r="K55" s="1466">
        <v>1690</v>
      </c>
      <c r="L55" s="1467">
        <v>20.3</v>
      </c>
      <c r="M55" s="1466">
        <v>1840</v>
      </c>
      <c r="N55" s="1466">
        <v>185</v>
      </c>
      <c r="O55" s="1467">
        <v>4.2699999999999996</v>
      </c>
    </row>
    <row r="56" spans="1:15" s="1464" customFormat="1">
      <c r="A56" s="1794"/>
      <c r="B56" s="1795"/>
      <c r="C56" s="1464">
        <v>500</v>
      </c>
      <c r="D56" s="1464">
        <v>200</v>
      </c>
      <c r="E56" s="1464">
        <v>10</v>
      </c>
      <c r="F56" s="1464">
        <v>16</v>
      </c>
      <c r="G56" s="1464">
        <v>20</v>
      </c>
      <c r="H56" s="1464">
        <v>114.2</v>
      </c>
      <c r="I56" s="1465">
        <v>89.6</v>
      </c>
      <c r="J56" s="1466">
        <v>47800</v>
      </c>
      <c r="K56" s="1466">
        <v>2230</v>
      </c>
      <c r="L56" s="1467">
        <v>20.5</v>
      </c>
      <c r="M56" s="1466">
        <v>2140</v>
      </c>
      <c r="N56" s="1466">
        <v>257</v>
      </c>
      <c r="O56" s="1467">
        <v>4.33</v>
      </c>
    </row>
    <row r="57" spans="1:15" s="1464" customFormat="1">
      <c r="A57" s="1794"/>
      <c r="B57" s="1795"/>
      <c r="C57" s="1464">
        <v>500</v>
      </c>
      <c r="D57" s="1464">
        <v>204</v>
      </c>
      <c r="E57" s="1464">
        <v>11</v>
      </c>
      <c r="F57" s="1464">
        <v>19</v>
      </c>
      <c r="G57" s="1464">
        <v>20</v>
      </c>
      <c r="H57" s="1464">
        <v>131.30000000000001</v>
      </c>
      <c r="I57" s="1465">
        <v>103</v>
      </c>
      <c r="J57" s="1466">
        <v>58500</v>
      </c>
      <c r="K57" s="1466">
        <v>2230</v>
      </c>
      <c r="L57" s="1467">
        <v>20.8</v>
      </c>
      <c r="M57" s="1466">
        <v>2580</v>
      </c>
      <c r="N57" s="1466">
        <v>257</v>
      </c>
      <c r="O57" s="1467">
        <v>4.43</v>
      </c>
    </row>
    <row r="58" spans="1:15" s="1464" customFormat="1">
      <c r="A58" s="1794"/>
      <c r="B58" s="1795" t="s">
        <v>1999</v>
      </c>
      <c r="C58" s="1464">
        <v>596</v>
      </c>
      <c r="D58" s="1464">
        <v>199</v>
      </c>
      <c r="E58" s="1464">
        <v>10</v>
      </c>
      <c r="F58" s="1464">
        <v>15</v>
      </c>
      <c r="G58" s="1464">
        <v>24</v>
      </c>
      <c r="H58" s="1464">
        <v>121.2</v>
      </c>
      <c r="I58" s="1465">
        <v>95.1</v>
      </c>
      <c r="J58" s="1466">
        <v>69300</v>
      </c>
      <c r="K58" s="1466">
        <v>2330</v>
      </c>
      <c r="L58" s="1467">
        <v>23.9</v>
      </c>
      <c r="M58" s="1466">
        <v>1980</v>
      </c>
      <c r="N58" s="1466">
        <v>190</v>
      </c>
      <c r="O58" s="1467">
        <v>4.04</v>
      </c>
    </row>
    <row r="59" spans="1:15" s="1464" customFormat="1">
      <c r="A59" s="1794"/>
      <c r="B59" s="1795"/>
      <c r="C59" s="1464">
        <v>600</v>
      </c>
      <c r="D59" s="1464">
        <v>200</v>
      </c>
      <c r="E59" s="1464">
        <v>11</v>
      </c>
      <c r="F59" s="1464">
        <v>17</v>
      </c>
      <c r="G59" s="1464">
        <v>24</v>
      </c>
      <c r="H59" s="1464">
        <v>135.30000000000001</v>
      </c>
      <c r="I59" s="1465">
        <v>106</v>
      </c>
      <c r="J59" s="1466">
        <v>78200</v>
      </c>
      <c r="K59" s="1466">
        <v>2610</v>
      </c>
      <c r="L59" s="1467">
        <v>24.1</v>
      </c>
      <c r="M59" s="1466">
        <v>2280</v>
      </c>
      <c r="N59" s="1466">
        <v>228</v>
      </c>
      <c r="O59" s="1467">
        <v>4.1100000000000003</v>
      </c>
    </row>
    <row r="60" spans="1:15" s="1464" customFormat="1">
      <c r="A60" s="1794"/>
      <c r="B60" s="1795"/>
      <c r="C60" s="1464">
        <v>600</v>
      </c>
      <c r="D60" s="1464">
        <v>207</v>
      </c>
      <c r="E60" s="1464">
        <v>12</v>
      </c>
      <c r="F60" s="1464">
        <v>20</v>
      </c>
      <c r="G60" s="1464">
        <v>24</v>
      </c>
      <c r="H60" s="1464">
        <v>153.30000000000001</v>
      </c>
      <c r="I60" s="1465">
        <v>120</v>
      </c>
      <c r="J60" s="1466">
        <v>91000</v>
      </c>
      <c r="K60" s="1466">
        <v>3000</v>
      </c>
      <c r="L60" s="1467">
        <v>24.4</v>
      </c>
      <c r="M60" s="1466">
        <v>2720</v>
      </c>
      <c r="N60" s="1466">
        <v>271</v>
      </c>
      <c r="O60" s="1467">
        <v>4.21</v>
      </c>
    </row>
    <row r="61" spans="1:15" s="1464" customFormat="1">
      <c r="A61" s="1794"/>
      <c r="B61" s="1795" t="s">
        <v>2000</v>
      </c>
      <c r="C61" s="1464">
        <v>693</v>
      </c>
      <c r="D61" s="1464">
        <v>300</v>
      </c>
      <c r="E61" s="1464">
        <v>13</v>
      </c>
      <c r="F61" s="1464">
        <v>20</v>
      </c>
      <c r="G61" s="1464">
        <v>28</v>
      </c>
      <c r="H61" s="1464">
        <v>211.5</v>
      </c>
      <c r="I61" s="1465">
        <v>166</v>
      </c>
      <c r="J61" s="1466">
        <v>172000</v>
      </c>
      <c r="K61" s="1466">
        <v>4980</v>
      </c>
      <c r="L61" s="1467">
        <v>28.6</v>
      </c>
      <c r="M61" s="1466">
        <v>9020</v>
      </c>
      <c r="N61" s="1466">
        <v>602</v>
      </c>
      <c r="O61" s="1467">
        <v>6.53</v>
      </c>
    </row>
    <row r="62" spans="1:15" s="1464" customFormat="1">
      <c r="A62" s="1794"/>
      <c r="B62" s="1795"/>
      <c r="C62" s="1464">
        <v>700</v>
      </c>
      <c r="D62" s="1464">
        <v>300</v>
      </c>
      <c r="E62" s="1464">
        <v>13</v>
      </c>
      <c r="F62" s="1464">
        <v>24</v>
      </c>
      <c r="G62" s="1464">
        <v>28</v>
      </c>
      <c r="H62" s="1464">
        <v>235.5</v>
      </c>
      <c r="I62" s="1465">
        <v>185</v>
      </c>
      <c r="J62" s="1466">
        <v>201000</v>
      </c>
      <c r="K62" s="1466">
        <v>6760</v>
      </c>
      <c r="L62" s="1467">
        <v>29.3</v>
      </c>
      <c r="M62" s="1466">
        <v>10800</v>
      </c>
      <c r="N62" s="1466">
        <v>722</v>
      </c>
      <c r="O62" s="1467">
        <v>6.78</v>
      </c>
    </row>
    <row r="63" spans="1:15" s="1464" customFormat="1">
      <c r="A63" s="1794"/>
      <c r="B63" s="1795" t="s">
        <v>2001</v>
      </c>
      <c r="C63" s="1464">
        <v>792</v>
      </c>
      <c r="D63" s="1464">
        <v>300</v>
      </c>
      <c r="E63" s="1464">
        <v>14</v>
      </c>
      <c r="F63" s="1464">
        <v>22</v>
      </c>
      <c r="G63" s="1464">
        <v>28</v>
      </c>
      <c r="H63" s="1464">
        <v>243.4</v>
      </c>
      <c r="I63" s="1465">
        <v>191</v>
      </c>
      <c r="J63" s="1466">
        <v>254000</v>
      </c>
      <c r="K63" s="1466">
        <v>6400</v>
      </c>
      <c r="L63" s="1467">
        <v>32.299999999999997</v>
      </c>
      <c r="M63" s="1466">
        <v>9930</v>
      </c>
      <c r="N63" s="1466">
        <v>682</v>
      </c>
      <c r="O63" s="1467">
        <v>6.59</v>
      </c>
    </row>
    <row r="64" spans="1:15" s="1464" customFormat="1">
      <c r="A64" s="1794"/>
      <c r="B64" s="1795"/>
      <c r="C64" s="1464">
        <v>800</v>
      </c>
      <c r="D64" s="1464">
        <v>300</v>
      </c>
      <c r="E64" s="1464">
        <v>14</v>
      </c>
      <c r="F64" s="1464">
        <v>26</v>
      </c>
      <c r="G64" s="1464">
        <v>28</v>
      </c>
      <c r="H64" s="1464">
        <v>267.39999999999998</v>
      </c>
      <c r="I64" s="1465">
        <v>210</v>
      </c>
      <c r="J64" s="1466">
        <v>292000</v>
      </c>
      <c r="K64" s="1466">
        <v>7200</v>
      </c>
      <c r="L64" s="1467">
        <v>33</v>
      </c>
      <c r="M64" s="1466">
        <v>11700</v>
      </c>
      <c r="N64" s="1466">
        <v>782</v>
      </c>
      <c r="O64" s="1467">
        <v>6.62</v>
      </c>
    </row>
    <row r="65" spans="1:15" s="1464" customFormat="1">
      <c r="A65" s="1794"/>
      <c r="B65" s="1795" t="s">
        <v>2002</v>
      </c>
      <c r="C65" s="1464">
        <v>890</v>
      </c>
      <c r="D65" s="1464">
        <v>299</v>
      </c>
      <c r="E65" s="1464">
        <v>15</v>
      </c>
      <c r="F65" s="1464">
        <v>28</v>
      </c>
      <c r="G65" s="1464">
        <v>28</v>
      </c>
      <c r="H65" s="1464">
        <v>270.89999999999998</v>
      </c>
      <c r="I65" s="1465">
        <v>213</v>
      </c>
      <c r="J65" s="1466">
        <v>845000</v>
      </c>
      <c r="K65" s="1466">
        <v>1160</v>
      </c>
      <c r="L65" s="1467">
        <v>35.700000000000003</v>
      </c>
      <c r="M65" s="1466">
        <v>10300</v>
      </c>
      <c r="N65" s="1466">
        <v>688</v>
      </c>
      <c r="O65" s="1467">
        <v>6.16</v>
      </c>
    </row>
    <row r="66" spans="1:15" s="1464" customFormat="1">
      <c r="A66" s="1794"/>
      <c r="B66" s="1795"/>
      <c r="C66" s="1464">
        <v>900</v>
      </c>
      <c r="D66" s="1464">
        <v>300</v>
      </c>
      <c r="E66" s="1464">
        <v>16</v>
      </c>
      <c r="F66" s="1464">
        <v>28</v>
      </c>
      <c r="G66" s="1464">
        <v>28</v>
      </c>
      <c r="H66" s="1464">
        <v>300.8</v>
      </c>
      <c r="I66" s="1465">
        <v>243</v>
      </c>
      <c r="J66" s="1466">
        <v>411000</v>
      </c>
      <c r="K66" s="1466">
        <v>91.1</v>
      </c>
      <c r="L66" s="1467">
        <v>36.4</v>
      </c>
      <c r="M66" s="1466">
        <v>12600</v>
      </c>
      <c r="N66" s="1466">
        <v>848</v>
      </c>
      <c r="O66" s="1467">
        <v>6.39</v>
      </c>
    </row>
    <row r="67" spans="1:15">
      <c r="O67" s="1468"/>
    </row>
    <row r="68" spans="1:15">
      <c r="O68" s="1468"/>
    </row>
    <row r="69" spans="1:15">
      <c r="O69" s="1468"/>
    </row>
    <row r="70" spans="1:15">
      <c r="O70" s="1468"/>
    </row>
    <row r="71" spans="1:15">
      <c r="O71" s="1468"/>
    </row>
    <row r="72" spans="1:15">
      <c r="O72" s="1468"/>
    </row>
    <row r="73" spans="1:15">
      <c r="O73" s="1468"/>
    </row>
    <row r="74" spans="1:15">
      <c r="O74" s="1468"/>
    </row>
    <row r="75" spans="1:15">
      <c r="O75" s="1468"/>
    </row>
    <row r="76" spans="1:15">
      <c r="O76" s="1468"/>
    </row>
    <row r="77" spans="1:15">
      <c r="O77" s="1468"/>
    </row>
    <row r="78" spans="1:15">
      <c r="O78" s="1468"/>
    </row>
  </sheetData>
  <autoFilter ref="A3:O3"/>
  <mergeCells count="23">
    <mergeCell ref="M1:O1"/>
    <mergeCell ref="A4:A23"/>
    <mergeCell ref="B8:B9"/>
    <mergeCell ref="B10:B11"/>
    <mergeCell ref="B12:B14"/>
    <mergeCell ref="B15:B16"/>
    <mergeCell ref="B17:B23"/>
    <mergeCell ref="J1:L1"/>
    <mergeCell ref="A24:A35"/>
    <mergeCell ref="B31:B32"/>
    <mergeCell ref="B33:B35"/>
    <mergeCell ref="A36:A66"/>
    <mergeCell ref="B40:B41"/>
    <mergeCell ref="B55:B57"/>
    <mergeCell ref="B58:B60"/>
    <mergeCell ref="B61:B62"/>
    <mergeCell ref="B63:B64"/>
    <mergeCell ref="B65:B66"/>
    <mergeCell ref="B42:B43"/>
    <mergeCell ref="B44:B45"/>
    <mergeCell ref="B46:B47"/>
    <mergeCell ref="B49:B50"/>
    <mergeCell ref="B52:B53"/>
  </mergeCells>
  <pageMargins left="0.75" right="0.75" top="1" bottom="1" header="0.5" footer="0.5"/>
  <pageSetup paperSize="9" orientation="portrait" horizontalDpi="4294967293" verticalDpi="0" r:id="rId1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85"/>
  <sheetViews>
    <sheetView topLeftCell="A173" workbookViewId="0">
      <selection activeCell="D31" sqref="D31"/>
    </sheetView>
  </sheetViews>
  <sheetFormatPr defaultRowHeight="12"/>
  <cols>
    <col min="18" max="18" width="10.5703125" bestFit="1" customWidth="1"/>
    <col min="19" max="19" width="11" customWidth="1"/>
  </cols>
  <sheetData>
    <row r="1" spans="1:15" ht="14.25">
      <c r="A1" s="1469" t="s">
        <v>2003</v>
      </c>
    </row>
    <row r="2" spans="1:15" ht="12.75" thickBot="1">
      <c r="A2" s="1470"/>
    </row>
    <row r="3" spans="1:15" ht="12.75" thickBot="1">
      <c r="A3" s="1800" t="s">
        <v>2004</v>
      </c>
      <c r="B3" s="1801"/>
      <c r="C3" s="1801"/>
      <c r="D3" s="1801"/>
      <c r="E3" s="1801"/>
      <c r="F3" s="1801"/>
      <c r="G3" s="1801"/>
      <c r="H3" s="1801"/>
      <c r="I3" s="1801"/>
      <c r="J3" s="1801"/>
      <c r="K3" s="1801"/>
      <c r="L3" s="1801"/>
      <c r="M3" s="1801"/>
      <c r="N3" s="1801"/>
      <c r="O3" s="1802"/>
    </row>
    <row r="4" spans="1:15" ht="18" customHeight="1" thickBot="1">
      <c r="A4" s="1821" t="s">
        <v>2005</v>
      </c>
      <c r="B4" s="1814" t="s">
        <v>2006</v>
      </c>
      <c r="C4" s="1815"/>
      <c r="D4" s="1815"/>
      <c r="E4" s="1815"/>
      <c r="F4" s="1816"/>
      <c r="G4" s="1821" t="s">
        <v>2007</v>
      </c>
      <c r="H4" s="1821" t="s">
        <v>2008</v>
      </c>
      <c r="I4" s="1814" t="s">
        <v>2009</v>
      </c>
      <c r="J4" s="1815"/>
      <c r="K4" s="1815"/>
      <c r="L4" s="1815"/>
      <c r="M4" s="1815"/>
      <c r="N4" s="1815"/>
      <c r="O4" s="1816"/>
    </row>
    <row r="5" spans="1:15" ht="12.75" thickBot="1">
      <c r="A5" s="1822"/>
      <c r="B5" s="1471" t="s">
        <v>573</v>
      </c>
      <c r="C5" s="1471" t="s">
        <v>574</v>
      </c>
      <c r="D5" s="1471" t="s">
        <v>2010</v>
      </c>
      <c r="E5" s="1471" t="s">
        <v>1507</v>
      </c>
      <c r="F5" s="1471" t="s">
        <v>614</v>
      </c>
      <c r="G5" s="1822"/>
      <c r="H5" s="1822"/>
      <c r="I5" s="1471" t="s">
        <v>2011</v>
      </c>
      <c r="J5" s="1471" t="s">
        <v>2012</v>
      </c>
      <c r="K5" s="1471" t="s">
        <v>2013</v>
      </c>
      <c r="L5" s="1471" t="s">
        <v>2014</v>
      </c>
      <c r="M5" s="1471" t="s">
        <v>2015</v>
      </c>
      <c r="N5" s="1471" t="s">
        <v>2016</v>
      </c>
      <c r="O5" s="1471" t="s">
        <v>2017</v>
      </c>
    </row>
    <row r="6" spans="1:15" ht="12.75" thickBot="1">
      <c r="A6" s="1814" t="s">
        <v>2018</v>
      </c>
      <c r="B6" s="1815"/>
      <c r="C6" s="1815"/>
      <c r="D6" s="1815"/>
      <c r="E6" s="1815"/>
      <c r="F6" s="1815"/>
      <c r="G6" s="1815"/>
      <c r="H6" s="1815"/>
      <c r="I6" s="1815"/>
      <c r="J6" s="1815"/>
      <c r="K6" s="1815"/>
      <c r="L6" s="1815"/>
      <c r="M6" s="1815"/>
      <c r="N6" s="1815"/>
      <c r="O6" s="1816"/>
    </row>
    <row r="7" spans="1:15" ht="12.75" thickBot="1">
      <c r="A7" s="1471" t="s">
        <v>2019</v>
      </c>
      <c r="B7" s="1471">
        <v>200</v>
      </c>
      <c r="C7" s="1471">
        <v>100</v>
      </c>
      <c r="D7" s="1471">
        <v>5.5</v>
      </c>
      <c r="E7" s="1471">
        <v>8</v>
      </c>
      <c r="F7" s="1471">
        <v>11</v>
      </c>
      <c r="G7" s="1471">
        <v>27.16</v>
      </c>
      <c r="H7" s="1471">
        <v>21.3</v>
      </c>
      <c r="I7" s="1471">
        <v>1844</v>
      </c>
      <c r="J7" s="1471">
        <v>184.4</v>
      </c>
      <c r="K7" s="1471">
        <v>104.7</v>
      </c>
      <c r="L7" s="1471">
        <v>8.24</v>
      </c>
      <c r="M7" s="1471">
        <v>133.9</v>
      </c>
      <c r="N7" s="1471">
        <v>26.8</v>
      </c>
      <c r="O7" s="1471">
        <v>2.2200000000000002</v>
      </c>
    </row>
    <row r="8" spans="1:15" ht="12.75" thickBot="1">
      <c r="A8" s="1471" t="s">
        <v>2020</v>
      </c>
      <c r="B8" s="1471">
        <v>248</v>
      </c>
      <c r="C8" s="1471">
        <v>124</v>
      </c>
      <c r="D8" s="1471">
        <v>5</v>
      </c>
      <c r="E8" s="1471">
        <v>8</v>
      </c>
      <c r="F8" s="1471">
        <v>12</v>
      </c>
      <c r="G8" s="1471">
        <v>32.68</v>
      </c>
      <c r="H8" s="1471">
        <v>25.7</v>
      </c>
      <c r="I8" s="1471">
        <v>3537</v>
      </c>
      <c r="J8" s="1471">
        <v>285.3</v>
      </c>
      <c r="K8" s="1471">
        <v>159.69999999999999</v>
      </c>
      <c r="L8" s="1471">
        <v>10.4</v>
      </c>
      <c r="M8" s="1471">
        <v>254.8</v>
      </c>
      <c r="N8" s="1471">
        <v>41.1</v>
      </c>
      <c r="O8" s="1471">
        <v>2.79</v>
      </c>
    </row>
    <row r="9" spans="1:15" ht="12.75" thickBot="1">
      <c r="A9" s="1471" t="s">
        <v>2021</v>
      </c>
      <c r="B9" s="1471">
        <v>250</v>
      </c>
      <c r="C9" s="1471">
        <v>125</v>
      </c>
      <c r="D9" s="1471">
        <v>6</v>
      </c>
      <c r="E9" s="1471">
        <v>9</v>
      </c>
      <c r="F9" s="1471">
        <v>12</v>
      </c>
      <c r="G9" s="1471">
        <v>37.659999999999997</v>
      </c>
      <c r="H9" s="1471">
        <v>29.6</v>
      </c>
      <c r="I9" s="1471">
        <v>4052</v>
      </c>
      <c r="J9" s="1471">
        <v>324.2</v>
      </c>
      <c r="K9" s="1471">
        <v>182.9</v>
      </c>
      <c r="L9" s="1471">
        <v>10.37</v>
      </c>
      <c r="M9" s="1471">
        <v>293.8</v>
      </c>
      <c r="N9" s="1471">
        <v>47</v>
      </c>
      <c r="O9" s="1471">
        <v>2.79</v>
      </c>
    </row>
    <row r="10" spans="1:15" ht="12.75" thickBot="1">
      <c r="A10" s="1471" t="s">
        <v>2022</v>
      </c>
      <c r="B10" s="1471">
        <v>298</v>
      </c>
      <c r="C10" s="1471">
        <v>149</v>
      </c>
      <c r="D10" s="1471">
        <v>5.5</v>
      </c>
      <c r="E10" s="1471">
        <v>8</v>
      </c>
      <c r="F10" s="1471">
        <v>13</v>
      </c>
      <c r="G10" s="1471">
        <v>40.799999999999997</v>
      </c>
      <c r="H10" s="1471">
        <v>32</v>
      </c>
      <c r="I10" s="1471">
        <v>6319</v>
      </c>
      <c r="J10" s="1471">
        <v>424.1</v>
      </c>
      <c r="K10" s="1471">
        <v>237.5</v>
      </c>
      <c r="L10" s="1471">
        <v>12.44</v>
      </c>
      <c r="M10" s="1471">
        <v>441.9</v>
      </c>
      <c r="N10" s="1471">
        <v>59.3</v>
      </c>
      <c r="O10" s="1471">
        <v>3.29</v>
      </c>
    </row>
    <row r="11" spans="1:15" ht="12.75" thickBot="1">
      <c r="A11" s="1471" t="s">
        <v>2023</v>
      </c>
      <c r="B11" s="1471">
        <v>300</v>
      </c>
      <c r="C11" s="1471">
        <v>150</v>
      </c>
      <c r="D11" s="1471">
        <v>6.5</v>
      </c>
      <c r="E11" s="1471">
        <v>9</v>
      </c>
      <c r="F11" s="1471">
        <v>13</v>
      </c>
      <c r="G11" s="1471">
        <v>46.78</v>
      </c>
      <c r="H11" s="1471">
        <v>36.700000000000003</v>
      </c>
      <c r="I11" s="1471">
        <v>7210</v>
      </c>
      <c r="J11" s="1471">
        <v>480.6</v>
      </c>
      <c r="K11" s="1471">
        <v>271.10000000000002</v>
      </c>
      <c r="L11" s="1471">
        <v>12.41</v>
      </c>
      <c r="M11" s="1471">
        <v>507.4</v>
      </c>
      <c r="N11" s="1471">
        <v>67.7</v>
      </c>
      <c r="O11" s="1471">
        <v>3.29</v>
      </c>
    </row>
    <row r="12" spans="1:15" ht="12.75" thickBot="1">
      <c r="A12" s="1471" t="s">
        <v>2024</v>
      </c>
      <c r="B12" s="1471">
        <v>346</v>
      </c>
      <c r="C12" s="1471">
        <v>174</v>
      </c>
      <c r="D12" s="1471">
        <v>6</v>
      </c>
      <c r="E12" s="1471">
        <v>9</v>
      </c>
      <c r="F12" s="1471">
        <v>14</v>
      </c>
      <c r="G12" s="1471">
        <v>52.68</v>
      </c>
      <c r="H12" s="1471">
        <v>41.4</v>
      </c>
      <c r="I12" s="1471">
        <v>11095</v>
      </c>
      <c r="J12" s="1471">
        <v>641.29999999999995</v>
      </c>
      <c r="K12" s="1471">
        <v>358.1</v>
      </c>
      <c r="L12" s="1471">
        <v>14.51</v>
      </c>
      <c r="M12" s="1471">
        <v>791.4</v>
      </c>
      <c r="N12" s="1471">
        <v>91</v>
      </c>
      <c r="O12" s="1471">
        <v>3.88</v>
      </c>
    </row>
    <row r="13" spans="1:15" ht="12.75" thickBot="1">
      <c r="A13" s="1471" t="s">
        <v>2025</v>
      </c>
      <c r="B13" s="1471">
        <v>350</v>
      </c>
      <c r="C13" s="1471">
        <v>175</v>
      </c>
      <c r="D13" s="1471">
        <v>7</v>
      </c>
      <c r="E13" s="1471">
        <v>11</v>
      </c>
      <c r="F13" s="1471">
        <v>14</v>
      </c>
      <c r="G13" s="1471">
        <v>63.14</v>
      </c>
      <c r="H13" s="1471" t="s">
        <v>2026</v>
      </c>
      <c r="I13" s="1471">
        <v>13560</v>
      </c>
      <c r="J13" s="1471">
        <v>774.8</v>
      </c>
      <c r="K13" s="1471">
        <v>434</v>
      </c>
      <c r="L13" s="1471">
        <v>14.65</v>
      </c>
      <c r="M13" s="1471">
        <v>984.2</v>
      </c>
      <c r="N13" s="1471">
        <v>112.5</v>
      </c>
      <c r="O13" s="1471">
        <v>3.95</v>
      </c>
    </row>
    <row r="14" spans="1:15" ht="12.75" thickBot="1">
      <c r="A14" s="1471" t="s">
        <v>2027</v>
      </c>
      <c r="B14" s="1471">
        <v>396</v>
      </c>
      <c r="C14" s="1471">
        <v>199</v>
      </c>
      <c r="D14" s="1471">
        <v>7</v>
      </c>
      <c r="E14" s="1471">
        <v>11</v>
      </c>
      <c r="F14" s="1471">
        <v>16</v>
      </c>
      <c r="G14" s="1471">
        <v>72.16</v>
      </c>
      <c r="H14" s="1471">
        <v>56.6</v>
      </c>
      <c r="I14" s="1471">
        <v>20020</v>
      </c>
      <c r="J14" s="1471">
        <v>1011.1</v>
      </c>
      <c r="K14" s="1471">
        <v>564</v>
      </c>
      <c r="L14" s="1471">
        <v>16.66</v>
      </c>
      <c r="M14" s="1471">
        <v>1446.9</v>
      </c>
      <c r="N14" s="1471">
        <v>145.4</v>
      </c>
      <c r="O14" s="1471">
        <v>4.4800000000000004</v>
      </c>
    </row>
    <row r="15" spans="1:15" ht="12.75" thickBot="1">
      <c r="A15" s="1471" t="s">
        <v>2028</v>
      </c>
      <c r="B15" s="1471">
        <v>400</v>
      </c>
      <c r="C15" s="1471">
        <v>200</v>
      </c>
      <c r="D15" s="1471">
        <v>8</v>
      </c>
      <c r="E15" s="1471">
        <v>13</v>
      </c>
      <c r="F15" s="1471">
        <v>16</v>
      </c>
      <c r="G15" s="1471">
        <v>84.12</v>
      </c>
      <c r="H15" s="1471">
        <v>66</v>
      </c>
      <c r="I15" s="1471">
        <v>23706</v>
      </c>
      <c r="J15" s="1471">
        <v>1185.3</v>
      </c>
      <c r="K15" s="1471">
        <v>663.2</v>
      </c>
      <c r="L15" s="1471">
        <v>16.79</v>
      </c>
      <c r="M15" s="1471">
        <v>1736.2</v>
      </c>
      <c r="N15" s="1471">
        <v>173.6</v>
      </c>
      <c r="O15" s="1471">
        <v>4.54</v>
      </c>
    </row>
    <row r="16" spans="1:15" ht="12.75" thickBot="1">
      <c r="A16" s="1471" t="s">
        <v>2029</v>
      </c>
      <c r="B16" s="1471">
        <v>446</v>
      </c>
      <c r="C16" s="1471">
        <v>199</v>
      </c>
      <c r="D16" s="1471">
        <v>8</v>
      </c>
      <c r="E16" s="1471">
        <v>12</v>
      </c>
      <c r="F16" s="1471">
        <v>18</v>
      </c>
      <c r="G16" s="1471">
        <v>84.3</v>
      </c>
      <c r="H16" s="1471">
        <v>66.2</v>
      </c>
      <c r="I16" s="1471">
        <v>28699</v>
      </c>
      <c r="J16" s="1471">
        <v>1287</v>
      </c>
      <c r="K16" s="1471">
        <v>725.1</v>
      </c>
      <c r="L16" s="1471">
        <v>18.45</v>
      </c>
      <c r="M16" s="1471">
        <v>1579.7</v>
      </c>
      <c r="N16" s="1471">
        <v>158.80000000000001</v>
      </c>
      <c r="O16" s="1471">
        <v>4.33</v>
      </c>
    </row>
    <row r="17" spans="1:15" ht="12.75" thickBot="1">
      <c r="A17" s="1471" t="s">
        <v>2030</v>
      </c>
      <c r="B17" s="1471">
        <v>450</v>
      </c>
      <c r="C17" s="1471">
        <v>200</v>
      </c>
      <c r="D17" s="1471">
        <v>9</v>
      </c>
      <c r="E17" s="1471">
        <v>14</v>
      </c>
      <c r="F17" s="1471">
        <v>18</v>
      </c>
      <c r="G17" s="1471">
        <v>96.76</v>
      </c>
      <c r="H17" s="1471">
        <v>76</v>
      </c>
      <c r="I17" s="1471">
        <v>33453</v>
      </c>
      <c r="J17" s="1471">
        <v>1486.8</v>
      </c>
      <c r="K17" s="1471">
        <v>839.6</v>
      </c>
      <c r="L17" s="1471">
        <v>18.59</v>
      </c>
      <c r="M17" s="1471">
        <v>1871.3</v>
      </c>
      <c r="N17" s="1471">
        <v>187.1</v>
      </c>
      <c r="O17" s="1471">
        <v>4.4000000000000004</v>
      </c>
    </row>
    <row r="18" spans="1:15" ht="12.75" thickBot="1">
      <c r="A18" s="1471" t="s">
        <v>2031</v>
      </c>
      <c r="B18" s="1471">
        <v>492</v>
      </c>
      <c r="C18" s="1471">
        <v>199</v>
      </c>
      <c r="D18" s="1471">
        <v>8.8000000000000007</v>
      </c>
      <c r="E18" s="1471">
        <v>12</v>
      </c>
      <c r="F18" s="1471">
        <v>20</v>
      </c>
      <c r="G18" s="1471">
        <v>92.38</v>
      </c>
      <c r="H18" s="1471">
        <v>72.5</v>
      </c>
      <c r="I18" s="1471">
        <v>36845</v>
      </c>
      <c r="J18" s="1471">
        <v>1497.8</v>
      </c>
      <c r="K18" s="1471">
        <v>853.5</v>
      </c>
      <c r="L18" s="1471">
        <v>19.97</v>
      </c>
      <c r="M18" s="1471">
        <v>1581.5</v>
      </c>
      <c r="N18" s="1471">
        <v>158.9</v>
      </c>
      <c r="O18" s="1471">
        <v>4.1399999999999997</v>
      </c>
    </row>
    <row r="19" spans="1:15" ht="12.75" thickBot="1">
      <c r="A19" s="1471" t="s">
        <v>2032</v>
      </c>
      <c r="B19" s="1471">
        <v>496</v>
      </c>
      <c r="C19" s="1471">
        <v>199</v>
      </c>
      <c r="D19" s="1471">
        <v>9</v>
      </c>
      <c r="E19" s="1471">
        <v>14</v>
      </c>
      <c r="F19" s="1471">
        <v>20</v>
      </c>
      <c r="G19" s="1471">
        <v>101.27</v>
      </c>
      <c r="H19" s="1471">
        <v>79.5</v>
      </c>
      <c r="I19" s="1471">
        <v>41872</v>
      </c>
      <c r="J19" s="1471">
        <v>1688.4</v>
      </c>
      <c r="K19" s="1471">
        <v>957.3</v>
      </c>
      <c r="L19" s="1471">
        <v>20.329999999999998</v>
      </c>
      <c r="M19" s="1471">
        <v>1844.4</v>
      </c>
      <c r="N19" s="1471">
        <v>185.4</v>
      </c>
      <c r="O19" s="1471">
        <v>4.2699999999999996</v>
      </c>
    </row>
    <row r="20" spans="1:15" ht="12.75" thickBot="1">
      <c r="A20" s="1471" t="s">
        <v>2033</v>
      </c>
      <c r="B20" s="1471">
        <v>500</v>
      </c>
      <c r="C20" s="1471">
        <v>200</v>
      </c>
      <c r="D20" s="1471">
        <v>10</v>
      </c>
      <c r="E20" s="1471">
        <v>16</v>
      </c>
      <c r="F20" s="1471">
        <v>20</v>
      </c>
      <c r="G20" s="1471">
        <v>114.23</v>
      </c>
      <c r="H20" s="1471">
        <v>89.7</v>
      </c>
      <c r="I20" s="1471">
        <v>47849</v>
      </c>
      <c r="J20" s="1471">
        <v>1914</v>
      </c>
      <c r="K20" s="1471">
        <v>1087.7</v>
      </c>
      <c r="L20" s="1471">
        <v>20.47</v>
      </c>
      <c r="M20" s="1471">
        <v>2140.3000000000002</v>
      </c>
      <c r="N20" s="1471">
        <v>214</v>
      </c>
      <c r="O20" s="1471">
        <v>4.33</v>
      </c>
    </row>
    <row r="21" spans="1:15" ht="12.75" thickBot="1">
      <c r="A21" s="1471" t="s">
        <v>2034</v>
      </c>
      <c r="B21" s="1471">
        <v>543</v>
      </c>
      <c r="C21" s="1471">
        <v>220</v>
      </c>
      <c r="D21" s="1471">
        <v>9.5</v>
      </c>
      <c r="E21" s="1471">
        <v>13.5</v>
      </c>
      <c r="F21" s="1471">
        <v>24</v>
      </c>
      <c r="G21" s="1471">
        <v>113.36</v>
      </c>
      <c r="H21" s="1471">
        <v>89</v>
      </c>
      <c r="I21" s="1471">
        <v>55682</v>
      </c>
      <c r="J21" s="1471">
        <v>2050.9</v>
      </c>
      <c r="K21" s="1471">
        <v>1165.0999999999999</v>
      </c>
      <c r="L21" s="1471">
        <v>22.16</v>
      </c>
      <c r="M21" s="1471">
        <v>2404.5</v>
      </c>
      <c r="N21" s="1471">
        <v>218.6</v>
      </c>
      <c r="O21" s="1471">
        <v>4.6100000000000003</v>
      </c>
    </row>
    <row r="22" spans="1:15" ht="12.75" thickBot="1">
      <c r="A22" s="1471" t="s">
        <v>2035</v>
      </c>
      <c r="B22" s="1471">
        <v>547</v>
      </c>
      <c r="C22" s="1471">
        <v>220</v>
      </c>
      <c r="D22" s="1471">
        <v>10</v>
      </c>
      <c r="E22" s="1471">
        <v>15.5</v>
      </c>
      <c r="F22" s="1471">
        <v>24</v>
      </c>
      <c r="G22" s="1471">
        <v>124.75</v>
      </c>
      <c r="H22" s="1471">
        <v>97.9</v>
      </c>
      <c r="I22" s="1471">
        <v>62790</v>
      </c>
      <c r="J22" s="1471">
        <v>2295.8000000000002</v>
      </c>
      <c r="K22" s="1471">
        <v>1301.5999999999999</v>
      </c>
      <c r="L22" s="1471">
        <v>22.44</v>
      </c>
      <c r="M22" s="1471">
        <v>2760.3</v>
      </c>
      <c r="N22" s="1471">
        <v>250.9</v>
      </c>
      <c r="O22" s="1471">
        <v>4.7</v>
      </c>
    </row>
    <row r="23" spans="1:15" ht="12.75" thickBot="1">
      <c r="A23" s="1471" t="s">
        <v>2036</v>
      </c>
      <c r="B23" s="1471">
        <v>596</v>
      </c>
      <c r="C23" s="1471">
        <v>199</v>
      </c>
      <c r="D23" s="1471">
        <v>10</v>
      </c>
      <c r="E23" s="1471">
        <v>15</v>
      </c>
      <c r="F23" s="1471">
        <v>22</v>
      </c>
      <c r="G23" s="1471">
        <v>120.45</v>
      </c>
      <c r="H23" s="1471">
        <v>94.6</v>
      </c>
      <c r="I23" s="1471">
        <v>68721</v>
      </c>
      <c r="J23" s="1471">
        <v>2306.1</v>
      </c>
      <c r="K23" s="1471">
        <v>1325.5</v>
      </c>
      <c r="L23" s="1471">
        <v>23.89</v>
      </c>
      <c r="M23" s="1471">
        <v>1979</v>
      </c>
      <c r="N23" s="1471">
        <v>198.9</v>
      </c>
      <c r="O23" s="1471">
        <v>4.05</v>
      </c>
    </row>
    <row r="24" spans="1:15" ht="12.75" thickBot="1">
      <c r="A24" s="1471" t="s">
        <v>2037</v>
      </c>
      <c r="B24" s="1471">
        <v>600</v>
      </c>
      <c r="C24" s="1471">
        <v>200</v>
      </c>
      <c r="D24" s="1471">
        <v>11</v>
      </c>
      <c r="E24" s="1471">
        <v>17</v>
      </c>
      <c r="F24" s="1471">
        <v>22</v>
      </c>
      <c r="G24" s="1471">
        <v>134.41</v>
      </c>
      <c r="H24" s="1471">
        <v>105.5</v>
      </c>
      <c r="I24" s="1471">
        <v>77638</v>
      </c>
      <c r="J24" s="1471">
        <v>2587.9</v>
      </c>
      <c r="K24" s="1471">
        <v>1489.5</v>
      </c>
      <c r="L24" s="1471">
        <v>24.03</v>
      </c>
      <c r="M24" s="1471">
        <v>2277.5</v>
      </c>
      <c r="N24" s="1471">
        <v>227.8</v>
      </c>
      <c r="O24" s="1471">
        <v>4.12</v>
      </c>
    </row>
    <row r="25" spans="1:15" ht="12.75" thickBot="1">
      <c r="A25" s="1814" t="s">
        <v>2038</v>
      </c>
      <c r="B25" s="1815"/>
      <c r="C25" s="1815"/>
      <c r="D25" s="1815"/>
      <c r="E25" s="1815"/>
      <c r="F25" s="1815"/>
      <c r="G25" s="1815"/>
      <c r="H25" s="1815"/>
      <c r="I25" s="1815"/>
      <c r="J25" s="1815"/>
      <c r="K25" s="1815"/>
      <c r="L25" s="1815"/>
      <c r="M25" s="1815"/>
      <c r="N25" s="1815"/>
      <c r="O25" s="1816"/>
    </row>
    <row r="26" spans="1:15" ht="12.75" thickBot="1">
      <c r="A26" s="1471" t="s">
        <v>2039</v>
      </c>
      <c r="B26" s="1471">
        <v>194</v>
      </c>
      <c r="C26" s="1471">
        <v>150</v>
      </c>
      <c r="D26" s="1471">
        <v>6</v>
      </c>
      <c r="E26" s="1471">
        <v>9</v>
      </c>
      <c r="F26" s="1471">
        <v>13</v>
      </c>
      <c r="G26" s="1471">
        <v>39.01</v>
      </c>
      <c r="H26" s="1471">
        <v>30.6</v>
      </c>
      <c r="I26" s="1471">
        <v>2690</v>
      </c>
      <c r="J26" s="1471">
        <v>277.3</v>
      </c>
      <c r="K26" s="1471">
        <v>154.30000000000001</v>
      </c>
      <c r="L26" s="1471">
        <v>8.3000000000000007</v>
      </c>
      <c r="M26" s="1471">
        <v>507.1</v>
      </c>
      <c r="N26" s="1471">
        <v>67.599999999999994</v>
      </c>
      <c r="O26" s="1471">
        <v>3.61</v>
      </c>
    </row>
    <row r="27" spans="1:15" ht="12.75" thickBot="1">
      <c r="A27" s="1471" t="s">
        <v>2040</v>
      </c>
      <c r="B27" s="1471">
        <v>244</v>
      </c>
      <c r="C27" s="1471">
        <v>175</v>
      </c>
      <c r="D27" s="1471">
        <v>7</v>
      </c>
      <c r="E27" s="1471">
        <v>11</v>
      </c>
      <c r="F27" s="1471">
        <v>16</v>
      </c>
      <c r="G27" s="1471">
        <v>56.24</v>
      </c>
      <c r="H27" s="1471">
        <v>44.1</v>
      </c>
      <c r="I27" s="1471">
        <v>6122</v>
      </c>
      <c r="J27" s="1471">
        <v>501.8</v>
      </c>
      <c r="K27" s="1471">
        <v>279.2</v>
      </c>
      <c r="L27" s="1471">
        <v>10.43</v>
      </c>
      <c r="M27" s="1471">
        <v>984.3</v>
      </c>
      <c r="N27" s="1471">
        <v>112.5</v>
      </c>
      <c r="O27" s="1471">
        <v>4.18</v>
      </c>
    </row>
    <row r="28" spans="1:15" ht="12.75" thickBot="1">
      <c r="A28" s="1471" t="s">
        <v>2041</v>
      </c>
      <c r="B28" s="1471">
        <v>294</v>
      </c>
      <c r="C28" s="1471">
        <v>200</v>
      </c>
      <c r="D28" s="1471">
        <v>8</v>
      </c>
      <c r="E28" s="1471">
        <v>12</v>
      </c>
      <c r="F28" s="1471">
        <v>18</v>
      </c>
      <c r="G28" s="1471">
        <v>72.38</v>
      </c>
      <c r="H28" s="1471">
        <v>56.8</v>
      </c>
      <c r="I28" s="1471">
        <v>11339</v>
      </c>
      <c r="J28" s="1471">
        <v>771.4</v>
      </c>
      <c r="K28" s="1471">
        <v>429.5</v>
      </c>
      <c r="L28" s="1471">
        <v>12.52</v>
      </c>
      <c r="M28" s="1471">
        <v>1602.9</v>
      </c>
      <c r="N28" s="1471">
        <v>160.30000000000001</v>
      </c>
      <c r="O28" s="1471">
        <v>4.71</v>
      </c>
    </row>
    <row r="29" spans="1:15" ht="12.75" thickBot="1">
      <c r="A29" s="1471" t="s">
        <v>2042</v>
      </c>
      <c r="B29" s="1471">
        <v>300</v>
      </c>
      <c r="C29" s="1471">
        <v>201</v>
      </c>
      <c r="D29" s="1471">
        <v>9</v>
      </c>
      <c r="E29" s="1471">
        <v>15</v>
      </c>
      <c r="F29" s="1471">
        <v>18</v>
      </c>
      <c r="G29" s="1471">
        <v>87.38</v>
      </c>
      <c r="H29" s="1471">
        <v>68.599999999999994</v>
      </c>
      <c r="I29" s="1471">
        <v>14210</v>
      </c>
      <c r="J29" s="1471">
        <v>947.4</v>
      </c>
      <c r="K29" s="1471">
        <v>529.9</v>
      </c>
      <c r="L29" s="1471">
        <v>12.75</v>
      </c>
      <c r="M29" s="1471">
        <v>2033.8</v>
      </c>
      <c r="N29" s="1471">
        <v>202.4</v>
      </c>
      <c r="O29" s="1471">
        <v>4.82</v>
      </c>
    </row>
    <row r="30" spans="1:15" ht="12.75" thickBot="1">
      <c r="A30" s="1471" t="s">
        <v>2043</v>
      </c>
      <c r="B30" s="1471">
        <v>334</v>
      </c>
      <c r="C30" s="1471">
        <v>249</v>
      </c>
      <c r="D30" s="1471">
        <v>8</v>
      </c>
      <c r="E30" s="1471">
        <v>11</v>
      </c>
      <c r="F30" s="1471">
        <v>20</v>
      </c>
      <c r="G30" s="1471">
        <v>83.17</v>
      </c>
      <c r="H30" s="1471">
        <v>65.3</v>
      </c>
      <c r="I30" s="1471">
        <v>17108</v>
      </c>
      <c r="J30" s="1471">
        <v>1024.4000000000001</v>
      </c>
      <c r="K30" s="1471">
        <v>565.79999999999995</v>
      </c>
      <c r="L30" s="1471">
        <v>14.34</v>
      </c>
      <c r="M30" s="1471">
        <v>2834.1</v>
      </c>
      <c r="N30" s="1471">
        <v>227.6</v>
      </c>
      <c r="O30" s="1471">
        <v>5.84</v>
      </c>
    </row>
    <row r="31" spans="1:15" ht="12.75" thickBot="1">
      <c r="A31" s="1471" t="s">
        <v>2044</v>
      </c>
      <c r="B31" s="1471">
        <v>340</v>
      </c>
      <c r="C31" s="1471">
        <v>250</v>
      </c>
      <c r="D31" s="1471">
        <v>9</v>
      </c>
      <c r="E31" s="1471">
        <v>14</v>
      </c>
      <c r="F31" s="1471">
        <v>20</v>
      </c>
      <c r="G31" s="1471">
        <v>101.51</v>
      </c>
      <c r="H31" s="1471">
        <v>79.7</v>
      </c>
      <c r="I31" s="1471">
        <v>21678</v>
      </c>
      <c r="J31" s="1471">
        <v>1275.2</v>
      </c>
      <c r="K31" s="1471">
        <v>706.1</v>
      </c>
      <c r="L31" s="1471">
        <v>14.61</v>
      </c>
      <c r="M31" s="1471">
        <v>3650.5</v>
      </c>
      <c r="N31" s="1471">
        <v>292</v>
      </c>
      <c r="O31" s="1471">
        <v>6</v>
      </c>
    </row>
    <row r="32" spans="1:15" ht="12.75" thickBot="1">
      <c r="A32" s="1471" t="s">
        <v>2045</v>
      </c>
      <c r="B32" s="1471">
        <v>383</v>
      </c>
      <c r="C32" s="1471">
        <v>299</v>
      </c>
      <c r="D32" s="1471">
        <v>9.5</v>
      </c>
      <c r="E32" s="1471">
        <v>12.5</v>
      </c>
      <c r="F32" s="1471">
        <v>22</v>
      </c>
      <c r="G32" s="1471">
        <v>112.91</v>
      </c>
      <c r="H32" s="1471">
        <v>88.6</v>
      </c>
      <c r="I32" s="1471">
        <v>30556</v>
      </c>
      <c r="J32" s="1471">
        <v>1595.6</v>
      </c>
      <c r="K32" s="1471">
        <v>880.8</v>
      </c>
      <c r="L32" s="1471">
        <v>16.45</v>
      </c>
      <c r="M32" s="1471">
        <v>5575.4</v>
      </c>
      <c r="N32" s="1471">
        <v>372.9</v>
      </c>
      <c r="O32" s="1471">
        <v>7.03</v>
      </c>
    </row>
    <row r="33" spans="1:15" ht="12.75" thickBot="1">
      <c r="A33" s="1471" t="s">
        <v>2046</v>
      </c>
      <c r="B33" s="1471">
        <v>390</v>
      </c>
      <c r="C33" s="1471">
        <v>300</v>
      </c>
      <c r="D33" s="1471">
        <v>10</v>
      </c>
      <c r="E33" s="1471">
        <v>16</v>
      </c>
      <c r="F33" s="1471">
        <v>22</v>
      </c>
      <c r="G33" s="1471">
        <v>135.94999999999999</v>
      </c>
      <c r="H33" s="1471">
        <v>106.7</v>
      </c>
      <c r="I33" s="1471">
        <v>38676</v>
      </c>
      <c r="J33" s="1471">
        <v>1983.4</v>
      </c>
      <c r="K33" s="1471">
        <v>1094</v>
      </c>
      <c r="L33" s="1471">
        <v>16.87</v>
      </c>
      <c r="M33" s="1471">
        <v>7207.1</v>
      </c>
      <c r="N33" s="1471">
        <v>480.5</v>
      </c>
      <c r="O33" s="1471">
        <v>7.28</v>
      </c>
    </row>
    <row r="34" spans="1:15" ht="12.75" thickBot="1">
      <c r="A34" s="1471" t="s">
        <v>2047</v>
      </c>
      <c r="B34" s="1471">
        <v>440</v>
      </c>
      <c r="C34" s="1471">
        <v>300</v>
      </c>
      <c r="D34" s="1471">
        <v>11</v>
      </c>
      <c r="E34" s="1471">
        <v>18</v>
      </c>
      <c r="F34" s="1471">
        <v>24</v>
      </c>
      <c r="G34" s="1471">
        <v>157.38</v>
      </c>
      <c r="H34" s="1471">
        <v>123.5</v>
      </c>
      <c r="I34" s="1471">
        <v>56072</v>
      </c>
      <c r="J34" s="1471">
        <v>2548.6999999999998</v>
      </c>
      <c r="K34" s="1471">
        <v>1412.5</v>
      </c>
      <c r="L34" s="1471">
        <v>18.88</v>
      </c>
      <c r="M34" s="1471">
        <v>8110.3</v>
      </c>
      <c r="N34" s="1471">
        <v>540.70000000000005</v>
      </c>
      <c r="O34" s="1471">
        <v>7.18</v>
      </c>
    </row>
    <row r="35" spans="1:15" ht="12.75" thickBot="1">
      <c r="A35" s="1471" t="s">
        <v>2048</v>
      </c>
      <c r="B35" s="1471">
        <v>482</v>
      </c>
      <c r="C35" s="1471">
        <v>300</v>
      </c>
      <c r="D35" s="1471">
        <v>11</v>
      </c>
      <c r="E35" s="1471">
        <v>15</v>
      </c>
      <c r="F35" s="1471">
        <v>26</v>
      </c>
      <c r="G35" s="1471">
        <v>145.52000000000001</v>
      </c>
      <c r="H35" s="1471">
        <v>114.2</v>
      </c>
      <c r="I35" s="1471">
        <v>60371</v>
      </c>
      <c r="J35" s="1471">
        <v>2505</v>
      </c>
      <c r="K35" s="1471">
        <v>1395.7</v>
      </c>
      <c r="L35" s="1471">
        <v>20.37</v>
      </c>
      <c r="M35" s="1471">
        <v>6762.4</v>
      </c>
      <c r="N35" s="1471">
        <v>450.8</v>
      </c>
      <c r="O35" s="1471">
        <v>6.82</v>
      </c>
    </row>
    <row r="36" spans="1:15" ht="12.75" thickBot="1">
      <c r="A36" s="1471" t="s">
        <v>2049</v>
      </c>
      <c r="B36" s="1471">
        <v>487</v>
      </c>
      <c r="C36" s="1471">
        <v>300</v>
      </c>
      <c r="D36" s="1471">
        <v>14.5</v>
      </c>
      <c r="E36" s="1471">
        <v>17.5</v>
      </c>
      <c r="F36" s="1471">
        <v>26</v>
      </c>
      <c r="G36" s="1471">
        <v>176.34</v>
      </c>
      <c r="H36" s="1471">
        <v>138.4</v>
      </c>
      <c r="I36" s="1471">
        <v>71867</v>
      </c>
      <c r="J36" s="1471">
        <v>2951.4</v>
      </c>
      <c r="K36" s="1471">
        <v>1666.7</v>
      </c>
      <c r="L36" s="1471">
        <v>20.190000000000001</v>
      </c>
      <c r="M36" s="1471">
        <v>7896.4</v>
      </c>
      <c r="N36" s="1471">
        <v>526.4</v>
      </c>
      <c r="O36" s="1471">
        <v>6.69</v>
      </c>
    </row>
    <row r="37" spans="1:15" ht="12.75" thickBot="1">
      <c r="A37" s="1471" t="s">
        <v>2050</v>
      </c>
      <c r="B37" s="1471">
        <v>493</v>
      </c>
      <c r="C37" s="1471">
        <v>300</v>
      </c>
      <c r="D37" s="1471">
        <v>15.5</v>
      </c>
      <c r="E37" s="1471">
        <v>20.5</v>
      </c>
      <c r="F37" s="1471">
        <v>26</v>
      </c>
      <c r="G37" s="1471">
        <v>198.86</v>
      </c>
      <c r="H37" s="1471">
        <v>156.1</v>
      </c>
      <c r="I37" s="1471">
        <v>83441</v>
      </c>
      <c r="J37" s="1471">
        <v>3385</v>
      </c>
      <c r="K37" s="1471">
        <v>1912.8</v>
      </c>
      <c r="L37" s="1471">
        <v>20.48</v>
      </c>
      <c r="M37" s="1471">
        <v>9249.7000000000007</v>
      </c>
      <c r="N37" s="1471">
        <v>616.6</v>
      </c>
      <c r="O37" s="1471">
        <v>6.82</v>
      </c>
    </row>
    <row r="38" spans="1:15" ht="12.75" thickBot="1">
      <c r="A38" s="1471" t="s">
        <v>2051</v>
      </c>
      <c r="B38" s="1471">
        <v>499</v>
      </c>
      <c r="C38" s="1471">
        <v>300</v>
      </c>
      <c r="D38" s="1471">
        <v>16.5</v>
      </c>
      <c r="E38" s="1471">
        <v>23.5</v>
      </c>
      <c r="F38" s="1471">
        <v>26</v>
      </c>
      <c r="G38" s="1471">
        <v>221.38</v>
      </c>
      <c r="H38" s="1471">
        <v>173.8</v>
      </c>
      <c r="I38" s="1471">
        <v>95282</v>
      </c>
      <c r="J38" s="1471">
        <v>3818.9</v>
      </c>
      <c r="K38" s="1471">
        <v>2161.5</v>
      </c>
      <c r="L38" s="1471">
        <v>20.75</v>
      </c>
      <c r="M38" s="1471">
        <v>10603.4</v>
      </c>
      <c r="N38" s="1471">
        <v>706.9</v>
      </c>
      <c r="O38" s="1471">
        <v>6.92</v>
      </c>
    </row>
    <row r="39" spans="1:15" ht="12.75" thickBot="1">
      <c r="A39" s="1814" t="s">
        <v>2052</v>
      </c>
      <c r="B39" s="1815"/>
      <c r="C39" s="1815"/>
      <c r="D39" s="1815"/>
      <c r="E39" s="1815"/>
      <c r="F39" s="1815"/>
      <c r="G39" s="1815"/>
      <c r="H39" s="1815"/>
      <c r="I39" s="1815"/>
      <c r="J39" s="1815"/>
      <c r="K39" s="1815"/>
      <c r="L39" s="1815"/>
      <c r="M39" s="1815"/>
      <c r="N39" s="1815"/>
      <c r="O39" s="1816"/>
    </row>
    <row r="40" spans="1:15" ht="12.75" thickBot="1">
      <c r="A40" s="1471" t="s">
        <v>2053</v>
      </c>
      <c r="B40" s="1471">
        <v>196</v>
      </c>
      <c r="C40" s="1471">
        <v>199</v>
      </c>
      <c r="D40" s="1471">
        <v>6.5</v>
      </c>
      <c r="E40" s="1471">
        <v>10</v>
      </c>
      <c r="F40" s="1471">
        <v>13</v>
      </c>
      <c r="G40" s="1471">
        <v>52.69</v>
      </c>
      <c r="H40" s="1471">
        <v>41.4</v>
      </c>
      <c r="I40" s="1471">
        <v>3846</v>
      </c>
      <c r="J40" s="1471">
        <v>392.5</v>
      </c>
      <c r="K40" s="1471">
        <v>216.4</v>
      </c>
      <c r="L40" s="1471">
        <v>8.5399999999999991</v>
      </c>
      <c r="M40" s="1471">
        <v>1314.4</v>
      </c>
      <c r="N40" s="1471">
        <v>132.1</v>
      </c>
      <c r="O40" s="1471">
        <v>4.99</v>
      </c>
    </row>
    <row r="41" spans="1:15" ht="12.75" thickBot="1">
      <c r="A41" s="1471" t="s">
        <v>2054</v>
      </c>
      <c r="B41" s="1471">
        <v>200</v>
      </c>
      <c r="C41" s="1471">
        <v>200</v>
      </c>
      <c r="D41" s="1471">
        <v>8</v>
      </c>
      <c r="E41" s="1471">
        <v>12</v>
      </c>
      <c r="F41" s="1471">
        <v>13</v>
      </c>
      <c r="G41" s="1471">
        <v>63.53</v>
      </c>
      <c r="H41" s="1471">
        <v>49.9</v>
      </c>
      <c r="I41" s="1471">
        <v>4716</v>
      </c>
      <c r="J41" s="1471">
        <v>471.6</v>
      </c>
      <c r="K41" s="1471">
        <v>262.8</v>
      </c>
      <c r="L41" s="1471">
        <v>8.6199999999999992</v>
      </c>
      <c r="M41" s="1471">
        <v>1601.4</v>
      </c>
      <c r="N41" s="1471">
        <v>160.1</v>
      </c>
      <c r="O41" s="1471">
        <v>5.0199999999999996</v>
      </c>
    </row>
    <row r="42" spans="1:15" ht="12.75" thickBot="1">
      <c r="A42" s="1471" t="s">
        <v>2055</v>
      </c>
      <c r="B42" s="1471">
        <v>246</v>
      </c>
      <c r="C42" s="1471">
        <v>249</v>
      </c>
      <c r="D42" s="1471">
        <v>8</v>
      </c>
      <c r="E42" s="1471">
        <v>12</v>
      </c>
      <c r="F42" s="1471">
        <v>16</v>
      </c>
      <c r="G42" s="1471">
        <v>79.72</v>
      </c>
      <c r="H42" s="1471">
        <v>62.6</v>
      </c>
      <c r="I42" s="1471">
        <v>9171</v>
      </c>
      <c r="J42" s="1471">
        <v>745.6</v>
      </c>
      <c r="K42" s="1471">
        <v>410.7</v>
      </c>
      <c r="L42" s="1471">
        <v>10.73</v>
      </c>
      <c r="M42" s="1471">
        <v>3089.9</v>
      </c>
      <c r="N42" s="1471">
        <v>248.2</v>
      </c>
      <c r="O42" s="1471">
        <v>6.23</v>
      </c>
    </row>
    <row r="43" spans="1:15" ht="12.75" thickBot="1">
      <c r="A43" s="1471" t="s">
        <v>2056</v>
      </c>
      <c r="B43" s="1471">
        <v>250</v>
      </c>
      <c r="C43" s="1471">
        <v>250</v>
      </c>
      <c r="D43" s="1471">
        <v>9</v>
      </c>
      <c r="E43" s="1471">
        <v>14</v>
      </c>
      <c r="F43" s="1471">
        <v>16</v>
      </c>
      <c r="G43" s="1471">
        <v>92.18</v>
      </c>
      <c r="H43" s="1471">
        <v>72.400000000000006</v>
      </c>
      <c r="I43" s="1471">
        <v>10833</v>
      </c>
      <c r="J43" s="1471">
        <v>866.6</v>
      </c>
      <c r="K43" s="1471">
        <v>480.3</v>
      </c>
      <c r="L43" s="1471">
        <v>10.84</v>
      </c>
      <c r="M43" s="1471">
        <v>3648.6</v>
      </c>
      <c r="N43" s="1471">
        <v>291.89999999999998</v>
      </c>
      <c r="O43" s="1471">
        <v>6.29</v>
      </c>
    </row>
    <row r="44" spans="1:15" ht="12.75" thickBot="1">
      <c r="A44" s="1471" t="s">
        <v>2057</v>
      </c>
      <c r="B44" s="1471">
        <v>253</v>
      </c>
      <c r="C44" s="1471">
        <v>251</v>
      </c>
      <c r="D44" s="1471">
        <v>10</v>
      </c>
      <c r="E44" s="1471">
        <v>15.5</v>
      </c>
      <c r="F44" s="1471">
        <v>16</v>
      </c>
      <c r="G44" s="1471">
        <v>102.21</v>
      </c>
      <c r="H44" s="1471">
        <v>80.2</v>
      </c>
      <c r="I44" s="1471">
        <v>12154</v>
      </c>
      <c r="J44" s="1471">
        <v>960.8</v>
      </c>
      <c r="K44" s="1471">
        <v>535.4</v>
      </c>
      <c r="L44" s="1471">
        <v>10.9</v>
      </c>
      <c r="M44" s="1471">
        <v>4088.6</v>
      </c>
      <c r="N44" s="1471">
        <v>325.8</v>
      </c>
      <c r="O44" s="1471">
        <v>6.32</v>
      </c>
    </row>
    <row r="45" spans="1:15" ht="12.75" thickBot="1">
      <c r="A45" s="1471" t="s">
        <v>2058</v>
      </c>
      <c r="B45" s="1471">
        <v>298</v>
      </c>
      <c r="C45" s="1471">
        <v>299</v>
      </c>
      <c r="D45" s="1471">
        <v>9</v>
      </c>
      <c r="E45" s="1471">
        <v>14</v>
      </c>
      <c r="F45" s="1471">
        <v>18</v>
      </c>
      <c r="G45" s="1471">
        <v>110.8</v>
      </c>
      <c r="H45" s="1471">
        <v>87</v>
      </c>
      <c r="I45" s="1471">
        <v>18849</v>
      </c>
      <c r="J45" s="1471">
        <v>1265.0999999999999</v>
      </c>
      <c r="K45" s="1471">
        <v>694.7</v>
      </c>
      <c r="L45" s="1471">
        <v>13.04</v>
      </c>
      <c r="M45" s="1471">
        <v>6240.9</v>
      </c>
      <c r="N45" s="1471">
        <v>7.51</v>
      </c>
      <c r="O45" s="1471">
        <v>417.5</v>
      </c>
    </row>
    <row r="46" spans="1:15" ht="12.75" thickBot="1">
      <c r="A46" s="1471" t="s">
        <v>2059</v>
      </c>
      <c r="B46" s="1471">
        <v>300</v>
      </c>
      <c r="C46" s="1471">
        <v>300</v>
      </c>
      <c r="D46" s="1471">
        <v>10</v>
      </c>
      <c r="E46" s="1471">
        <v>15</v>
      </c>
      <c r="F46" s="1471">
        <v>18</v>
      </c>
      <c r="G46" s="1471">
        <v>119.78</v>
      </c>
      <c r="H46" s="1471">
        <v>94</v>
      </c>
      <c r="I46" s="1471">
        <v>20411</v>
      </c>
      <c r="J46" s="1471">
        <v>1360.7</v>
      </c>
      <c r="K46" s="1471">
        <v>750.6</v>
      </c>
      <c r="L46" s="1471">
        <v>13.05</v>
      </c>
      <c r="M46" s="1471">
        <v>6754.5</v>
      </c>
      <c r="N46" s="1471">
        <v>450.3</v>
      </c>
      <c r="O46" s="1471">
        <v>7.51</v>
      </c>
    </row>
    <row r="47" spans="1:15" ht="12.75" thickBot="1">
      <c r="A47" s="1471" t="s">
        <v>2060</v>
      </c>
      <c r="B47" s="1471">
        <v>300</v>
      </c>
      <c r="C47" s="1471">
        <v>305</v>
      </c>
      <c r="D47" s="1471">
        <v>15</v>
      </c>
      <c r="E47" s="1471">
        <v>15</v>
      </c>
      <c r="F47" s="1471">
        <v>18</v>
      </c>
      <c r="G47" s="1471">
        <v>134.78</v>
      </c>
      <c r="H47" s="1471">
        <v>105.8</v>
      </c>
      <c r="I47" s="1471">
        <v>21536</v>
      </c>
      <c r="J47" s="1471">
        <v>1435.7</v>
      </c>
      <c r="K47" s="1471">
        <v>806.9</v>
      </c>
      <c r="L47" s="1471">
        <v>12.64</v>
      </c>
      <c r="M47" s="1471">
        <v>7104.4</v>
      </c>
      <c r="N47" s="1471">
        <v>465.9</v>
      </c>
      <c r="O47" s="1471">
        <v>7.26</v>
      </c>
    </row>
    <row r="48" spans="1:15" ht="12.75" thickBot="1">
      <c r="A48" s="1471" t="s">
        <v>2061</v>
      </c>
      <c r="B48" s="1471">
        <v>304</v>
      </c>
      <c r="C48" s="1471">
        <v>301</v>
      </c>
      <c r="D48" s="1471">
        <v>11</v>
      </c>
      <c r="E48" s="1471">
        <v>17</v>
      </c>
      <c r="F48" s="1471">
        <v>18</v>
      </c>
      <c r="G48" s="1471">
        <v>134.82</v>
      </c>
      <c r="H48" s="1471">
        <v>105.8</v>
      </c>
      <c r="I48" s="1471">
        <v>23381</v>
      </c>
      <c r="J48" s="1471">
        <v>1538.2</v>
      </c>
      <c r="K48" s="1471">
        <v>852.8</v>
      </c>
      <c r="L48" s="1471">
        <v>13.17</v>
      </c>
      <c r="M48" s="1471">
        <v>7732.3</v>
      </c>
      <c r="N48" s="1471">
        <v>513.79999999999995</v>
      </c>
      <c r="O48" s="1471">
        <v>7.57</v>
      </c>
    </row>
    <row r="49" spans="1:15" ht="12.75" thickBot="1">
      <c r="A49" s="1471" t="s">
        <v>2062</v>
      </c>
      <c r="B49" s="1471">
        <v>342</v>
      </c>
      <c r="C49" s="1471">
        <v>348</v>
      </c>
      <c r="D49" s="1471">
        <v>10</v>
      </c>
      <c r="E49" s="1471">
        <v>15</v>
      </c>
      <c r="F49" s="1471">
        <v>20</v>
      </c>
      <c r="G49" s="1471">
        <v>139.03</v>
      </c>
      <c r="H49" s="1471">
        <v>109.1</v>
      </c>
      <c r="I49" s="1471">
        <v>31249</v>
      </c>
      <c r="J49" s="1471">
        <v>1827.4</v>
      </c>
      <c r="K49" s="1471">
        <v>1001.2</v>
      </c>
      <c r="L49" s="1471">
        <v>14.99</v>
      </c>
      <c r="M49" s="1471">
        <v>10541.7</v>
      </c>
      <c r="N49" s="1471">
        <v>605.79999999999995</v>
      </c>
      <c r="O49" s="1471">
        <v>8.7100000000000009</v>
      </c>
    </row>
    <row r="50" spans="1:15" ht="12.75" thickBot="1">
      <c r="A50" s="1471" t="s">
        <v>2063</v>
      </c>
      <c r="B50" s="1471">
        <v>350</v>
      </c>
      <c r="C50" s="1471">
        <v>350</v>
      </c>
      <c r="D50" s="1471">
        <v>12</v>
      </c>
      <c r="E50" s="1471">
        <v>19</v>
      </c>
      <c r="F50" s="1471">
        <v>20</v>
      </c>
      <c r="G50" s="1471">
        <v>173.87</v>
      </c>
      <c r="H50" s="1471">
        <v>136.5</v>
      </c>
      <c r="I50" s="1471">
        <v>40296</v>
      </c>
      <c r="J50" s="1471">
        <v>2302.6</v>
      </c>
      <c r="K50" s="1471">
        <v>1272.7</v>
      </c>
      <c r="L50" s="1471">
        <v>15.22</v>
      </c>
      <c r="M50" s="1471">
        <v>13585.3</v>
      </c>
      <c r="N50" s="1471">
        <v>776.3</v>
      </c>
      <c r="O50" s="1471">
        <v>8.84</v>
      </c>
    </row>
    <row r="51" spans="1:15" ht="12.75" thickBot="1">
      <c r="A51" s="1471" t="s">
        <v>2064</v>
      </c>
      <c r="B51" s="1471">
        <v>394</v>
      </c>
      <c r="C51" s="1471">
        <v>398</v>
      </c>
      <c r="D51" s="1471">
        <v>11</v>
      </c>
      <c r="E51" s="1471">
        <v>18</v>
      </c>
      <c r="F51" s="1471">
        <v>22</v>
      </c>
      <c r="G51" s="1471">
        <v>186.81</v>
      </c>
      <c r="H51" s="1471">
        <v>146.6</v>
      </c>
      <c r="I51" s="1471">
        <v>56147</v>
      </c>
      <c r="J51" s="1471">
        <v>2850.1</v>
      </c>
      <c r="K51" s="1471">
        <v>1559.3</v>
      </c>
      <c r="L51" s="1471">
        <v>17.34</v>
      </c>
      <c r="M51" s="1471">
        <v>18921.900000000001</v>
      </c>
      <c r="N51" s="1471">
        <v>950.8</v>
      </c>
      <c r="O51" s="1471">
        <v>10.06</v>
      </c>
    </row>
    <row r="52" spans="1:15" ht="12.75" thickBot="1">
      <c r="A52" s="1471" t="s">
        <v>2065</v>
      </c>
      <c r="B52" s="1471">
        <v>400</v>
      </c>
      <c r="C52" s="1471">
        <v>400</v>
      </c>
      <c r="D52" s="1471">
        <v>13</v>
      </c>
      <c r="E52" s="1471">
        <v>21</v>
      </c>
      <c r="F52" s="1471">
        <v>22</v>
      </c>
      <c r="G52" s="1471">
        <v>218.69</v>
      </c>
      <c r="H52" s="1471">
        <v>171.7</v>
      </c>
      <c r="I52" s="1471">
        <v>66623</v>
      </c>
      <c r="J52" s="1471">
        <v>3331.2</v>
      </c>
      <c r="K52" s="1471">
        <v>1836.3</v>
      </c>
      <c r="L52" s="1471">
        <v>17.45</v>
      </c>
      <c r="M52" s="1471">
        <v>22412</v>
      </c>
      <c r="N52" s="1471">
        <v>1120.5999999999999</v>
      </c>
      <c r="O52" s="1471">
        <v>10.119999999999999</v>
      </c>
    </row>
    <row r="53" spans="1:15" ht="12.75" thickBot="1">
      <c r="A53" s="1471" t="s">
        <v>2066</v>
      </c>
      <c r="B53" s="1471">
        <v>406</v>
      </c>
      <c r="C53" s="1471">
        <v>403</v>
      </c>
      <c r="D53" s="1471">
        <v>16</v>
      </c>
      <c r="E53" s="1471">
        <v>24</v>
      </c>
      <c r="F53" s="1471">
        <v>22</v>
      </c>
      <c r="G53" s="1471">
        <v>254.87</v>
      </c>
      <c r="H53" s="1471">
        <v>200.1</v>
      </c>
      <c r="I53" s="1471">
        <v>78041</v>
      </c>
      <c r="J53" s="1471">
        <v>3844.4</v>
      </c>
      <c r="K53" s="1471">
        <v>2139.9</v>
      </c>
      <c r="L53" s="1471">
        <v>17.5</v>
      </c>
      <c r="M53" s="1471">
        <v>26199.5</v>
      </c>
      <c r="N53" s="1471">
        <v>1300.2</v>
      </c>
      <c r="O53" s="1471">
        <v>10.14</v>
      </c>
    </row>
    <row r="54" spans="1:15" ht="12.75" thickBot="1">
      <c r="A54" s="1471" t="s">
        <v>2067</v>
      </c>
      <c r="B54" s="1471">
        <v>414</v>
      </c>
      <c r="C54" s="1471">
        <v>405</v>
      </c>
      <c r="D54" s="1471">
        <v>18</v>
      </c>
      <c r="E54" s="1471">
        <v>28</v>
      </c>
      <c r="F54" s="1471">
        <v>22</v>
      </c>
      <c r="G54" s="1471">
        <v>295.39</v>
      </c>
      <c r="H54" s="1471">
        <v>231.9</v>
      </c>
      <c r="I54" s="1471">
        <v>92773</v>
      </c>
      <c r="J54" s="1471">
        <v>4481.8</v>
      </c>
      <c r="K54" s="1471">
        <v>2513.1999999999998</v>
      </c>
      <c r="L54" s="1471">
        <v>17.72</v>
      </c>
      <c r="M54" s="1471">
        <v>31026.2</v>
      </c>
      <c r="N54" s="1471">
        <v>1532.2</v>
      </c>
      <c r="O54" s="1471">
        <v>10.25</v>
      </c>
    </row>
    <row r="55" spans="1:15" ht="12.75" thickBot="1">
      <c r="A55" s="1471" t="s">
        <v>2068</v>
      </c>
      <c r="B55" s="1471">
        <v>429</v>
      </c>
      <c r="C55" s="1471">
        <v>400</v>
      </c>
      <c r="D55" s="1471">
        <v>23</v>
      </c>
      <c r="E55" s="1471">
        <v>35.5</v>
      </c>
      <c r="F55" s="1471">
        <v>22</v>
      </c>
      <c r="G55" s="1471">
        <v>370.49</v>
      </c>
      <c r="H55" s="1471">
        <v>290.8</v>
      </c>
      <c r="I55" s="1471">
        <v>120292</v>
      </c>
      <c r="J55" s="1471">
        <v>5608</v>
      </c>
      <c r="K55" s="1471">
        <v>3198.6</v>
      </c>
      <c r="L55" s="1471">
        <v>18.02</v>
      </c>
      <c r="M55" s="1471">
        <v>37914.199999999997</v>
      </c>
      <c r="N55" s="1471">
        <v>1895.7</v>
      </c>
      <c r="O55" s="1471">
        <v>10.119999999999999</v>
      </c>
    </row>
    <row r="56" spans="1:15">
      <c r="A56" s="1470"/>
    </row>
    <row r="57" spans="1:15">
      <c r="A57" s="1470" t="s">
        <v>2069</v>
      </c>
    </row>
    <row r="58" spans="1:15">
      <c r="A58" s="1470" t="s">
        <v>2070</v>
      </c>
    </row>
    <row r="59" spans="1:15">
      <c r="A59" s="1470"/>
    </row>
    <row r="62" spans="1:15">
      <c r="A62" s="1470"/>
    </row>
    <row r="63" spans="1:15" ht="14.25">
      <c r="A63" s="1469" t="s">
        <v>2071</v>
      </c>
    </row>
    <row r="64" spans="1:15" ht="12.75" thickBot="1">
      <c r="A64" s="1470"/>
    </row>
    <row r="65" spans="1:15" ht="12.75" thickBot="1">
      <c r="A65" s="1800" t="s">
        <v>2004</v>
      </c>
      <c r="B65" s="1801"/>
      <c r="C65" s="1801"/>
      <c r="D65" s="1801"/>
      <c r="E65" s="1801"/>
      <c r="F65" s="1801"/>
      <c r="G65" s="1801"/>
      <c r="H65" s="1801"/>
      <c r="I65" s="1801"/>
      <c r="J65" s="1801"/>
      <c r="K65" s="1801"/>
      <c r="L65" s="1801"/>
      <c r="M65" s="1801"/>
      <c r="N65" s="1801"/>
      <c r="O65" s="1802"/>
    </row>
    <row r="66" spans="1:15" ht="18" customHeight="1" thickBot="1">
      <c r="A66" s="1821" t="s">
        <v>2005</v>
      </c>
      <c r="B66" s="1814" t="s">
        <v>2006</v>
      </c>
      <c r="C66" s="1815"/>
      <c r="D66" s="1815"/>
      <c r="E66" s="1815"/>
      <c r="F66" s="1816"/>
      <c r="G66" s="1821" t="s">
        <v>2007</v>
      </c>
      <c r="H66" s="1821" t="s">
        <v>2008</v>
      </c>
      <c r="I66" s="1814" t="s">
        <v>2009</v>
      </c>
      <c r="J66" s="1815"/>
      <c r="K66" s="1815"/>
      <c r="L66" s="1815"/>
      <c r="M66" s="1815"/>
      <c r="N66" s="1815"/>
      <c r="O66" s="1816"/>
    </row>
    <row r="67" spans="1:15" ht="12.75" thickBot="1">
      <c r="A67" s="1822"/>
      <c r="B67" s="1471" t="s">
        <v>573</v>
      </c>
      <c r="C67" s="1471" t="s">
        <v>574</v>
      </c>
      <c r="D67" s="1471" t="s">
        <v>2010</v>
      </c>
      <c r="E67" s="1471" t="s">
        <v>1507</v>
      </c>
      <c r="F67" s="1471" t="s">
        <v>614</v>
      </c>
      <c r="G67" s="1822"/>
      <c r="H67" s="1822"/>
      <c r="I67" s="1471" t="s">
        <v>2011</v>
      </c>
      <c r="J67" s="1471" t="s">
        <v>2012</v>
      </c>
      <c r="K67" s="1471" t="s">
        <v>2013</v>
      </c>
      <c r="L67" s="1471" t="s">
        <v>2014</v>
      </c>
      <c r="M67" s="1471" t="s">
        <v>2015</v>
      </c>
      <c r="N67" s="1471" t="s">
        <v>2016</v>
      </c>
      <c r="O67" s="1471" t="s">
        <v>2017</v>
      </c>
    </row>
    <row r="68" spans="1:15" ht="12.75" thickBot="1">
      <c r="A68" s="1814" t="s">
        <v>2072</v>
      </c>
      <c r="B68" s="1815"/>
      <c r="C68" s="1815"/>
      <c r="D68" s="1815"/>
      <c r="E68" s="1815"/>
      <c r="F68" s="1815"/>
      <c r="G68" s="1815"/>
      <c r="H68" s="1815"/>
      <c r="I68" s="1815"/>
      <c r="J68" s="1815"/>
      <c r="K68" s="1815"/>
      <c r="L68" s="1815"/>
      <c r="M68" s="1815"/>
      <c r="N68" s="1815"/>
      <c r="O68" s="1816"/>
    </row>
    <row r="69" spans="1:15" ht="12.75" thickBot="1">
      <c r="A69" s="1471" t="s">
        <v>2073</v>
      </c>
      <c r="B69" s="1471">
        <v>309</v>
      </c>
      <c r="C69" s="1471">
        <v>102</v>
      </c>
      <c r="D69" s="1471">
        <v>6</v>
      </c>
      <c r="E69" s="1471">
        <v>8.9</v>
      </c>
      <c r="F69" s="1471">
        <v>9</v>
      </c>
      <c r="G69" s="1471">
        <v>36.32</v>
      </c>
      <c r="H69" s="1471">
        <v>28.5</v>
      </c>
      <c r="I69" s="1471">
        <v>5467</v>
      </c>
      <c r="J69" s="1471">
        <v>353.9</v>
      </c>
      <c r="K69" s="1471">
        <v>204.8</v>
      </c>
      <c r="L69" s="1471">
        <v>12.27</v>
      </c>
      <c r="M69" s="1471">
        <v>158.1</v>
      </c>
      <c r="N69" s="1471">
        <v>31</v>
      </c>
      <c r="O69" s="1471">
        <v>2.09</v>
      </c>
    </row>
    <row r="70" spans="1:15" ht="12.75" thickBot="1">
      <c r="A70" s="1471" t="s">
        <v>2074</v>
      </c>
      <c r="B70" s="1471">
        <v>313</v>
      </c>
      <c r="C70" s="1471">
        <v>102</v>
      </c>
      <c r="D70" s="1471">
        <v>6.6</v>
      </c>
      <c r="E70" s="1471" t="s">
        <v>2075</v>
      </c>
      <c r="F70" s="1471">
        <v>9</v>
      </c>
      <c r="G70" s="1471">
        <v>41.96</v>
      </c>
      <c r="H70" s="1471">
        <v>32.9</v>
      </c>
      <c r="I70" s="1471">
        <v>6537</v>
      </c>
      <c r="J70" s="1471">
        <v>417.7</v>
      </c>
      <c r="K70" s="1471">
        <v>241.5</v>
      </c>
      <c r="L70" s="1471">
        <v>12.48</v>
      </c>
      <c r="M70" s="1471">
        <v>191.9</v>
      </c>
      <c r="N70" s="1471">
        <v>37.6</v>
      </c>
      <c r="O70" s="1471">
        <v>2.14</v>
      </c>
    </row>
    <row r="71" spans="1:15" ht="12.75" thickBot="1">
      <c r="A71" s="1471" t="s">
        <v>2076</v>
      </c>
      <c r="B71" s="1471">
        <v>349</v>
      </c>
      <c r="C71" s="1471">
        <v>127</v>
      </c>
      <c r="D71" s="1471">
        <v>5.8</v>
      </c>
      <c r="E71" s="1471">
        <v>8.5</v>
      </c>
      <c r="F71" s="1471">
        <v>11</v>
      </c>
      <c r="G71" s="1471">
        <v>41.88</v>
      </c>
      <c r="H71" s="1471">
        <v>32.9</v>
      </c>
      <c r="I71" s="1471">
        <v>8306</v>
      </c>
      <c r="J71" s="1471">
        <v>476</v>
      </c>
      <c r="K71" s="1471">
        <v>272.2</v>
      </c>
      <c r="L71" s="1471">
        <v>14.08</v>
      </c>
      <c r="M71" s="1471">
        <v>291</v>
      </c>
      <c r="N71" s="1471">
        <v>45.8</v>
      </c>
      <c r="O71" s="1471">
        <v>2.64</v>
      </c>
    </row>
    <row r="72" spans="1:15" ht="12.75" thickBot="1">
      <c r="A72" s="1471" t="s">
        <v>2077</v>
      </c>
      <c r="B72" s="1471">
        <v>353</v>
      </c>
      <c r="C72" s="1471">
        <v>128</v>
      </c>
      <c r="D72" s="1471">
        <v>6.5</v>
      </c>
      <c r="E72" s="1471">
        <v>10.7</v>
      </c>
      <c r="F72" s="1471">
        <v>11</v>
      </c>
      <c r="G72" s="1471">
        <v>49.98</v>
      </c>
      <c r="H72" s="1471">
        <v>39.200000000000003</v>
      </c>
      <c r="I72" s="1471">
        <v>10279</v>
      </c>
      <c r="J72" s="1471">
        <v>582.4</v>
      </c>
      <c r="K72" s="1471">
        <v>332.2</v>
      </c>
      <c r="L72" s="1471">
        <v>14.34</v>
      </c>
      <c r="M72" s="1471">
        <v>375.1</v>
      </c>
      <c r="N72" s="1471">
        <v>58.6</v>
      </c>
      <c r="O72" s="1471">
        <v>2.74</v>
      </c>
    </row>
    <row r="73" spans="1:15" ht="12.75" thickBot="1">
      <c r="A73" s="1471" t="s">
        <v>2078</v>
      </c>
      <c r="B73" s="1471">
        <v>399</v>
      </c>
      <c r="C73" s="1471">
        <v>140</v>
      </c>
      <c r="D73" s="1471">
        <v>6.4</v>
      </c>
      <c r="E73" s="1471">
        <v>8.8000000000000007</v>
      </c>
      <c r="F73" s="1471">
        <v>12</v>
      </c>
      <c r="G73" s="1471">
        <v>50.29</v>
      </c>
      <c r="H73" s="1471">
        <v>39.5</v>
      </c>
      <c r="I73" s="1471">
        <v>12777</v>
      </c>
      <c r="J73" s="1471">
        <v>640.5</v>
      </c>
      <c r="K73" s="1471">
        <v>368.4</v>
      </c>
      <c r="L73" s="1471">
        <v>15.94</v>
      </c>
      <c r="M73" s="1471">
        <v>403.7</v>
      </c>
      <c r="N73" s="1471">
        <v>57.7</v>
      </c>
      <c r="O73" s="1471">
        <v>2.83</v>
      </c>
    </row>
    <row r="74" spans="1:15" ht="12.75" thickBot="1">
      <c r="A74" s="1471" t="s">
        <v>2079</v>
      </c>
      <c r="B74" s="1471">
        <v>403</v>
      </c>
      <c r="C74" s="1471">
        <v>140</v>
      </c>
      <c r="D74" s="1471">
        <v>7</v>
      </c>
      <c r="E74" s="1471">
        <v>11.2</v>
      </c>
      <c r="F74" s="1471">
        <v>12</v>
      </c>
      <c r="G74" s="1471">
        <v>59.24</v>
      </c>
      <c r="H74" s="1471">
        <v>46.5</v>
      </c>
      <c r="I74" s="1471">
        <v>15690</v>
      </c>
      <c r="J74" s="1471">
        <v>778.7</v>
      </c>
      <c r="K74" s="1471">
        <v>445.5</v>
      </c>
      <c r="L74" s="1471">
        <v>16.27</v>
      </c>
      <c r="M74" s="1471">
        <v>513.79999999999995</v>
      </c>
      <c r="N74" s="1471">
        <v>73.400000000000006</v>
      </c>
      <c r="O74" s="1471">
        <v>2.95</v>
      </c>
    </row>
    <row r="75" spans="1:15" ht="12.75" thickBot="1">
      <c r="A75" s="1471" t="s">
        <v>2080</v>
      </c>
      <c r="B75" s="1471">
        <v>450</v>
      </c>
      <c r="C75" s="1471">
        <v>152</v>
      </c>
      <c r="D75" s="1471">
        <v>7.6</v>
      </c>
      <c r="E75" s="1471">
        <v>10.8</v>
      </c>
      <c r="F75" s="1471">
        <v>12</v>
      </c>
      <c r="G75" s="1471">
        <v>66.63</v>
      </c>
      <c r="H75" s="1471">
        <v>52.3</v>
      </c>
      <c r="I75" s="1471">
        <v>21370</v>
      </c>
      <c r="J75" s="1471">
        <v>950</v>
      </c>
      <c r="K75" s="1471">
        <v>548</v>
      </c>
      <c r="L75" s="1471">
        <v>17.899999999999999</v>
      </c>
      <c r="M75" s="1471">
        <v>634</v>
      </c>
      <c r="N75" s="1471">
        <v>83</v>
      </c>
      <c r="O75" s="1471">
        <v>3.09</v>
      </c>
    </row>
    <row r="76" spans="1:15" ht="12.75" thickBot="1">
      <c r="A76" s="1471" t="s">
        <v>2081</v>
      </c>
      <c r="B76" s="1471">
        <v>455</v>
      </c>
      <c r="C76" s="1471">
        <v>153</v>
      </c>
      <c r="D76" s="1471">
        <v>8</v>
      </c>
      <c r="E76" s="1471">
        <v>13.3</v>
      </c>
      <c r="F76" s="1471">
        <v>12</v>
      </c>
      <c r="G76" s="1471">
        <v>76.209999999999994</v>
      </c>
      <c r="H76" s="1471">
        <v>59.8</v>
      </c>
      <c r="I76" s="1471">
        <v>25652</v>
      </c>
      <c r="J76" s="1471">
        <v>1128</v>
      </c>
      <c r="K76" s="1471">
        <v>646</v>
      </c>
      <c r="L76" s="1471">
        <v>18.3</v>
      </c>
      <c r="M76" s="1471">
        <v>796</v>
      </c>
      <c r="N76" s="1471">
        <v>104</v>
      </c>
      <c r="O76" s="1471">
        <v>3.23</v>
      </c>
    </row>
    <row r="77" spans="1:15" ht="12.75" thickBot="1">
      <c r="A77" s="1471" t="s">
        <v>2082</v>
      </c>
      <c r="B77" s="1471">
        <v>459</v>
      </c>
      <c r="C77" s="1471">
        <v>154</v>
      </c>
      <c r="D77" s="1471">
        <v>9.1</v>
      </c>
      <c r="E77" s="1471">
        <v>15.4</v>
      </c>
      <c r="F77" s="1471">
        <v>12</v>
      </c>
      <c r="G77" s="1471">
        <v>87.63</v>
      </c>
      <c r="H77" s="1471">
        <v>68.8</v>
      </c>
      <c r="I77" s="1471">
        <v>29851</v>
      </c>
      <c r="J77" s="1471">
        <v>1300.7</v>
      </c>
      <c r="K77" s="1471">
        <v>747.7</v>
      </c>
      <c r="L77" s="1471">
        <v>18.46</v>
      </c>
      <c r="M77" s="1471">
        <v>940.8</v>
      </c>
      <c r="N77" s="1471">
        <v>112.2</v>
      </c>
      <c r="O77" s="1471">
        <v>3.28</v>
      </c>
    </row>
    <row r="78" spans="1:15" ht="12.75" thickBot="1">
      <c r="A78" s="1471" t="s">
        <v>2083</v>
      </c>
      <c r="B78" s="1471">
        <v>449.8</v>
      </c>
      <c r="C78" s="1471">
        <v>152.4</v>
      </c>
      <c r="D78" s="1471">
        <v>7.6</v>
      </c>
      <c r="E78" s="1471">
        <v>10.9</v>
      </c>
      <c r="F78" s="1471">
        <v>12</v>
      </c>
      <c r="G78" s="1471">
        <v>66.989999999999995</v>
      </c>
      <c r="H78" s="1471">
        <v>52.6</v>
      </c>
      <c r="I78" s="1471">
        <v>21522</v>
      </c>
      <c r="J78" s="1471">
        <v>957</v>
      </c>
      <c r="K78" s="1471">
        <v>552</v>
      </c>
      <c r="L78" s="1471">
        <v>17.899999999999999</v>
      </c>
      <c r="M78" s="1471">
        <v>645</v>
      </c>
      <c r="N78" s="1471">
        <v>85</v>
      </c>
      <c r="O78" s="1471">
        <v>3.1</v>
      </c>
    </row>
    <row r="79" spans="1:15" ht="12.75" thickBot="1">
      <c r="A79" s="1471" t="s">
        <v>2084</v>
      </c>
      <c r="B79" s="1471">
        <v>454.6</v>
      </c>
      <c r="C79" s="1471">
        <v>152.9</v>
      </c>
      <c r="D79" s="1471">
        <v>8.1</v>
      </c>
      <c r="E79" s="1471">
        <v>13.3</v>
      </c>
      <c r="F79" s="1471">
        <v>12</v>
      </c>
      <c r="G79" s="1471">
        <v>76.569999999999993</v>
      </c>
      <c r="H79" s="1471">
        <v>60.1</v>
      </c>
      <c r="I79" s="1471">
        <v>25653</v>
      </c>
      <c r="J79" s="1471">
        <v>1129</v>
      </c>
      <c r="K79" s="1471">
        <v>647</v>
      </c>
      <c r="L79" s="1471">
        <v>18.3</v>
      </c>
      <c r="M79" s="1471">
        <v>795</v>
      </c>
      <c r="N79" s="1471">
        <v>104</v>
      </c>
      <c r="O79" s="1471">
        <v>3.22</v>
      </c>
    </row>
    <row r="80" spans="1:15" ht="12.75" thickBot="1">
      <c r="A80" s="1471" t="s">
        <v>2085</v>
      </c>
      <c r="B80" s="1471">
        <v>458</v>
      </c>
      <c r="C80" s="1471">
        <v>153.80000000000001</v>
      </c>
      <c r="D80" s="1471">
        <v>9</v>
      </c>
      <c r="E80" s="1471">
        <v>15</v>
      </c>
      <c r="F80" s="1471">
        <v>12</v>
      </c>
      <c r="G80" s="1471">
        <v>85.9</v>
      </c>
      <c r="H80" s="1471">
        <v>67.400000000000006</v>
      </c>
      <c r="I80" s="1471">
        <v>29079</v>
      </c>
      <c r="J80" s="1471">
        <v>1270</v>
      </c>
      <c r="K80" s="1471">
        <v>730</v>
      </c>
      <c r="L80" s="1471">
        <v>18.399999999999999</v>
      </c>
      <c r="M80" s="1471">
        <v>913</v>
      </c>
      <c r="N80" s="1471">
        <v>119</v>
      </c>
      <c r="O80" s="1471">
        <v>3.26</v>
      </c>
    </row>
    <row r="81" spans="1:15" ht="12.75" thickBot="1">
      <c r="A81" s="1471" t="s">
        <v>2086</v>
      </c>
      <c r="B81" s="1471">
        <v>462</v>
      </c>
      <c r="C81" s="1471">
        <v>154.4</v>
      </c>
      <c r="D81" s="1471">
        <v>9.6</v>
      </c>
      <c r="E81" s="1471">
        <v>17</v>
      </c>
      <c r="F81" s="1471">
        <v>12</v>
      </c>
      <c r="G81" s="1471">
        <v>94.82</v>
      </c>
      <c r="H81" s="1471">
        <v>74.400000000000006</v>
      </c>
      <c r="I81" s="1471">
        <v>32827</v>
      </c>
      <c r="J81" s="1471">
        <v>1421</v>
      </c>
      <c r="K81" s="1471">
        <v>817</v>
      </c>
      <c r="L81" s="1471">
        <v>18.600000000000001</v>
      </c>
      <c r="M81" s="1471">
        <v>1047</v>
      </c>
      <c r="N81" s="1471">
        <v>136</v>
      </c>
      <c r="O81" s="1471">
        <v>3.32</v>
      </c>
    </row>
    <row r="82" spans="1:15" ht="12.75" thickBot="1">
      <c r="A82" s="1471" t="s">
        <v>2087</v>
      </c>
      <c r="B82" s="1471">
        <v>465.8</v>
      </c>
      <c r="C82" s="1471">
        <v>155.30000000000001</v>
      </c>
      <c r="D82" s="1471">
        <v>10.5</v>
      </c>
      <c r="E82" s="1471">
        <v>18.899999999999999</v>
      </c>
      <c r="F82" s="1471">
        <v>12</v>
      </c>
      <c r="G82" s="1471">
        <v>104.88</v>
      </c>
      <c r="H82" s="1471">
        <v>82.3</v>
      </c>
      <c r="I82" s="1471">
        <v>36741.300000000003</v>
      </c>
      <c r="J82" s="1471">
        <v>1578</v>
      </c>
      <c r="K82" s="1471">
        <v>909</v>
      </c>
      <c r="L82" s="1471">
        <v>18.7</v>
      </c>
      <c r="M82" s="1471">
        <v>1185</v>
      </c>
      <c r="N82" s="1471">
        <v>153</v>
      </c>
      <c r="O82" s="1471">
        <v>3.36</v>
      </c>
    </row>
    <row r="83" spans="1:15" ht="12.75" thickBot="1">
      <c r="A83" s="1471" t="s">
        <v>2088</v>
      </c>
      <c r="B83" s="1471">
        <v>599</v>
      </c>
      <c r="C83" s="1471">
        <v>178</v>
      </c>
      <c r="D83" s="1471">
        <v>10</v>
      </c>
      <c r="E83" s="1471">
        <v>12.8</v>
      </c>
      <c r="F83" s="1471">
        <v>17</v>
      </c>
      <c r="G83" s="1471">
        <v>105.39</v>
      </c>
      <c r="H83" s="1471">
        <v>82.7</v>
      </c>
      <c r="I83" s="1471">
        <v>56852</v>
      </c>
      <c r="J83" s="1471">
        <v>1898.2</v>
      </c>
      <c r="K83" s="1471">
        <v>1113.9000000000001</v>
      </c>
      <c r="L83" s="1471">
        <v>23.23</v>
      </c>
      <c r="M83" s="1471">
        <v>1209.8</v>
      </c>
      <c r="N83" s="1471">
        <v>135.9</v>
      </c>
      <c r="O83" s="1471">
        <v>3.39</v>
      </c>
    </row>
    <row r="84" spans="1:15" ht="12.75" thickBot="1">
      <c r="A84" s="1471" t="s">
        <v>2089</v>
      </c>
      <c r="B84" s="1471">
        <v>603</v>
      </c>
      <c r="C84" s="1471">
        <v>179</v>
      </c>
      <c r="D84" s="1471">
        <v>10.9</v>
      </c>
      <c r="E84" s="1471">
        <v>15</v>
      </c>
      <c r="F84" s="1471">
        <v>17</v>
      </c>
      <c r="G84" s="1471">
        <v>118.64</v>
      </c>
      <c r="H84" s="1471">
        <v>93.1</v>
      </c>
      <c r="I84" s="1471">
        <v>65501</v>
      </c>
      <c r="J84" s="1471">
        <v>2172.5</v>
      </c>
      <c r="K84" s="1471">
        <v>1271.9000000000001</v>
      </c>
      <c r="L84" s="1471">
        <v>23.5</v>
      </c>
      <c r="M84" s="1471">
        <v>1442.1</v>
      </c>
      <c r="N84" s="1471">
        <v>161.1</v>
      </c>
      <c r="O84" s="1471">
        <v>3.49</v>
      </c>
    </row>
    <row r="85" spans="1:15" ht="12.75" thickBot="1">
      <c r="A85" s="1814" t="s">
        <v>2018</v>
      </c>
      <c r="B85" s="1815"/>
      <c r="C85" s="1815"/>
      <c r="D85" s="1815"/>
      <c r="E85" s="1815"/>
      <c r="F85" s="1815"/>
      <c r="G85" s="1815"/>
      <c r="H85" s="1815"/>
      <c r="I85" s="1815"/>
      <c r="J85" s="1815"/>
      <c r="K85" s="1815"/>
      <c r="L85" s="1815"/>
      <c r="M85" s="1815"/>
      <c r="N85" s="1815"/>
      <c r="O85" s="1816"/>
    </row>
    <row r="86" spans="1:15" ht="12.75" thickBot="1">
      <c r="A86" s="1471" t="s">
        <v>2090</v>
      </c>
      <c r="B86" s="1471">
        <v>310</v>
      </c>
      <c r="C86" s="1471">
        <v>165</v>
      </c>
      <c r="D86" s="1471">
        <v>5.8</v>
      </c>
      <c r="E86" s="1471">
        <v>9.6999999999999993</v>
      </c>
      <c r="F86" s="1471">
        <v>9</v>
      </c>
      <c r="G86" s="1471">
        <v>49.56</v>
      </c>
      <c r="H86" s="1471">
        <v>38.9</v>
      </c>
      <c r="I86" s="1471">
        <v>8548</v>
      </c>
      <c r="J86" s="1471">
        <v>551.5</v>
      </c>
      <c r="K86" s="1471">
        <v>306.5</v>
      </c>
      <c r="L86" s="1471">
        <v>13.13</v>
      </c>
      <c r="M86" s="1471">
        <v>726.9</v>
      </c>
      <c r="N86" s="1471">
        <v>88.1</v>
      </c>
      <c r="O86" s="1471">
        <v>3.83</v>
      </c>
    </row>
    <row r="87" spans="1:15" ht="12.75" thickBot="1">
      <c r="A87" s="1471" t="s">
        <v>2091</v>
      </c>
      <c r="B87" s="1471">
        <v>313</v>
      </c>
      <c r="C87" s="1471">
        <v>166</v>
      </c>
      <c r="D87" s="1471">
        <v>6.6</v>
      </c>
      <c r="E87" s="1471">
        <v>11.2</v>
      </c>
      <c r="F87" s="1471">
        <v>9</v>
      </c>
      <c r="G87" s="1471">
        <v>57.06</v>
      </c>
      <c r="H87" s="1471">
        <v>44.8</v>
      </c>
      <c r="I87" s="1471">
        <v>9964</v>
      </c>
      <c r="J87" s="1471">
        <v>636.70000000000005</v>
      </c>
      <c r="K87" s="1471">
        <v>355.2</v>
      </c>
      <c r="L87" s="1471">
        <v>13.21</v>
      </c>
      <c r="M87" s="1471">
        <v>854.8</v>
      </c>
      <c r="N87" s="1471">
        <v>103</v>
      </c>
      <c r="O87" s="1471">
        <v>3.87</v>
      </c>
    </row>
    <row r="88" spans="1:15" ht="12.75" thickBot="1">
      <c r="A88" s="1471" t="s">
        <v>2092</v>
      </c>
      <c r="B88" s="1471">
        <v>317</v>
      </c>
      <c r="C88" s="1471">
        <v>167</v>
      </c>
      <c r="D88" s="1471">
        <v>7.6</v>
      </c>
      <c r="E88" s="1471">
        <v>13.2</v>
      </c>
      <c r="F88" s="1471">
        <v>9</v>
      </c>
      <c r="G88" s="1471">
        <v>66.87</v>
      </c>
      <c r="H88" s="1471">
        <v>52.5</v>
      </c>
      <c r="I88" s="1471">
        <v>11876</v>
      </c>
      <c r="J88" s="1471">
        <v>749.3</v>
      </c>
      <c r="K88" s="1471">
        <v>420.1</v>
      </c>
      <c r="L88" s="1471">
        <v>13.33</v>
      </c>
      <c r="M88" s="1471">
        <v>1025.9000000000001</v>
      </c>
      <c r="N88" s="1471">
        <v>122.9</v>
      </c>
      <c r="O88" s="1471">
        <v>3.92</v>
      </c>
    </row>
    <row r="89" spans="1:15" ht="12.75" thickBot="1">
      <c r="A89" s="1471" t="s">
        <v>2093</v>
      </c>
      <c r="B89" s="1471">
        <v>303.39999999999998</v>
      </c>
      <c r="C89" s="1471">
        <v>165</v>
      </c>
      <c r="D89" s="1471">
        <v>6</v>
      </c>
      <c r="E89" s="1471">
        <v>10.199999999999999</v>
      </c>
      <c r="F89" s="1471">
        <v>9</v>
      </c>
      <c r="G89" s="1471">
        <v>51.33</v>
      </c>
      <c r="H89" s="1471">
        <v>40.299999999999997</v>
      </c>
      <c r="I89" s="1471">
        <v>8506</v>
      </c>
      <c r="J89" s="1471">
        <v>561</v>
      </c>
      <c r="K89" s="1471">
        <v>312</v>
      </c>
      <c r="L89" s="1471">
        <v>12.9</v>
      </c>
      <c r="M89" s="1471">
        <v>764</v>
      </c>
      <c r="N89" s="1471">
        <v>93</v>
      </c>
      <c r="O89" s="1471">
        <v>3.86</v>
      </c>
    </row>
    <row r="90" spans="1:15" ht="12.75" thickBot="1">
      <c r="A90" s="1471" t="s">
        <v>2094</v>
      </c>
      <c r="B90" s="1471">
        <v>306.60000000000002</v>
      </c>
      <c r="C90" s="1471">
        <v>165.7</v>
      </c>
      <c r="D90" s="1471">
        <v>6.7</v>
      </c>
      <c r="E90" s="1471">
        <v>11.8</v>
      </c>
      <c r="F90" s="1471">
        <v>9</v>
      </c>
      <c r="G90" s="1471">
        <v>58.76</v>
      </c>
      <c r="H90" s="1471">
        <v>46.1</v>
      </c>
      <c r="I90" s="1471">
        <v>9902</v>
      </c>
      <c r="J90" s="1471">
        <v>646</v>
      </c>
      <c r="K90" s="1471">
        <v>360</v>
      </c>
      <c r="L90" s="1471">
        <v>13</v>
      </c>
      <c r="M90" s="1471">
        <v>896</v>
      </c>
      <c r="N90" s="1471">
        <v>108</v>
      </c>
      <c r="O90" s="1471">
        <v>3.9</v>
      </c>
    </row>
    <row r="91" spans="1:15" ht="12.75" thickBot="1">
      <c r="A91" s="1471" t="s">
        <v>2095</v>
      </c>
      <c r="B91" s="1471">
        <v>310.39999999999998</v>
      </c>
      <c r="C91" s="1471">
        <v>166.9</v>
      </c>
      <c r="D91" s="1471">
        <v>7.9</v>
      </c>
      <c r="E91" s="1471">
        <v>13.7</v>
      </c>
      <c r="F91" s="1471">
        <v>9</v>
      </c>
      <c r="G91" s="1471">
        <v>68.78</v>
      </c>
      <c r="H91" s="1471">
        <v>54</v>
      </c>
      <c r="I91" s="1471">
        <v>11699</v>
      </c>
      <c r="J91" s="1471">
        <v>754</v>
      </c>
      <c r="K91" s="1471">
        <v>423</v>
      </c>
      <c r="L91" s="1471">
        <v>13</v>
      </c>
      <c r="M91" s="1471">
        <v>1063</v>
      </c>
      <c r="N91" s="1471">
        <v>127</v>
      </c>
      <c r="O91" s="1471">
        <v>3.93</v>
      </c>
    </row>
    <row r="92" spans="1:15" ht="12.75" thickBot="1">
      <c r="A92" s="1471" t="s">
        <v>2096</v>
      </c>
      <c r="B92" s="1471">
        <v>352</v>
      </c>
      <c r="C92" s="1471">
        <v>171</v>
      </c>
      <c r="D92" s="1471">
        <v>6.9</v>
      </c>
      <c r="E92" s="1471">
        <v>9.8000000000000007</v>
      </c>
      <c r="F92" s="1471">
        <v>11</v>
      </c>
      <c r="G92" s="1471">
        <v>57.49</v>
      </c>
      <c r="H92" s="1471">
        <v>45.1</v>
      </c>
      <c r="I92" s="1471">
        <v>12205</v>
      </c>
      <c r="J92" s="1471">
        <v>693.5</v>
      </c>
      <c r="K92" s="1471">
        <v>390.5</v>
      </c>
      <c r="L92" s="1471">
        <v>14.57</v>
      </c>
      <c r="M92" s="1471">
        <v>818</v>
      </c>
      <c r="N92" s="1471">
        <v>95.7</v>
      </c>
      <c r="O92" s="1471">
        <v>3.77</v>
      </c>
    </row>
    <row r="93" spans="1:15" ht="12.75" thickBot="1">
      <c r="A93" s="1471" t="s">
        <v>2097</v>
      </c>
      <c r="B93" s="1471">
        <v>355</v>
      </c>
      <c r="C93" s="1471">
        <v>171</v>
      </c>
      <c r="D93" s="1471">
        <v>7.2</v>
      </c>
      <c r="E93" s="1471">
        <v>11.6</v>
      </c>
      <c r="F93" s="1471">
        <v>11</v>
      </c>
      <c r="G93" s="1471">
        <v>64.599999999999994</v>
      </c>
      <c r="H93" s="1471">
        <v>50.7</v>
      </c>
      <c r="I93" s="1471">
        <v>14170</v>
      </c>
      <c r="J93" s="1471">
        <v>798.3</v>
      </c>
      <c r="K93" s="1471">
        <v>448.2</v>
      </c>
      <c r="L93" s="1471">
        <v>14.81</v>
      </c>
      <c r="M93" s="1471">
        <v>968.1</v>
      </c>
      <c r="N93" s="1471">
        <v>113.2</v>
      </c>
      <c r="O93" s="1471">
        <v>3.87</v>
      </c>
    </row>
    <row r="94" spans="1:15" ht="12.75" thickBot="1">
      <c r="A94" s="1471" t="s">
        <v>2098</v>
      </c>
      <c r="B94" s="1471">
        <v>358</v>
      </c>
      <c r="C94" s="1471">
        <v>172</v>
      </c>
      <c r="D94" s="1471">
        <v>7.9</v>
      </c>
      <c r="E94" s="1471">
        <v>13.1</v>
      </c>
      <c r="F94" s="1471">
        <v>11</v>
      </c>
      <c r="G94" s="1471">
        <v>72.31</v>
      </c>
      <c r="H94" s="1471">
        <v>56.8</v>
      </c>
      <c r="I94" s="1471">
        <v>16091</v>
      </c>
      <c r="J94" s="1471">
        <v>898.9</v>
      </c>
      <c r="K94" s="1471">
        <v>505.8</v>
      </c>
      <c r="L94" s="1471">
        <v>14.92</v>
      </c>
      <c r="M94" s="1471">
        <v>1112.8</v>
      </c>
      <c r="N94" s="1471">
        <v>129.4</v>
      </c>
      <c r="O94" s="1471">
        <v>3.92</v>
      </c>
    </row>
    <row r="95" spans="1:15" ht="12.75" thickBot="1">
      <c r="A95" s="1471" t="s">
        <v>2099</v>
      </c>
      <c r="B95" s="1471">
        <v>403</v>
      </c>
      <c r="C95" s="1471">
        <v>177</v>
      </c>
      <c r="D95" s="1471">
        <v>7.5</v>
      </c>
      <c r="E95" s="1471">
        <v>10.9</v>
      </c>
      <c r="F95" s="1471">
        <v>12</v>
      </c>
      <c r="G95" s="1471">
        <v>68.41</v>
      </c>
      <c r="H95" s="1471">
        <v>53.7</v>
      </c>
      <c r="I95" s="1471">
        <v>18734</v>
      </c>
      <c r="J95" s="1471">
        <v>929.7</v>
      </c>
      <c r="K95" s="1471">
        <v>526.1</v>
      </c>
      <c r="L95" s="1471">
        <v>16.55</v>
      </c>
      <c r="M95" s="1471">
        <v>1009.2</v>
      </c>
      <c r="N95" s="1471">
        <v>114</v>
      </c>
      <c r="O95" s="1471">
        <v>3.84</v>
      </c>
    </row>
    <row r="96" spans="1:15" ht="12.75" thickBot="1">
      <c r="A96" s="1471" t="s">
        <v>2100</v>
      </c>
      <c r="B96" s="1471">
        <v>407</v>
      </c>
      <c r="C96" s="1471">
        <v>178</v>
      </c>
      <c r="D96" s="1471">
        <v>7.7</v>
      </c>
      <c r="E96" s="1471">
        <v>12.8</v>
      </c>
      <c r="F96" s="1471">
        <v>12</v>
      </c>
      <c r="G96" s="1471">
        <v>76.17</v>
      </c>
      <c r="H96" s="1471">
        <v>59.8</v>
      </c>
      <c r="I96" s="1471">
        <v>21706</v>
      </c>
      <c r="J96" s="1471">
        <v>1066.7</v>
      </c>
      <c r="K96" s="1471">
        <v>600.70000000000005</v>
      </c>
      <c r="L96" s="1471">
        <v>16.88</v>
      </c>
      <c r="M96" s="1471">
        <v>1205.0999999999999</v>
      </c>
      <c r="N96" s="1471">
        <v>135.4</v>
      </c>
      <c r="O96" s="1471">
        <v>3.98</v>
      </c>
    </row>
    <row r="97" spans="1:15" ht="12.75" thickBot="1">
      <c r="A97" s="1471" t="s">
        <v>2101</v>
      </c>
      <c r="B97" s="1471">
        <v>410</v>
      </c>
      <c r="C97" s="1471">
        <v>179</v>
      </c>
      <c r="D97" s="1471">
        <v>8.8000000000000007</v>
      </c>
      <c r="E97" s="1471">
        <v>14.4</v>
      </c>
      <c r="F97" s="1471">
        <v>12</v>
      </c>
      <c r="G97" s="1471">
        <v>86.33</v>
      </c>
      <c r="H97" s="1471">
        <v>67.8</v>
      </c>
      <c r="I97" s="1471">
        <v>24678</v>
      </c>
      <c r="J97" s="1471">
        <v>1204</v>
      </c>
      <c r="K97" s="1471">
        <v>681</v>
      </c>
      <c r="L97" s="1471">
        <v>16.899999999999999</v>
      </c>
      <c r="M97" s="1471">
        <v>1379</v>
      </c>
      <c r="N97" s="1471">
        <v>154</v>
      </c>
      <c r="O97" s="1471">
        <v>4</v>
      </c>
    </row>
    <row r="98" spans="1:15" ht="12.75" thickBot="1">
      <c r="A98" s="1471" t="s">
        <v>2102</v>
      </c>
      <c r="B98" s="1471">
        <v>413</v>
      </c>
      <c r="C98" s="1471">
        <v>180</v>
      </c>
      <c r="D98" s="1471">
        <v>9.6999999999999993</v>
      </c>
      <c r="E98" s="1471">
        <v>16</v>
      </c>
      <c r="F98" s="1471">
        <v>12</v>
      </c>
      <c r="G98" s="1471">
        <v>95.79</v>
      </c>
      <c r="H98" s="1471">
        <v>75.2</v>
      </c>
      <c r="I98" s="1471">
        <v>27615</v>
      </c>
      <c r="J98" s="1471">
        <v>1337</v>
      </c>
      <c r="K98" s="1471">
        <v>759</v>
      </c>
      <c r="L98" s="1471">
        <v>17</v>
      </c>
      <c r="M98" s="1471">
        <v>1559</v>
      </c>
      <c r="N98" s="1471">
        <v>173</v>
      </c>
      <c r="O98" s="1471">
        <v>4.03</v>
      </c>
    </row>
    <row r="99" spans="1:15" ht="12.75" thickBot="1">
      <c r="A99" s="1471" t="s">
        <v>2103</v>
      </c>
      <c r="B99" s="1471">
        <v>417</v>
      </c>
      <c r="C99" s="1471">
        <v>181</v>
      </c>
      <c r="D99" s="1471">
        <v>10.9</v>
      </c>
      <c r="E99" s="1471">
        <v>18.2</v>
      </c>
      <c r="F99" s="1471">
        <v>12</v>
      </c>
      <c r="G99" s="1471">
        <v>108.6</v>
      </c>
      <c r="H99" s="1471">
        <v>85.3</v>
      </c>
      <c r="I99" s="1471">
        <v>31658</v>
      </c>
      <c r="J99" s="1471">
        <v>1518</v>
      </c>
      <c r="K99" s="1471">
        <v>866</v>
      </c>
      <c r="L99" s="1471">
        <v>17.100000000000001</v>
      </c>
      <c r="M99" s="1471">
        <v>1804</v>
      </c>
      <c r="N99" s="1471">
        <v>199</v>
      </c>
      <c r="O99" s="1471">
        <v>4.08</v>
      </c>
    </row>
    <row r="100" spans="1:15" ht="12.75" thickBot="1">
      <c r="A100" s="1471" t="s">
        <v>2104</v>
      </c>
      <c r="B100" s="1471">
        <v>457</v>
      </c>
      <c r="C100" s="1471">
        <v>190</v>
      </c>
      <c r="D100" s="1471">
        <v>9</v>
      </c>
      <c r="E100" s="1471">
        <v>14.5</v>
      </c>
      <c r="F100" s="1471">
        <v>12</v>
      </c>
      <c r="G100" s="1471">
        <v>94.86</v>
      </c>
      <c r="H100" s="1471">
        <v>74.5</v>
      </c>
      <c r="I100" s="1471">
        <v>33415</v>
      </c>
      <c r="J100" s="1471">
        <v>1462.4</v>
      </c>
      <c r="K100" s="1471">
        <v>828.7</v>
      </c>
      <c r="L100" s="1471">
        <v>18.77</v>
      </c>
      <c r="M100" s="1471">
        <v>1660.8</v>
      </c>
      <c r="N100" s="1471">
        <v>174.8</v>
      </c>
      <c r="O100" s="1471">
        <v>4.18</v>
      </c>
    </row>
    <row r="101" spans="1:15" ht="12.75" thickBot="1">
      <c r="A101" s="1471" t="s">
        <v>2105</v>
      </c>
      <c r="B101" s="1471">
        <v>460</v>
      </c>
      <c r="C101" s="1471">
        <v>191</v>
      </c>
      <c r="D101" s="1471">
        <v>9.9</v>
      </c>
      <c r="E101" s="1471">
        <v>16</v>
      </c>
      <c r="F101" s="1471">
        <v>12</v>
      </c>
      <c r="G101" s="1471">
        <v>104.73</v>
      </c>
      <c r="H101" s="1471">
        <v>82.2</v>
      </c>
      <c r="I101" s="1471">
        <v>37157</v>
      </c>
      <c r="J101" s="1471">
        <v>1615.5</v>
      </c>
      <c r="K101" s="1471">
        <v>918.2</v>
      </c>
      <c r="L101" s="1471">
        <v>18.84</v>
      </c>
      <c r="M101" s="1471">
        <v>1862.3</v>
      </c>
      <c r="N101" s="1471">
        <v>195</v>
      </c>
      <c r="O101" s="1471">
        <v>4.22</v>
      </c>
    </row>
    <row r="102" spans="1:15" ht="12.75" thickBot="1">
      <c r="A102" s="1471" t="s">
        <v>2106</v>
      </c>
      <c r="B102" s="1471">
        <v>463</v>
      </c>
      <c r="C102" s="1471">
        <v>192</v>
      </c>
      <c r="D102" s="1471">
        <v>10.5</v>
      </c>
      <c r="E102" s="1471">
        <v>17.7</v>
      </c>
      <c r="F102" s="1471">
        <v>12</v>
      </c>
      <c r="G102" s="1471">
        <v>114.1</v>
      </c>
      <c r="H102" s="1471">
        <v>89.6</v>
      </c>
      <c r="I102" s="1471">
        <v>41105</v>
      </c>
      <c r="J102" s="1471">
        <v>1776</v>
      </c>
      <c r="K102" s="1471">
        <v>1010</v>
      </c>
      <c r="L102" s="1471">
        <v>19</v>
      </c>
      <c r="M102" s="1471">
        <v>2093</v>
      </c>
      <c r="N102" s="1471">
        <v>218</v>
      </c>
      <c r="O102" s="1471">
        <v>4.28</v>
      </c>
    </row>
    <row r="103" spans="1:15" ht="12.75" thickBot="1">
      <c r="A103" s="1471" t="s">
        <v>2107</v>
      </c>
      <c r="B103" s="1471">
        <v>466</v>
      </c>
      <c r="C103" s="1471">
        <v>193</v>
      </c>
      <c r="D103" s="1471">
        <v>11.4</v>
      </c>
      <c r="E103" s="1471">
        <v>19</v>
      </c>
      <c r="F103" s="1471">
        <v>12</v>
      </c>
      <c r="G103" s="1471">
        <v>123.37</v>
      </c>
      <c r="H103" s="1471">
        <v>96.8</v>
      </c>
      <c r="I103" s="1471">
        <v>44658</v>
      </c>
      <c r="J103" s="1471">
        <v>1917</v>
      </c>
      <c r="K103" s="1471">
        <v>1094</v>
      </c>
      <c r="L103" s="1471">
        <v>19</v>
      </c>
      <c r="M103" s="1471">
        <v>2283</v>
      </c>
      <c r="N103" s="1471">
        <v>237</v>
      </c>
      <c r="O103" s="1471">
        <v>4.3</v>
      </c>
    </row>
    <row r="104" spans="1:15" ht="12.75" thickBot="1">
      <c r="A104" s="1471" t="s">
        <v>2108</v>
      </c>
      <c r="B104" s="1471">
        <v>469</v>
      </c>
      <c r="C104" s="1471">
        <v>194</v>
      </c>
      <c r="D104" s="1471">
        <v>12.6</v>
      </c>
      <c r="E104" s="1471">
        <v>20.6</v>
      </c>
      <c r="F104" s="1471">
        <v>12</v>
      </c>
      <c r="G104" s="1471">
        <v>135.07</v>
      </c>
      <c r="H104" s="1471">
        <v>106</v>
      </c>
      <c r="I104" s="1471">
        <v>48978</v>
      </c>
      <c r="J104" s="1471">
        <v>2089</v>
      </c>
      <c r="K104" s="1471">
        <v>1197</v>
      </c>
      <c r="L104" s="1471">
        <v>19</v>
      </c>
      <c r="M104" s="1471">
        <v>2515</v>
      </c>
      <c r="N104" s="1471">
        <v>259</v>
      </c>
      <c r="O104" s="1471">
        <v>4.32</v>
      </c>
    </row>
    <row r="105" spans="1:15" ht="12.75" thickBot="1">
      <c r="A105" s="1471" t="s">
        <v>2109</v>
      </c>
      <c r="B105" s="1471">
        <v>453.4</v>
      </c>
      <c r="C105" s="1471">
        <v>189.9</v>
      </c>
      <c r="D105" s="1471">
        <v>8.5</v>
      </c>
      <c r="E105" s="1471">
        <v>12.7</v>
      </c>
      <c r="F105" s="1471">
        <v>12</v>
      </c>
      <c r="G105" s="1471">
        <v>85.85</v>
      </c>
      <c r="H105" s="1471">
        <v>67.400000000000006</v>
      </c>
      <c r="I105" s="1471">
        <v>29532.9</v>
      </c>
      <c r="J105" s="1471">
        <v>1303</v>
      </c>
      <c r="K105" s="1471">
        <v>739</v>
      </c>
      <c r="L105" s="1471">
        <v>18.5</v>
      </c>
      <c r="M105" s="1471">
        <v>1452</v>
      </c>
      <c r="N105" s="1471">
        <v>153</v>
      </c>
      <c r="O105" s="1471">
        <v>4.1130000000000004</v>
      </c>
    </row>
    <row r="106" spans="1:15" ht="12.75" thickBot="1">
      <c r="A106" s="1471" t="s">
        <v>2110</v>
      </c>
      <c r="B106" s="1471">
        <v>457</v>
      </c>
      <c r="C106" s="1471">
        <v>190.4</v>
      </c>
      <c r="D106" s="1471">
        <v>9</v>
      </c>
      <c r="E106" s="1471">
        <v>14.5</v>
      </c>
      <c r="F106" s="1471">
        <v>12</v>
      </c>
      <c r="G106" s="1471">
        <v>94.97</v>
      </c>
      <c r="H106" s="1471">
        <v>74.599999999999994</v>
      </c>
      <c r="I106" s="1471">
        <v>33472</v>
      </c>
      <c r="J106" s="1471">
        <v>1465</v>
      </c>
      <c r="K106" s="1471">
        <v>830</v>
      </c>
      <c r="L106" s="1471">
        <v>18.8</v>
      </c>
      <c r="M106" s="1471">
        <v>1671</v>
      </c>
      <c r="N106" s="1471">
        <v>176</v>
      </c>
      <c r="O106" s="1471">
        <v>4.1950000000000003</v>
      </c>
    </row>
    <row r="107" spans="1:15" ht="12.75" thickBot="1">
      <c r="A107" s="1471" t="s">
        <v>2111</v>
      </c>
      <c r="B107" s="1471">
        <v>460</v>
      </c>
      <c r="C107" s="1471">
        <v>191.3</v>
      </c>
      <c r="D107" s="1471">
        <v>9.9</v>
      </c>
      <c r="E107" s="1471">
        <v>16</v>
      </c>
      <c r="F107" s="1471">
        <v>12</v>
      </c>
      <c r="G107" s="1471">
        <v>104.82</v>
      </c>
      <c r="H107" s="1471">
        <v>82.3</v>
      </c>
      <c r="I107" s="1471">
        <v>37204</v>
      </c>
      <c r="J107" s="1471">
        <v>1618</v>
      </c>
      <c r="K107" s="1471">
        <v>919</v>
      </c>
      <c r="L107" s="1471">
        <v>18.8</v>
      </c>
      <c r="M107" s="1471">
        <v>1871</v>
      </c>
      <c r="N107" s="1471">
        <v>196</v>
      </c>
      <c r="O107" s="1471">
        <v>4.22</v>
      </c>
    </row>
    <row r="108" spans="1:15" ht="12.75" thickBot="1">
      <c r="A108" s="1471" t="s">
        <v>2112</v>
      </c>
      <c r="B108" s="1471">
        <v>463.4</v>
      </c>
      <c r="C108" s="1471">
        <v>191.9</v>
      </c>
      <c r="D108" s="1471">
        <v>10.5</v>
      </c>
      <c r="E108" s="1471">
        <v>17.7</v>
      </c>
      <c r="F108" s="1471">
        <v>12</v>
      </c>
      <c r="G108" s="1471">
        <v>114.11</v>
      </c>
      <c r="H108" s="1471">
        <v>89.6</v>
      </c>
      <c r="I108" s="1471">
        <v>41168</v>
      </c>
      <c r="J108" s="1471">
        <v>1777</v>
      </c>
      <c r="K108" s="1471">
        <v>1010</v>
      </c>
      <c r="L108" s="1471">
        <v>19</v>
      </c>
      <c r="M108" s="1471">
        <v>2090</v>
      </c>
      <c r="N108" s="1471">
        <v>218</v>
      </c>
      <c r="O108" s="1471">
        <v>4.28</v>
      </c>
    </row>
    <row r="109" spans="1:15" ht="12.75" thickBot="1">
      <c r="A109" s="1471" t="s">
        <v>2113</v>
      </c>
      <c r="B109" s="1471">
        <v>467.2</v>
      </c>
      <c r="C109" s="1471">
        <v>192.8</v>
      </c>
      <c r="D109" s="1471">
        <v>11.4</v>
      </c>
      <c r="E109" s="1471">
        <v>19.600000000000001</v>
      </c>
      <c r="F109" s="1471">
        <v>12</v>
      </c>
      <c r="G109" s="1471">
        <v>125.61</v>
      </c>
      <c r="H109" s="1471">
        <v>98.6</v>
      </c>
      <c r="I109" s="1471">
        <v>45880</v>
      </c>
      <c r="J109" s="1471">
        <v>1964</v>
      </c>
      <c r="K109" s="1471">
        <v>1120</v>
      </c>
      <c r="L109" s="1471">
        <v>19.100000000000001</v>
      </c>
      <c r="M109" s="1471">
        <v>2347</v>
      </c>
      <c r="N109" s="1471">
        <v>243</v>
      </c>
      <c r="O109" s="1471">
        <v>4.32</v>
      </c>
    </row>
    <row r="110" spans="1:15" ht="12.75" thickBot="1">
      <c r="A110" s="1471" t="s">
        <v>2114</v>
      </c>
      <c r="B110" s="1471">
        <v>603</v>
      </c>
      <c r="C110" s="1471">
        <v>228</v>
      </c>
      <c r="D110" s="1471">
        <v>10.5</v>
      </c>
      <c r="E110" s="1471">
        <v>14.9</v>
      </c>
      <c r="F110" s="1471">
        <v>17</v>
      </c>
      <c r="G110" s="1471">
        <v>130.61000000000001</v>
      </c>
      <c r="H110" s="1471">
        <v>102.5</v>
      </c>
      <c r="I110" s="1471">
        <v>77227</v>
      </c>
      <c r="J110" s="1471">
        <v>2561.4</v>
      </c>
      <c r="K110" s="1471">
        <v>1465.3</v>
      </c>
      <c r="L110" s="1471">
        <v>24.32</v>
      </c>
      <c r="M110" s="1471">
        <v>2950.9</v>
      </c>
      <c r="N110" s="1471">
        <v>258.89999999999998</v>
      </c>
      <c r="O110" s="1471">
        <v>4.75</v>
      </c>
    </row>
    <row r="111" spans="1:15" ht="12.75" thickBot="1">
      <c r="A111" s="1471" t="s">
        <v>2115</v>
      </c>
      <c r="B111" s="1471">
        <v>608</v>
      </c>
      <c r="C111" s="1471">
        <v>228</v>
      </c>
      <c r="D111" s="1471">
        <v>11.2</v>
      </c>
      <c r="E111" s="1471">
        <v>17.3</v>
      </c>
      <c r="F111" s="1471">
        <v>17</v>
      </c>
      <c r="G111" s="1471">
        <v>145.59</v>
      </c>
      <c r="H111" s="1471">
        <v>114.3</v>
      </c>
      <c r="I111" s="1471">
        <v>88420</v>
      </c>
      <c r="J111" s="1471">
        <v>2908.6</v>
      </c>
      <c r="K111" s="1471">
        <v>1660.4</v>
      </c>
      <c r="L111" s="1471">
        <v>24.64</v>
      </c>
      <c r="M111" s="1471">
        <v>3426.3</v>
      </c>
      <c r="N111" s="1471">
        <v>300.60000000000002</v>
      </c>
      <c r="O111" s="1471">
        <v>4.8499999999999996</v>
      </c>
    </row>
    <row r="112" spans="1:15" ht="12.75" thickBot="1">
      <c r="A112" s="1814" t="s">
        <v>2116</v>
      </c>
      <c r="B112" s="1815"/>
      <c r="C112" s="1815"/>
      <c r="D112" s="1815"/>
      <c r="E112" s="1815"/>
      <c r="F112" s="1815"/>
      <c r="G112" s="1815"/>
      <c r="H112" s="1815"/>
      <c r="I112" s="1815"/>
      <c r="J112" s="1815"/>
      <c r="K112" s="1815"/>
      <c r="L112" s="1815"/>
      <c r="M112" s="1815"/>
      <c r="N112" s="1815"/>
      <c r="O112" s="1816"/>
    </row>
    <row r="113" spans="1:15" ht="12.75" thickBot="1">
      <c r="A113" s="1471" t="s">
        <v>2117</v>
      </c>
      <c r="B113" s="1471">
        <v>207</v>
      </c>
      <c r="C113" s="1471">
        <v>133</v>
      </c>
      <c r="D113" s="1471">
        <v>5.8</v>
      </c>
      <c r="E113" s="1471">
        <v>8.4</v>
      </c>
      <c r="F113" s="1471">
        <v>9</v>
      </c>
      <c r="G113" s="1471">
        <v>34.07</v>
      </c>
      <c r="H113" s="1471">
        <v>26.7</v>
      </c>
      <c r="I113" s="1471">
        <v>2597</v>
      </c>
      <c r="J113" s="1471">
        <v>251</v>
      </c>
      <c r="K113" s="1471">
        <v>140.4</v>
      </c>
      <c r="L113" s="1471">
        <v>8.73</v>
      </c>
      <c r="M113" s="1471">
        <v>329.8</v>
      </c>
      <c r="N113" s="1471">
        <v>49.6</v>
      </c>
      <c r="O113" s="1471">
        <v>3.11</v>
      </c>
    </row>
    <row r="114" spans="1:15" ht="12.75" thickBot="1">
      <c r="A114" s="1471" t="s">
        <v>2118</v>
      </c>
      <c r="B114" s="1471">
        <v>210</v>
      </c>
      <c r="C114" s="1471">
        <v>134</v>
      </c>
      <c r="D114" s="1471">
        <v>6.4</v>
      </c>
      <c r="E114" s="1471">
        <v>10.199999999999999</v>
      </c>
      <c r="F114" s="1471">
        <v>9</v>
      </c>
      <c r="G114" s="1471">
        <v>40.17</v>
      </c>
      <c r="H114" s="1471">
        <v>31.5</v>
      </c>
      <c r="I114" s="1471">
        <v>3154</v>
      </c>
      <c r="J114" s="1471">
        <v>300.39999999999998</v>
      </c>
      <c r="K114" s="1471">
        <v>168.5</v>
      </c>
      <c r="L114" s="1471">
        <v>8.86</v>
      </c>
      <c r="M114" s="1471">
        <v>409.6</v>
      </c>
      <c r="N114" s="1471">
        <v>61.1</v>
      </c>
      <c r="O114" s="1471">
        <v>3.19</v>
      </c>
    </row>
    <row r="115" spans="1:15" ht="12.75" thickBot="1">
      <c r="A115" s="1471" t="s">
        <v>2119</v>
      </c>
      <c r="B115" s="1471">
        <v>258</v>
      </c>
      <c r="C115" s="1471">
        <v>146</v>
      </c>
      <c r="D115" s="1471">
        <v>6.1</v>
      </c>
      <c r="E115" s="1471">
        <v>9.1</v>
      </c>
      <c r="F115" s="1471">
        <v>9</v>
      </c>
      <c r="G115" s="1471">
        <v>41.89</v>
      </c>
      <c r="H115" s="1471">
        <v>32.9</v>
      </c>
      <c r="I115" s="1471">
        <v>4915</v>
      </c>
      <c r="J115" s="1471">
        <v>381</v>
      </c>
      <c r="K115" s="1471">
        <v>213.3</v>
      </c>
      <c r="L115" s="1471">
        <v>10.83</v>
      </c>
      <c r="M115" s="1471">
        <v>472.6</v>
      </c>
      <c r="N115" s="1471">
        <v>64.7</v>
      </c>
      <c r="O115" s="1471">
        <v>3.36</v>
      </c>
    </row>
    <row r="116" spans="1:15" ht="12.75" thickBot="1">
      <c r="A116" s="1471" t="s">
        <v>2120</v>
      </c>
      <c r="B116" s="1471">
        <v>262</v>
      </c>
      <c r="C116" s="1471">
        <v>147</v>
      </c>
      <c r="D116" s="1471">
        <v>6.6</v>
      </c>
      <c r="E116" s="1471">
        <v>11.2</v>
      </c>
      <c r="F116" s="1471">
        <v>9</v>
      </c>
      <c r="G116" s="1471">
        <v>49.44</v>
      </c>
      <c r="H116" s="1471">
        <v>38.799999999999997</v>
      </c>
      <c r="I116" s="1471">
        <v>6035</v>
      </c>
      <c r="J116" s="1471">
        <v>460.7</v>
      </c>
      <c r="K116" s="1471">
        <v>257.89999999999998</v>
      </c>
      <c r="L116" s="1471">
        <v>11.05</v>
      </c>
      <c r="M116" s="1471">
        <v>593.70000000000005</v>
      </c>
      <c r="N116" s="1471">
        <v>80.8</v>
      </c>
      <c r="O116" s="1471">
        <v>3.47</v>
      </c>
    </row>
    <row r="117" spans="1:15" ht="12.75" thickBot="1">
      <c r="A117" s="1471" t="s">
        <v>2121</v>
      </c>
      <c r="B117" s="1471">
        <v>266</v>
      </c>
      <c r="C117" s="1471">
        <v>148</v>
      </c>
      <c r="D117" s="1471">
        <v>7.6</v>
      </c>
      <c r="E117" s="1471">
        <v>13</v>
      </c>
      <c r="F117" s="1471">
        <v>9</v>
      </c>
      <c r="G117" s="1471">
        <v>57.41</v>
      </c>
      <c r="H117" s="1471">
        <v>45.1</v>
      </c>
      <c r="I117" s="1471">
        <v>7136</v>
      </c>
      <c r="J117" s="1471">
        <v>537</v>
      </c>
      <c r="K117" s="1471">
        <v>302</v>
      </c>
      <c r="L117" s="1471">
        <v>11.1</v>
      </c>
      <c r="M117" s="1471">
        <v>704</v>
      </c>
      <c r="N117" s="1471">
        <v>95</v>
      </c>
      <c r="O117" s="1471">
        <v>3.5</v>
      </c>
    </row>
    <row r="118" spans="1:15" ht="12.75" thickBot="1">
      <c r="A118" s="1471" t="s">
        <v>2122</v>
      </c>
      <c r="B118" s="1471">
        <v>251.4</v>
      </c>
      <c r="C118" s="1471">
        <v>146.1</v>
      </c>
      <c r="D118" s="1471">
        <v>6</v>
      </c>
      <c r="E118" s="1471">
        <v>8.6</v>
      </c>
      <c r="F118" s="1471">
        <v>12</v>
      </c>
      <c r="G118" s="1471">
        <v>40.42</v>
      </c>
      <c r="H118" s="1471">
        <v>31.7</v>
      </c>
      <c r="I118" s="1471">
        <v>4510</v>
      </c>
      <c r="J118" s="1471">
        <v>359</v>
      </c>
      <c r="K118" s="1471">
        <v>201</v>
      </c>
      <c r="L118" s="1471">
        <v>10.6</v>
      </c>
      <c r="M118" s="1471">
        <v>448</v>
      </c>
      <c r="N118" s="1471">
        <v>61</v>
      </c>
      <c r="O118" s="1471">
        <v>3.33</v>
      </c>
    </row>
    <row r="119" spans="1:15" ht="12.75" thickBot="1">
      <c r="A119" s="1471" t="s">
        <v>2123</v>
      </c>
      <c r="B119" s="1471">
        <v>256</v>
      </c>
      <c r="C119" s="1471">
        <v>146.4</v>
      </c>
      <c r="D119" s="1471">
        <v>6.3</v>
      </c>
      <c r="E119" s="1471">
        <v>10.9</v>
      </c>
      <c r="F119" s="1471">
        <v>12</v>
      </c>
      <c r="G119" s="1471">
        <v>47.91</v>
      </c>
      <c r="H119" s="1471">
        <v>37.6</v>
      </c>
      <c r="I119" s="1471">
        <v>5633</v>
      </c>
      <c r="J119" s="1471">
        <v>440</v>
      </c>
      <c r="K119" s="1471">
        <v>246</v>
      </c>
      <c r="L119" s="1471">
        <v>10.8</v>
      </c>
      <c r="M119" s="1471">
        <v>571</v>
      </c>
      <c r="N119" s="1471">
        <v>78</v>
      </c>
      <c r="O119" s="1471">
        <v>3.45</v>
      </c>
    </row>
    <row r="120" spans="1:15" ht="12.75" thickBot="1">
      <c r="A120" s="1471" t="s">
        <v>2124</v>
      </c>
      <c r="B120" s="1471">
        <v>259.60000000000002</v>
      </c>
      <c r="C120" s="1471">
        <v>147.30000000000001</v>
      </c>
      <c r="D120" s="1471">
        <v>7.2</v>
      </c>
      <c r="E120" s="1471">
        <v>12.7</v>
      </c>
      <c r="F120" s="1471">
        <v>12</v>
      </c>
      <c r="G120" s="1471">
        <v>55.51</v>
      </c>
      <c r="H120" s="1471">
        <v>43.6</v>
      </c>
      <c r="I120" s="1471">
        <v>6640</v>
      </c>
      <c r="J120" s="1471">
        <v>512</v>
      </c>
      <c r="K120" s="1471">
        <v>287</v>
      </c>
      <c r="L120" s="1471">
        <v>10.9</v>
      </c>
      <c r="M120" s="1471">
        <v>678</v>
      </c>
      <c r="N120" s="1471">
        <v>92</v>
      </c>
      <c r="O120" s="1471">
        <v>3.49</v>
      </c>
    </row>
    <row r="121" spans="1:15" ht="12.75" thickBot="1">
      <c r="A121" s="1814" t="s">
        <v>2038</v>
      </c>
      <c r="B121" s="1815"/>
      <c r="C121" s="1815"/>
      <c r="D121" s="1815"/>
      <c r="E121" s="1815"/>
      <c r="F121" s="1815"/>
      <c r="G121" s="1815"/>
      <c r="H121" s="1815"/>
      <c r="I121" s="1815"/>
      <c r="J121" s="1815"/>
      <c r="K121" s="1815"/>
      <c r="L121" s="1815"/>
      <c r="M121" s="1815"/>
      <c r="N121" s="1815"/>
      <c r="O121" s="1816"/>
    </row>
    <row r="122" spans="1:15" ht="12.75" thickBot="1">
      <c r="A122" s="1471" t="s">
        <v>2125</v>
      </c>
      <c r="B122" s="1471">
        <v>298</v>
      </c>
      <c r="C122" s="1471">
        <v>201</v>
      </c>
      <c r="D122" s="1471">
        <v>9</v>
      </c>
      <c r="E122" s="1471">
        <v>14</v>
      </c>
      <c r="F122" s="1471">
        <v>18</v>
      </c>
      <c r="G122" s="1471">
        <v>83.36</v>
      </c>
      <c r="H122" s="1471">
        <v>65.400000000000006</v>
      </c>
      <c r="I122" s="1471">
        <v>13312</v>
      </c>
      <c r="J122" s="1471">
        <v>893.4</v>
      </c>
      <c r="K122" s="1471">
        <v>499.8</v>
      </c>
      <c r="L122" s="1471">
        <v>12.64</v>
      </c>
      <c r="M122" s="1471">
        <v>1898.5</v>
      </c>
      <c r="N122" s="1471">
        <v>188.9</v>
      </c>
      <c r="O122" s="1471">
        <v>4.7699999999999996</v>
      </c>
    </row>
    <row r="123" spans="1:15" ht="12.75" thickBot="1">
      <c r="A123" s="1471" t="s">
        <v>2126</v>
      </c>
      <c r="B123" s="1471">
        <v>488</v>
      </c>
      <c r="C123" s="1471">
        <v>300</v>
      </c>
      <c r="D123" s="1471">
        <v>11</v>
      </c>
      <c r="E123" s="1471">
        <v>18</v>
      </c>
      <c r="F123" s="1471">
        <v>26</v>
      </c>
      <c r="G123" s="1471">
        <v>163.5</v>
      </c>
      <c r="H123" s="1471">
        <v>128</v>
      </c>
      <c r="I123" s="1471">
        <v>70956</v>
      </c>
      <c r="J123" s="1471">
        <v>2908</v>
      </c>
      <c r="K123" s="1471">
        <v>1613.9</v>
      </c>
      <c r="L123" s="1471">
        <v>20.83</v>
      </c>
      <c r="M123" s="1471">
        <v>8112.4</v>
      </c>
      <c r="N123" s="1471">
        <v>540.79999999999995</v>
      </c>
      <c r="O123" s="1471">
        <v>7.04</v>
      </c>
    </row>
    <row r="124" spans="1:15" ht="12.75" thickBot="1">
      <c r="A124" s="1814" t="s">
        <v>2052</v>
      </c>
      <c r="B124" s="1815"/>
      <c r="C124" s="1815"/>
      <c r="D124" s="1815"/>
      <c r="E124" s="1815"/>
      <c r="F124" s="1815"/>
      <c r="G124" s="1815"/>
      <c r="H124" s="1815"/>
      <c r="I124" s="1815"/>
      <c r="J124" s="1815"/>
      <c r="K124" s="1815"/>
      <c r="L124" s="1815"/>
      <c r="M124" s="1815"/>
      <c r="N124" s="1815"/>
      <c r="O124" s="1816"/>
    </row>
    <row r="125" spans="1:15" ht="12.75" thickBot="1">
      <c r="A125" s="1471" t="s">
        <v>2127</v>
      </c>
      <c r="B125" s="1471">
        <v>125</v>
      </c>
      <c r="C125" s="1471">
        <v>125</v>
      </c>
      <c r="D125" s="1471">
        <v>6.5</v>
      </c>
      <c r="E125" s="1471">
        <v>9</v>
      </c>
      <c r="F125" s="1471">
        <v>10</v>
      </c>
      <c r="G125" s="1471">
        <v>30.31</v>
      </c>
      <c r="H125" s="1471">
        <v>23.8</v>
      </c>
      <c r="I125" s="1471">
        <v>847</v>
      </c>
      <c r="J125" s="1471">
        <v>135.6</v>
      </c>
      <c r="K125" s="1471">
        <v>76.8</v>
      </c>
      <c r="L125" s="1471">
        <v>5.29</v>
      </c>
      <c r="M125" s="1471">
        <v>293.5</v>
      </c>
      <c r="N125" s="1471">
        <v>47</v>
      </c>
      <c r="O125" s="1471">
        <v>3.11</v>
      </c>
    </row>
    <row r="126" spans="1:15" ht="12.75" thickBot="1">
      <c r="A126" s="1471" t="s">
        <v>2128</v>
      </c>
      <c r="B126" s="1471">
        <v>150</v>
      </c>
      <c r="C126" s="1471">
        <v>150</v>
      </c>
      <c r="D126" s="1471">
        <v>7</v>
      </c>
      <c r="E126" s="1471">
        <v>10</v>
      </c>
      <c r="F126" s="1471">
        <v>11</v>
      </c>
      <c r="G126" s="1471">
        <v>40.14</v>
      </c>
      <c r="H126" s="1471">
        <v>31.5</v>
      </c>
      <c r="I126" s="1471">
        <v>1641</v>
      </c>
      <c r="J126" s="1471">
        <v>218.8</v>
      </c>
      <c r="K126" s="1471">
        <v>123</v>
      </c>
      <c r="L126" s="1471">
        <v>6.39</v>
      </c>
      <c r="M126" s="1471">
        <v>563.20000000000005</v>
      </c>
      <c r="N126" s="1471">
        <v>75.099999999999994</v>
      </c>
      <c r="O126" s="1471">
        <v>3.75</v>
      </c>
    </row>
    <row r="127" spans="1:15" ht="12.75" thickBot="1">
      <c r="A127" s="1471" t="s">
        <v>2129</v>
      </c>
      <c r="B127" s="1471">
        <v>152</v>
      </c>
      <c r="C127" s="1471">
        <v>152</v>
      </c>
      <c r="D127" s="1471">
        <v>5.8</v>
      </c>
      <c r="E127" s="1471">
        <v>6.6</v>
      </c>
      <c r="F127" s="1471">
        <v>9</v>
      </c>
      <c r="G127" s="1471">
        <v>28.81</v>
      </c>
      <c r="H127" s="1471">
        <v>22.6</v>
      </c>
      <c r="I127" s="1471">
        <v>1222</v>
      </c>
      <c r="J127" s="1471">
        <v>160.80000000000001</v>
      </c>
      <c r="K127" s="1471">
        <v>89.2</v>
      </c>
      <c r="L127" s="1471">
        <v>6.51</v>
      </c>
      <c r="M127" s="1471">
        <v>386.7</v>
      </c>
      <c r="N127" s="1471">
        <v>75.099999999999994</v>
      </c>
      <c r="O127" s="1471">
        <v>3.66</v>
      </c>
    </row>
    <row r="128" spans="1:15" ht="12.75" thickBot="1">
      <c r="A128" s="1471" t="s">
        <v>2130</v>
      </c>
      <c r="B128" s="1471">
        <v>157</v>
      </c>
      <c r="C128" s="1471">
        <v>153</v>
      </c>
      <c r="D128" s="1471">
        <v>6.6</v>
      </c>
      <c r="E128" s="1471">
        <v>9.3000000000000007</v>
      </c>
      <c r="F128" s="1471">
        <v>9</v>
      </c>
      <c r="G128" s="1471">
        <v>38.29</v>
      </c>
      <c r="H128" s="1471">
        <v>30.1</v>
      </c>
      <c r="I128" s="1471">
        <v>1731</v>
      </c>
      <c r="J128" s="1471">
        <v>220.6</v>
      </c>
      <c r="K128" s="1471">
        <v>123.2</v>
      </c>
      <c r="L128" s="1471">
        <v>6.72</v>
      </c>
      <c r="M128" s="1471">
        <v>555.70000000000005</v>
      </c>
      <c r="N128" s="1471">
        <v>50.9</v>
      </c>
      <c r="O128" s="1471">
        <v>3.81</v>
      </c>
    </row>
    <row r="129" spans="1:15" ht="12.75" thickBot="1">
      <c r="A129" s="1471" t="s">
        <v>2131</v>
      </c>
      <c r="B129" s="1471">
        <v>162</v>
      </c>
      <c r="C129" s="1471">
        <v>154</v>
      </c>
      <c r="D129" s="1471">
        <v>8.1</v>
      </c>
      <c r="E129" s="1471">
        <v>11.6</v>
      </c>
      <c r="F129" s="1471">
        <v>9</v>
      </c>
      <c r="G129" s="1471">
        <v>47.67</v>
      </c>
      <c r="H129" s="1471">
        <v>37.4</v>
      </c>
      <c r="I129" s="1471">
        <v>2237</v>
      </c>
      <c r="J129" s="1471">
        <v>276.10000000000002</v>
      </c>
      <c r="K129" s="1471">
        <v>156.19999999999999</v>
      </c>
      <c r="L129" s="1471">
        <v>6.85</v>
      </c>
      <c r="M129" s="1471">
        <v>707</v>
      </c>
      <c r="N129" s="1471">
        <v>72.599999999999994</v>
      </c>
      <c r="O129" s="1471">
        <v>3.85</v>
      </c>
    </row>
    <row r="130" spans="1:15" ht="12.75" thickBot="1">
      <c r="A130" s="1471" t="s">
        <v>2132</v>
      </c>
      <c r="B130" s="1471">
        <v>203</v>
      </c>
      <c r="C130" s="1471">
        <v>203</v>
      </c>
      <c r="D130" s="1471">
        <v>7.2</v>
      </c>
      <c r="E130" s="1471">
        <v>11</v>
      </c>
      <c r="F130" s="1471">
        <v>10</v>
      </c>
      <c r="G130" s="1471">
        <v>58.55</v>
      </c>
      <c r="H130" s="1471">
        <v>46</v>
      </c>
      <c r="I130" s="1471">
        <v>4543</v>
      </c>
      <c r="J130" s="1471">
        <v>447.6</v>
      </c>
      <c r="K130" s="1471">
        <v>247.6</v>
      </c>
      <c r="L130" s="1471">
        <v>8.81</v>
      </c>
      <c r="M130" s="1471">
        <v>1534.5</v>
      </c>
      <c r="N130" s="1471">
        <v>91.8</v>
      </c>
      <c r="O130" s="1471">
        <v>5.12</v>
      </c>
    </row>
    <row r="131" spans="1:15" ht="12.75" thickBot="1">
      <c r="A131" s="1471" t="s">
        <v>2133</v>
      </c>
      <c r="B131" s="1471">
        <v>206</v>
      </c>
      <c r="C131" s="1471">
        <v>204</v>
      </c>
      <c r="D131" s="1471">
        <v>7.9</v>
      </c>
      <c r="E131" s="1471">
        <v>12.6</v>
      </c>
      <c r="F131" s="1471">
        <v>10</v>
      </c>
      <c r="G131" s="1471">
        <v>66.55</v>
      </c>
      <c r="H131" s="1471">
        <v>52.2</v>
      </c>
      <c r="I131" s="1471">
        <v>5270</v>
      </c>
      <c r="J131" s="1471">
        <v>511.6</v>
      </c>
      <c r="K131" s="1471">
        <v>284.60000000000002</v>
      </c>
      <c r="L131" s="1471">
        <v>8.9</v>
      </c>
      <c r="M131" s="1471">
        <v>1783.9</v>
      </c>
      <c r="N131" s="1471">
        <v>174.9</v>
      </c>
      <c r="O131" s="1471">
        <v>5.18</v>
      </c>
    </row>
    <row r="132" spans="1:15" ht="12.75" thickBot="1">
      <c r="A132" s="1471" t="s">
        <v>2134</v>
      </c>
      <c r="B132" s="1471">
        <v>210</v>
      </c>
      <c r="C132" s="1471">
        <v>205</v>
      </c>
      <c r="D132" s="1471">
        <v>9.1</v>
      </c>
      <c r="E132" s="1471">
        <v>14.2</v>
      </c>
      <c r="F132" s="1471">
        <v>10</v>
      </c>
      <c r="G132" s="1471">
        <v>75.599999999999994</v>
      </c>
      <c r="H132" s="1471">
        <v>59.3</v>
      </c>
      <c r="I132" s="1471">
        <v>6111</v>
      </c>
      <c r="J132" s="1471">
        <v>582</v>
      </c>
      <c r="K132" s="1471">
        <v>326.3</v>
      </c>
      <c r="L132" s="1471">
        <v>8.99</v>
      </c>
      <c r="M132" s="1471">
        <v>2040.4</v>
      </c>
      <c r="N132" s="1471">
        <v>199.1</v>
      </c>
      <c r="O132" s="1471">
        <v>5.2</v>
      </c>
    </row>
    <row r="133" spans="1:15" ht="12.75" thickBot="1">
      <c r="A133" s="1471" t="s">
        <v>2135</v>
      </c>
      <c r="B133" s="1471">
        <v>216</v>
      </c>
      <c r="C133" s="1471">
        <v>206</v>
      </c>
      <c r="D133" s="1471">
        <v>10.199999999999999</v>
      </c>
      <c r="E133" s="1471">
        <v>17.399999999999999</v>
      </c>
      <c r="F133" s="1471">
        <v>10</v>
      </c>
      <c r="G133" s="1471">
        <v>91.03</v>
      </c>
      <c r="H133" s="1471">
        <v>71.5</v>
      </c>
      <c r="I133" s="1471">
        <v>7660</v>
      </c>
      <c r="J133" s="1471">
        <v>709.2</v>
      </c>
      <c r="K133" s="1471">
        <v>401.6</v>
      </c>
      <c r="L133" s="1471">
        <v>9.17</v>
      </c>
      <c r="M133" s="1471">
        <v>2537.1999999999998</v>
      </c>
      <c r="N133" s="1471">
        <v>246.3</v>
      </c>
      <c r="O133" s="1471">
        <v>5.28</v>
      </c>
    </row>
    <row r="134" spans="1:15" ht="12.75" thickBot="1">
      <c r="A134" s="1471" t="s">
        <v>2136</v>
      </c>
      <c r="B134" s="1471">
        <v>222</v>
      </c>
      <c r="C134" s="1471">
        <v>209</v>
      </c>
      <c r="D134" s="1471">
        <v>13</v>
      </c>
      <c r="E134" s="1471">
        <v>20.6</v>
      </c>
      <c r="F134" s="1471">
        <v>10</v>
      </c>
      <c r="G134" s="1471">
        <v>110.47</v>
      </c>
      <c r="H134" s="1471">
        <v>86.7</v>
      </c>
      <c r="I134" s="1471">
        <v>9469</v>
      </c>
      <c r="J134" s="1471">
        <v>853</v>
      </c>
      <c r="K134" s="1471">
        <v>490</v>
      </c>
      <c r="L134" s="1471">
        <v>9.26</v>
      </c>
      <c r="M134" s="1471">
        <v>3138</v>
      </c>
      <c r="N134" s="1471">
        <v>300</v>
      </c>
      <c r="O134" s="1471">
        <v>5.33</v>
      </c>
    </row>
    <row r="135" spans="1:15" ht="12.75" thickBot="1">
      <c r="A135" s="1471" t="s">
        <v>2137</v>
      </c>
      <c r="B135" s="1471">
        <v>229</v>
      </c>
      <c r="C135" s="1471">
        <v>210</v>
      </c>
      <c r="D135" s="1471">
        <v>14.5</v>
      </c>
      <c r="E135" s="1471">
        <v>23.7</v>
      </c>
      <c r="F135" s="1471">
        <v>10</v>
      </c>
      <c r="G135" s="1471">
        <v>126.73</v>
      </c>
      <c r="H135" s="1471">
        <v>99.5</v>
      </c>
      <c r="I135" s="1471">
        <v>11326</v>
      </c>
      <c r="J135" s="1471">
        <v>989</v>
      </c>
      <c r="K135" s="1471">
        <v>574</v>
      </c>
      <c r="L135" s="1471">
        <v>9.4499999999999993</v>
      </c>
      <c r="M135" s="1471">
        <v>3663</v>
      </c>
      <c r="N135" s="1471">
        <v>349</v>
      </c>
      <c r="O135" s="1471">
        <v>5.38</v>
      </c>
    </row>
    <row r="136" spans="1:15" ht="12.75" thickBot="1">
      <c r="A136" s="1471" t="s">
        <v>2138</v>
      </c>
      <c r="B136" s="1471">
        <v>200</v>
      </c>
      <c r="C136" s="1471">
        <v>204</v>
      </c>
      <c r="D136" s="1471">
        <v>12</v>
      </c>
      <c r="E136" s="1471">
        <v>12</v>
      </c>
      <c r="F136" s="1471">
        <v>13</v>
      </c>
      <c r="G136" s="1471">
        <v>71.53</v>
      </c>
      <c r="H136" s="1471">
        <v>56.2</v>
      </c>
      <c r="I136" s="1471">
        <v>4982</v>
      </c>
      <c r="J136" s="1471">
        <v>498.2</v>
      </c>
      <c r="K136" s="1471">
        <v>282.8</v>
      </c>
      <c r="L136" s="1471">
        <v>8.35</v>
      </c>
      <c r="M136" s="1471">
        <v>1701.6</v>
      </c>
      <c r="N136" s="1471">
        <v>166.8</v>
      </c>
      <c r="O136" s="1471">
        <v>4.88</v>
      </c>
    </row>
    <row r="137" spans="1:15" ht="12.75" thickBot="1">
      <c r="A137" s="1471" t="s">
        <v>2139</v>
      </c>
      <c r="B137" s="1471">
        <v>246</v>
      </c>
      <c r="C137" s="1471">
        <v>256</v>
      </c>
      <c r="D137" s="1471">
        <v>10.5</v>
      </c>
      <c r="E137" s="1471">
        <v>10.7</v>
      </c>
      <c r="F137" s="1471">
        <v>17</v>
      </c>
      <c r="G137" s="1471">
        <v>80.849999999999994</v>
      </c>
      <c r="H137" s="1471">
        <v>63.5</v>
      </c>
      <c r="I137" s="1471">
        <v>8872</v>
      </c>
      <c r="J137" s="1471">
        <v>721.3</v>
      </c>
      <c r="K137" s="1471">
        <v>402</v>
      </c>
      <c r="L137" s="1471">
        <v>10.48</v>
      </c>
      <c r="M137" s="1471">
        <v>2996.1</v>
      </c>
      <c r="N137" s="1471">
        <v>234.1</v>
      </c>
      <c r="O137" s="1471">
        <v>6.09</v>
      </c>
    </row>
    <row r="138" spans="1:15" ht="12.75" thickBot="1">
      <c r="A138" s="1471" t="s">
        <v>2140</v>
      </c>
      <c r="B138" s="1471">
        <v>244</v>
      </c>
      <c r="C138" s="1471">
        <v>252</v>
      </c>
      <c r="D138" s="1471">
        <v>11</v>
      </c>
      <c r="E138" s="1471">
        <v>11</v>
      </c>
      <c r="F138" s="1471">
        <v>16</v>
      </c>
      <c r="G138" s="1471">
        <v>82.06</v>
      </c>
      <c r="H138" s="1471">
        <v>64.400000000000006</v>
      </c>
      <c r="I138" s="1471">
        <v>8787</v>
      </c>
      <c r="J138" s="1471">
        <v>720.3</v>
      </c>
      <c r="K138" s="1471">
        <v>402.5</v>
      </c>
      <c r="L138" s="1471">
        <v>10.35</v>
      </c>
      <c r="M138" s="1471">
        <v>2938.2</v>
      </c>
      <c r="N138" s="1471">
        <v>233.2</v>
      </c>
      <c r="O138" s="1471">
        <v>5.98</v>
      </c>
    </row>
    <row r="139" spans="1:15" ht="12.75" thickBot="1">
      <c r="A139" s="1471" t="s">
        <v>2141</v>
      </c>
      <c r="B139" s="1471">
        <v>294</v>
      </c>
      <c r="C139" s="1471">
        <v>302</v>
      </c>
      <c r="D139" s="1471">
        <v>12</v>
      </c>
      <c r="E139" s="1471">
        <v>12</v>
      </c>
      <c r="F139" s="1471">
        <v>18</v>
      </c>
      <c r="G139" s="1471">
        <v>107.7</v>
      </c>
      <c r="H139" s="1471">
        <v>84.5</v>
      </c>
      <c r="I139" s="1471">
        <v>16865</v>
      </c>
      <c r="J139" s="1471">
        <v>1147.3</v>
      </c>
      <c r="K139" s="1471">
        <v>638.6</v>
      </c>
      <c r="L139" s="1471">
        <v>12.52</v>
      </c>
      <c r="M139" s="1471">
        <v>5515.4</v>
      </c>
      <c r="N139" s="1471">
        <v>365.3</v>
      </c>
      <c r="O139" s="1471">
        <v>7.16</v>
      </c>
    </row>
    <row r="140" spans="1:15" ht="12.75" thickBot="1">
      <c r="A140" s="1471" t="s">
        <v>2142</v>
      </c>
      <c r="B140" s="1471">
        <v>299</v>
      </c>
      <c r="C140" s="1471">
        <v>306</v>
      </c>
      <c r="D140" s="1471">
        <v>11</v>
      </c>
      <c r="E140" s="1471">
        <v>11</v>
      </c>
      <c r="F140" s="1471">
        <v>19</v>
      </c>
      <c r="G140" s="1471">
        <v>100.89</v>
      </c>
      <c r="H140" s="1471">
        <v>79.2</v>
      </c>
      <c r="I140" s="1471">
        <v>16474</v>
      </c>
      <c r="J140" s="1471">
        <v>1102</v>
      </c>
      <c r="K140" s="1471">
        <v>611</v>
      </c>
      <c r="L140" s="1471">
        <v>12.78</v>
      </c>
      <c r="M140" s="1471">
        <v>5259</v>
      </c>
      <c r="N140" s="1471">
        <v>343.7</v>
      </c>
      <c r="O140" s="1471">
        <v>7.22</v>
      </c>
    </row>
    <row r="141" spans="1:15" ht="12.75" thickBot="1">
      <c r="A141" s="1471" t="s">
        <v>2143</v>
      </c>
      <c r="B141" s="1471">
        <v>308</v>
      </c>
      <c r="C141" s="1471">
        <v>310</v>
      </c>
      <c r="D141" s="1471">
        <v>15.4</v>
      </c>
      <c r="E141" s="1471">
        <v>15.5</v>
      </c>
      <c r="F141" s="1471">
        <v>19</v>
      </c>
      <c r="G141" s="1471">
        <v>141.86000000000001</v>
      </c>
      <c r="H141" s="1471">
        <v>111.4</v>
      </c>
      <c r="I141" s="1471">
        <v>23861</v>
      </c>
      <c r="J141" s="1471">
        <v>1549.4</v>
      </c>
      <c r="K141" s="1471">
        <v>871.3</v>
      </c>
      <c r="L141" s="1471">
        <v>12.97</v>
      </c>
      <c r="M141" s="1471">
        <v>7708.9</v>
      </c>
      <c r="N141" s="1471">
        <v>497.3</v>
      </c>
      <c r="O141" s="1471">
        <v>7.37</v>
      </c>
    </row>
    <row r="142" spans="1:15" ht="12.75" thickBot="1">
      <c r="A142" s="1471" t="s">
        <v>2144</v>
      </c>
      <c r="B142" s="1471">
        <v>338</v>
      </c>
      <c r="C142" s="1471">
        <v>351</v>
      </c>
      <c r="D142" s="1471">
        <v>13</v>
      </c>
      <c r="E142" s="1471">
        <v>13</v>
      </c>
      <c r="F142" s="1471">
        <v>20</v>
      </c>
      <c r="G142" s="1471">
        <v>135.30000000000001</v>
      </c>
      <c r="H142" s="1471">
        <v>106</v>
      </c>
      <c r="I142" s="1471">
        <v>28191</v>
      </c>
      <c r="J142" s="1471">
        <v>1668.1</v>
      </c>
      <c r="K142" s="1471">
        <v>925.7</v>
      </c>
      <c r="L142" s="1471">
        <v>14.44</v>
      </c>
      <c r="M142" s="1471">
        <v>9379.2999999999993</v>
      </c>
      <c r="N142" s="1471">
        <v>534.4</v>
      </c>
      <c r="O142" s="1471">
        <v>8.33</v>
      </c>
    </row>
    <row r="143" spans="1:15" ht="12.75" thickBot="1">
      <c r="A143" s="1471" t="s">
        <v>2145</v>
      </c>
      <c r="B143" s="1471">
        <v>344</v>
      </c>
      <c r="C143" s="1471">
        <v>354</v>
      </c>
      <c r="D143" s="1471">
        <v>16</v>
      </c>
      <c r="E143" s="1471">
        <v>16</v>
      </c>
      <c r="F143" s="1471">
        <v>20</v>
      </c>
      <c r="G143" s="1471">
        <v>166.6</v>
      </c>
      <c r="H143" s="1471">
        <v>131</v>
      </c>
      <c r="I143" s="1471">
        <v>35331</v>
      </c>
      <c r="J143" s="1471">
        <v>2054.1999999999998</v>
      </c>
      <c r="K143" s="1471">
        <v>1149.5999999999999</v>
      </c>
      <c r="L143" s="1471">
        <v>14.56</v>
      </c>
      <c r="M143" s="1471">
        <v>11845.8</v>
      </c>
      <c r="N143" s="1471">
        <v>669.3</v>
      </c>
      <c r="O143" s="1471">
        <v>8.43</v>
      </c>
    </row>
    <row r="144" spans="1:15" ht="12.75" thickBot="1">
      <c r="A144" s="1471" t="s">
        <v>2146</v>
      </c>
      <c r="B144" s="1471">
        <v>394</v>
      </c>
      <c r="C144" s="1471">
        <v>405</v>
      </c>
      <c r="D144" s="1471">
        <v>18</v>
      </c>
      <c r="E144" s="1471">
        <v>18</v>
      </c>
      <c r="F144" s="1471">
        <v>28</v>
      </c>
      <c r="G144" s="1471">
        <v>214.4</v>
      </c>
      <c r="H144" s="1471">
        <v>168</v>
      </c>
      <c r="I144" s="1471">
        <v>59715</v>
      </c>
      <c r="J144" s="1471">
        <v>3031.2</v>
      </c>
      <c r="K144" s="1471">
        <v>1695.1</v>
      </c>
      <c r="L144" s="1471">
        <v>16.690000000000001</v>
      </c>
      <c r="M144" s="1471">
        <v>19954.5</v>
      </c>
      <c r="N144" s="1471">
        <v>985.4</v>
      </c>
      <c r="O144" s="1471">
        <v>9.65</v>
      </c>
    </row>
    <row r="145" spans="1:15">
      <c r="A145" s="1470"/>
    </row>
    <row r="146" spans="1:15">
      <c r="A146" s="1470" t="s">
        <v>2069</v>
      </c>
    </row>
    <row r="147" spans="1:15">
      <c r="A147" s="1470" t="s">
        <v>2070</v>
      </c>
    </row>
    <row r="148" spans="1:15">
      <c r="A148" s="1470"/>
    </row>
    <row r="151" spans="1:15">
      <c r="A151" s="1470"/>
    </row>
    <row r="152" spans="1:15" ht="14.25">
      <c r="A152" s="1469" t="s">
        <v>2147</v>
      </c>
    </row>
    <row r="153" spans="1:15" ht="12.75" thickBot="1">
      <c r="A153" s="1470"/>
    </row>
    <row r="154" spans="1:15" ht="12.75" thickBot="1">
      <c r="A154" s="1800" t="s">
        <v>2004</v>
      </c>
      <c r="B154" s="1801"/>
      <c r="C154" s="1801"/>
      <c r="D154" s="1801"/>
      <c r="E154" s="1801"/>
      <c r="F154" s="1801"/>
      <c r="G154" s="1801"/>
      <c r="H154" s="1801"/>
      <c r="I154" s="1801"/>
      <c r="J154" s="1801"/>
      <c r="K154" s="1801"/>
      <c r="L154" s="1801"/>
      <c r="M154" s="1801"/>
      <c r="N154" s="1801"/>
      <c r="O154" s="1802"/>
    </row>
    <row r="155" spans="1:15" ht="18" customHeight="1" thickBot="1">
      <c r="A155" s="1821" t="s">
        <v>2005</v>
      </c>
      <c r="B155" s="1814" t="s">
        <v>2006</v>
      </c>
      <c r="C155" s="1815"/>
      <c r="D155" s="1815"/>
      <c r="E155" s="1815"/>
      <c r="F155" s="1816"/>
      <c r="G155" s="1821" t="s">
        <v>2007</v>
      </c>
      <c r="H155" s="1821" t="s">
        <v>2008</v>
      </c>
      <c r="I155" s="1814" t="s">
        <v>2009</v>
      </c>
      <c r="J155" s="1815"/>
      <c r="K155" s="1815"/>
      <c r="L155" s="1815"/>
      <c r="M155" s="1815"/>
      <c r="N155" s="1815"/>
      <c r="O155" s="1816"/>
    </row>
    <row r="156" spans="1:15" ht="12.75" thickBot="1">
      <c r="A156" s="1822"/>
      <c r="B156" s="1471" t="s">
        <v>573</v>
      </c>
      <c r="C156" s="1471" t="s">
        <v>574</v>
      </c>
      <c r="D156" s="1471" t="s">
        <v>2010</v>
      </c>
      <c r="E156" s="1471" t="s">
        <v>1507</v>
      </c>
      <c r="F156" s="1471" t="s">
        <v>614</v>
      </c>
      <c r="G156" s="1822"/>
      <c r="H156" s="1822"/>
      <c r="I156" s="1471" t="s">
        <v>2011</v>
      </c>
      <c r="J156" s="1471" t="s">
        <v>2012</v>
      </c>
      <c r="K156" s="1471" t="s">
        <v>2013</v>
      </c>
      <c r="L156" s="1471" t="s">
        <v>2014</v>
      </c>
      <c r="M156" s="1471" t="s">
        <v>2015</v>
      </c>
      <c r="N156" s="1471" t="s">
        <v>2016</v>
      </c>
      <c r="O156" s="1471" t="s">
        <v>2017</v>
      </c>
    </row>
    <row r="157" spans="1:15" ht="13.5" thickBot="1">
      <c r="A157" s="1814" t="s">
        <v>2148</v>
      </c>
      <c r="B157" s="1815"/>
      <c r="C157" s="1815"/>
      <c r="D157" s="1815"/>
      <c r="E157" s="1815"/>
      <c r="F157" s="1815"/>
      <c r="G157" s="1815"/>
      <c r="H157" s="1815"/>
      <c r="I157" s="1815"/>
      <c r="J157" s="1815"/>
      <c r="K157" s="1815"/>
      <c r="L157" s="1815"/>
      <c r="M157" s="1815"/>
      <c r="N157" s="1816"/>
      <c r="O157" s="1472"/>
    </row>
    <row r="158" spans="1:15" ht="12.75" thickBot="1">
      <c r="A158" s="1471" t="s">
        <v>2149</v>
      </c>
      <c r="B158" s="1471">
        <v>240</v>
      </c>
      <c r="C158" s="1471">
        <v>110</v>
      </c>
      <c r="D158" s="1471">
        <v>8.1999999999999993</v>
      </c>
      <c r="E158" s="1471">
        <v>14</v>
      </c>
      <c r="F158" s="1471">
        <v>4</v>
      </c>
      <c r="G158" s="1471">
        <v>4</v>
      </c>
      <c r="H158" s="1471">
        <v>48.7</v>
      </c>
      <c r="I158" s="1471">
        <v>38.299999999999997</v>
      </c>
      <c r="J158" s="1471">
        <v>4640</v>
      </c>
      <c r="K158" s="1471">
        <v>387</v>
      </c>
      <c r="L158" s="1471">
        <v>223</v>
      </c>
      <c r="M158" s="1471">
        <v>276</v>
      </c>
      <c r="N158" s="1471">
        <v>50.2</v>
      </c>
      <c r="O158" s="1471">
        <v>2.38</v>
      </c>
    </row>
    <row r="159" spans="1:15" ht="12.75" thickBot="1">
      <c r="A159" s="1471" t="s">
        <v>2150</v>
      </c>
      <c r="B159" s="1471">
        <v>300</v>
      </c>
      <c r="C159" s="1471">
        <v>130</v>
      </c>
      <c r="D159" s="1471">
        <v>9</v>
      </c>
      <c r="E159" s="1471">
        <v>15</v>
      </c>
      <c r="F159" s="1471">
        <v>6</v>
      </c>
      <c r="G159" s="1471">
        <v>64</v>
      </c>
      <c r="H159" s="1471">
        <v>50.2</v>
      </c>
      <c r="I159" s="1471">
        <v>9500</v>
      </c>
      <c r="J159" s="1471">
        <v>633</v>
      </c>
      <c r="K159" s="1471">
        <v>364</v>
      </c>
      <c r="L159" s="1471">
        <v>12.2</v>
      </c>
      <c r="M159" s="1471">
        <v>480</v>
      </c>
      <c r="N159" s="1471">
        <v>73.900000000000006</v>
      </c>
      <c r="O159" s="1471">
        <v>2.74</v>
      </c>
    </row>
    <row r="160" spans="1:15" ht="12.75" thickBot="1">
      <c r="A160" s="1471" t="s">
        <v>2151</v>
      </c>
      <c r="B160" s="1471">
        <v>360</v>
      </c>
      <c r="C160" s="1471">
        <v>130</v>
      </c>
      <c r="D160" s="1471">
        <v>9.5</v>
      </c>
      <c r="E160" s="1471">
        <v>16</v>
      </c>
      <c r="F160" s="1471">
        <v>6</v>
      </c>
      <c r="G160" s="1471">
        <v>73.8</v>
      </c>
      <c r="H160" s="1471">
        <v>57.9</v>
      </c>
      <c r="I160" s="1471">
        <v>15340</v>
      </c>
      <c r="J160" s="1471">
        <v>852</v>
      </c>
      <c r="K160" s="1471">
        <v>493</v>
      </c>
      <c r="L160" s="1471">
        <v>14.4</v>
      </c>
      <c r="M160" s="1471">
        <v>518</v>
      </c>
      <c r="N160" s="1471">
        <v>79.7</v>
      </c>
      <c r="O160" s="1471">
        <v>2.65</v>
      </c>
    </row>
    <row r="161" spans="1:21" ht="12.75" thickBot="1">
      <c r="A161" s="1471" t="s">
        <v>2152</v>
      </c>
      <c r="B161" s="1471">
        <v>450</v>
      </c>
      <c r="C161" s="1471">
        <v>150</v>
      </c>
      <c r="D161" s="1471">
        <v>10.5</v>
      </c>
      <c r="E161" s="1471">
        <v>18</v>
      </c>
      <c r="F161" s="1471">
        <v>7</v>
      </c>
      <c r="G161" s="1471">
        <v>98.8</v>
      </c>
      <c r="H161" s="1471">
        <v>77.599999999999994</v>
      </c>
      <c r="I161" s="1471">
        <v>31900</v>
      </c>
      <c r="J161" s="1471">
        <v>1420</v>
      </c>
      <c r="K161" s="1471">
        <v>821</v>
      </c>
      <c r="L161" s="1471">
        <v>18</v>
      </c>
      <c r="M161" s="1471">
        <v>892</v>
      </c>
      <c r="N161" s="1471">
        <v>119</v>
      </c>
      <c r="O161" s="1471">
        <v>3</v>
      </c>
    </row>
    <row r="162" spans="1:21" ht="12.75" thickBot="1">
      <c r="A162" s="1814" t="s">
        <v>2148</v>
      </c>
      <c r="B162" s="1815"/>
      <c r="C162" s="1815"/>
      <c r="D162" s="1815"/>
      <c r="E162" s="1815"/>
      <c r="F162" s="1815"/>
      <c r="G162" s="1815"/>
      <c r="H162" s="1815"/>
      <c r="I162" s="1815"/>
      <c r="J162" s="1815"/>
      <c r="K162" s="1815"/>
      <c r="L162" s="1815"/>
      <c r="M162" s="1815"/>
      <c r="N162" s="1815"/>
      <c r="O162" s="1816"/>
    </row>
    <row r="163" spans="1:21" ht="12.75" thickBot="1">
      <c r="A163" s="1471">
        <v>18</v>
      </c>
      <c r="B163" s="1471">
        <v>100</v>
      </c>
      <c r="C163" s="1471">
        <v>90</v>
      </c>
      <c r="D163" s="1471">
        <v>5.0999999999999996</v>
      </c>
      <c r="E163" s="1471">
        <v>8.1</v>
      </c>
      <c r="F163" s="1471">
        <v>3.5</v>
      </c>
      <c r="G163" s="1471">
        <v>23.4</v>
      </c>
      <c r="H163" s="1471">
        <v>18.399999999999999</v>
      </c>
      <c r="I163" s="1471">
        <v>1290</v>
      </c>
      <c r="J163" s="1471">
        <v>143</v>
      </c>
      <c r="K163" s="1471">
        <v>81.400000000000006</v>
      </c>
      <c r="L163" s="1471">
        <v>7.42</v>
      </c>
      <c r="M163" s="1471">
        <v>82.6</v>
      </c>
      <c r="N163" s="1471">
        <v>18.399999999999999</v>
      </c>
      <c r="O163" s="1471">
        <v>1.88</v>
      </c>
    </row>
    <row r="164" spans="1:21" ht="12.75" thickBot="1">
      <c r="A164" s="1471">
        <v>60</v>
      </c>
      <c r="B164" s="1471">
        <v>600</v>
      </c>
      <c r="C164" s="1471">
        <v>190</v>
      </c>
      <c r="D164" s="1471">
        <v>12</v>
      </c>
      <c r="E164" s="1471">
        <v>17.8</v>
      </c>
      <c r="F164" s="1471">
        <v>20</v>
      </c>
      <c r="G164" s="1471"/>
      <c r="H164" s="1471">
        <v>138</v>
      </c>
      <c r="I164" s="1471">
        <v>108</v>
      </c>
      <c r="J164" s="1471">
        <v>76806</v>
      </c>
      <c r="K164" s="1471">
        <v>2560</v>
      </c>
      <c r="L164" s="1471">
        <v>1491</v>
      </c>
      <c r="M164" s="1471">
        <v>23.6</v>
      </c>
      <c r="N164" s="1471">
        <v>182</v>
      </c>
      <c r="O164" s="1471">
        <v>3.54</v>
      </c>
    </row>
    <row r="165" spans="1:21">
      <c r="A165" s="1470"/>
    </row>
    <row r="166" spans="1:21">
      <c r="A166" s="1470" t="s">
        <v>2153</v>
      </c>
    </row>
    <row r="167" spans="1:21">
      <c r="A167" s="1470" t="s">
        <v>2154</v>
      </c>
    </row>
    <row r="168" spans="1:21">
      <c r="A168" s="1470"/>
    </row>
    <row r="171" spans="1:21">
      <c r="A171" s="1470"/>
    </row>
    <row r="172" spans="1:21" ht="14.25">
      <c r="A172" s="1469" t="s">
        <v>2155</v>
      </c>
    </row>
    <row r="173" spans="1:21" ht="12.75" thickBot="1">
      <c r="A173" s="1470"/>
    </row>
    <row r="174" spans="1:21" ht="12.75" thickBot="1">
      <c r="A174" s="1800" t="s">
        <v>2004</v>
      </c>
      <c r="B174" s="1801"/>
      <c r="C174" s="1801"/>
      <c r="D174" s="1801"/>
      <c r="E174" s="1801"/>
      <c r="F174" s="1801"/>
      <c r="G174" s="1801"/>
      <c r="H174" s="1801"/>
      <c r="I174" s="1802"/>
    </row>
    <row r="175" spans="1:21" ht="54.75" thickBot="1">
      <c r="A175" s="1809" t="s">
        <v>2156</v>
      </c>
      <c r="B175" s="1806" t="s">
        <v>2157</v>
      </c>
      <c r="C175" s="1807"/>
      <c r="D175" s="1807"/>
      <c r="E175" s="1807"/>
      <c r="F175" s="1807"/>
      <c r="G175" s="1808"/>
      <c r="H175" s="1474" t="s">
        <v>2158</v>
      </c>
      <c r="I175" s="1474" t="s">
        <v>2008</v>
      </c>
      <c r="J175" s="1806" t="s">
        <v>2159</v>
      </c>
      <c r="K175" s="1807"/>
      <c r="L175" s="1807"/>
      <c r="M175" s="1807"/>
      <c r="N175" s="1808"/>
      <c r="O175" s="1806" t="s">
        <v>2160</v>
      </c>
      <c r="P175" s="1808"/>
      <c r="Q175" s="1809" t="s">
        <v>2161</v>
      </c>
    </row>
    <row r="176" spans="1:21" ht="13.5" thickBot="1">
      <c r="A176" s="1810"/>
      <c r="B176" s="1474" t="s">
        <v>573</v>
      </c>
      <c r="C176" s="1474" t="s">
        <v>574</v>
      </c>
      <c r="D176" s="1474" t="s">
        <v>2010</v>
      </c>
      <c r="E176" s="1474" t="s">
        <v>1507</v>
      </c>
      <c r="F176" s="1474" t="s">
        <v>614</v>
      </c>
      <c r="G176" s="1474" t="s">
        <v>577</v>
      </c>
      <c r="H176" s="1476"/>
      <c r="I176" s="1472"/>
      <c r="J176" s="1474" t="s">
        <v>2162</v>
      </c>
      <c r="K176" s="1474" t="s">
        <v>2163</v>
      </c>
      <c r="L176" s="1474" t="s">
        <v>2164</v>
      </c>
      <c r="M176" s="1474" t="s">
        <v>2165</v>
      </c>
      <c r="N176" s="1474" t="s">
        <v>2166</v>
      </c>
      <c r="O176" s="1474" t="s">
        <v>2167</v>
      </c>
      <c r="P176" s="1474" t="s">
        <v>2168</v>
      </c>
      <c r="Q176" s="1810"/>
      <c r="R176" s="1477" t="s">
        <v>2169</v>
      </c>
      <c r="S176" s="1477" t="s">
        <v>2170</v>
      </c>
      <c r="T176" s="1477" t="s">
        <v>75</v>
      </c>
      <c r="U176" s="1477" t="s">
        <v>2171</v>
      </c>
    </row>
    <row r="177" spans="1:21" ht="12.75" thickBot="1">
      <c r="A177" s="1478" t="s">
        <v>2172</v>
      </c>
      <c r="B177" s="1478">
        <v>160</v>
      </c>
      <c r="C177" s="1478">
        <v>64</v>
      </c>
      <c r="D177" s="1478">
        <v>5</v>
      </c>
      <c r="E177" s="1478">
        <v>8.4</v>
      </c>
      <c r="F177" s="1478">
        <v>8.5</v>
      </c>
      <c r="G177" s="1478">
        <v>3.5</v>
      </c>
      <c r="H177" s="1478">
        <v>18.100000000000001</v>
      </c>
      <c r="I177" s="1478">
        <v>14.2</v>
      </c>
      <c r="J177" s="1478">
        <v>747</v>
      </c>
      <c r="K177" s="1478">
        <v>93.4</v>
      </c>
      <c r="L177" s="1478">
        <v>6.42</v>
      </c>
      <c r="M177" s="1478">
        <v>54.1</v>
      </c>
      <c r="N177" s="1478">
        <v>63.3</v>
      </c>
      <c r="O177" s="1478">
        <v>13.8</v>
      </c>
      <c r="P177" s="1478">
        <v>1.87</v>
      </c>
      <c r="Q177" s="1478">
        <v>1.8</v>
      </c>
      <c r="R177" s="1479">
        <v>103000</v>
      </c>
      <c r="S177" s="1479">
        <f>R177/1.12/150</f>
        <v>613.09523809523807</v>
      </c>
      <c r="T177" s="1479">
        <f>I177*4*2*100</f>
        <v>11360</v>
      </c>
      <c r="U177" s="1479">
        <f>T177*S177/1000*1.12</f>
        <v>7800.5333333333338</v>
      </c>
    </row>
    <row r="178" spans="1:21" ht="12.75" thickBot="1">
      <c r="A178" s="1478" t="s">
        <v>2173</v>
      </c>
      <c r="B178" s="1478">
        <v>160</v>
      </c>
      <c r="C178" s="1478">
        <v>68</v>
      </c>
      <c r="D178" s="1478">
        <v>5</v>
      </c>
      <c r="E178" s="1478">
        <v>9</v>
      </c>
      <c r="F178" s="1478">
        <v>8.5</v>
      </c>
      <c r="G178" s="1478">
        <v>3.5</v>
      </c>
      <c r="H178" s="1478">
        <v>19.5</v>
      </c>
      <c r="I178" s="1478">
        <v>15.3</v>
      </c>
      <c r="J178" s="1478">
        <v>823</v>
      </c>
      <c r="K178" s="1478">
        <v>103</v>
      </c>
      <c r="L178" s="1478">
        <v>6.49</v>
      </c>
      <c r="M178" s="1478">
        <v>59.4</v>
      </c>
      <c r="N178" s="1478">
        <v>78.8</v>
      </c>
      <c r="O178" s="1478">
        <v>16.399999999999999</v>
      </c>
      <c r="P178" s="1478">
        <v>2.0099999999999998</v>
      </c>
      <c r="Q178" s="1478">
        <v>2</v>
      </c>
    </row>
    <row r="179" spans="1:21" ht="12.75" thickBot="1">
      <c r="A179" s="1478" t="s">
        <v>2174</v>
      </c>
      <c r="B179" s="1478">
        <v>180</v>
      </c>
      <c r="C179" s="1478">
        <v>70</v>
      </c>
      <c r="D179" s="1478">
        <v>5.0999999999999996</v>
      </c>
      <c r="E179" s="1478">
        <v>8.6999999999999993</v>
      </c>
      <c r="F179" s="1478">
        <v>9</v>
      </c>
      <c r="G179" s="1478">
        <v>3.5</v>
      </c>
      <c r="H179" s="1478">
        <v>20.7</v>
      </c>
      <c r="I179" s="1478">
        <v>16.3</v>
      </c>
      <c r="J179" s="1478">
        <v>1090</v>
      </c>
      <c r="K179" s="1478">
        <v>121</v>
      </c>
      <c r="L179" s="1478">
        <v>7.24</v>
      </c>
      <c r="M179" s="1478">
        <v>69.8</v>
      </c>
      <c r="N179" s="1478">
        <v>86</v>
      </c>
      <c r="O179" s="1478">
        <v>17</v>
      </c>
      <c r="P179" s="1478">
        <v>2.04</v>
      </c>
      <c r="Q179" s="1478">
        <v>1.94</v>
      </c>
    </row>
    <row r="180" spans="1:21" ht="12.75" thickBot="1">
      <c r="A180" s="1478" t="s">
        <v>2175</v>
      </c>
      <c r="B180" s="1478">
        <v>180</v>
      </c>
      <c r="C180" s="1478">
        <v>74</v>
      </c>
      <c r="D180" s="1478">
        <v>5.0999999999999996</v>
      </c>
      <c r="E180" s="1478">
        <v>9.3000000000000007</v>
      </c>
      <c r="F180" s="1478">
        <v>9</v>
      </c>
      <c r="G180" s="1478">
        <v>3.5</v>
      </c>
      <c r="H180" s="1478">
        <v>22.2</v>
      </c>
      <c r="I180" s="1478">
        <v>17.399999999999999</v>
      </c>
      <c r="J180" s="1478">
        <v>1190</v>
      </c>
      <c r="K180" s="1478">
        <v>132</v>
      </c>
      <c r="L180" s="1478">
        <v>7.32</v>
      </c>
      <c r="M180" s="1478">
        <v>76.099999999999994</v>
      </c>
      <c r="N180" s="1478">
        <v>105</v>
      </c>
      <c r="O180" s="1478">
        <v>20</v>
      </c>
      <c r="P180" s="1478">
        <v>2.1800000000000002</v>
      </c>
      <c r="Q180" s="1478">
        <v>2.13</v>
      </c>
    </row>
    <row r="181" spans="1:21" ht="12.75" thickBot="1">
      <c r="A181" s="1478" t="s">
        <v>2176</v>
      </c>
      <c r="B181" s="1478">
        <v>200</v>
      </c>
      <c r="C181" s="1478">
        <v>76</v>
      </c>
      <c r="D181" s="1478">
        <v>5.2</v>
      </c>
      <c r="E181" s="1478">
        <v>9</v>
      </c>
      <c r="F181" s="1478">
        <v>9.5</v>
      </c>
      <c r="G181" s="1478">
        <v>4</v>
      </c>
      <c r="H181" s="1478">
        <v>23.4</v>
      </c>
      <c r="I181" s="1478">
        <v>18.399999999999999</v>
      </c>
      <c r="J181" s="1478">
        <v>1520</v>
      </c>
      <c r="K181" s="1478">
        <v>152</v>
      </c>
      <c r="L181" s="1478">
        <v>8.07</v>
      </c>
      <c r="M181" s="1478">
        <v>87.8</v>
      </c>
      <c r="N181" s="1478">
        <v>113</v>
      </c>
      <c r="O181" s="1478">
        <v>20.5</v>
      </c>
      <c r="P181" s="1478">
        <v>2.2000000000000002</v>
      </c>
      <c r="Q181" s="1478">
        <v>2.0699999999999998</v>
      </c>
    </row>
    <row r="182" spans="1:21" ht="12.75" thickBot="1">
      <c r="A182" s="1478" t="s">
        <v>2177</v>
      </c>
      <c r="B182" s="1478">
        <v>270</v>
      </c>
      <c r="C182" s="1478">
        <v>95</v>
      </c>
      <c r="D182" s="1478">
        <v>6</v>
      </c>
      <c r="E182" s="1478">
        <v>10.5</v>
      </c>
      <c r="F182" s="1478">
        <v>11</v>
      </c>
      <c r="G182" s="1478">
        <v>4.5</v>
      </c>
      <c r="H182" s="1478">
        <v>35.200000000000003</v>
      </c>
      <c r="I182" s="1478">
        <v>27.7</v>
      </c>
      <c r="J182" s="1478">
        <v>4160</v>
      </c>
      <c r="K182" s="1478">
        <v>308</v>
      </c>
      <c r="L182" s="1478">
        <v>10.9</v>
      </c>
      <c r="M182" s="1478">
        <v>178</v>
      </c>
      <c r="N182" s="1478">
        <v>262</v>
      </c>
      <c r="O182" s="1478">
        <v>37.299999999999997</v>
      </c>
      <c r="P182" s="1478">
        <v>2.73</v>
      </c>
      <c r="Q182" s="1478">
        <v>2.4700000000000002</v>
      </c>
    </row>
    <row r="183" spans="1:21" ht="12.75" thickBot="1">
      <c r="A183" s="1478" t="s">
        <v>2178</v>
      </c>
      <c r="B183" s="1478">
        <v>300</v>
      </c>
      <c r="C183" s="1478">
        <v>100</v>
      </c>
      <c r="D183" s="1478">
        <v>6.5</v>
      </c>
      <c r="E183" s="1478">
        <v>11</v>
      </c>
      <c r="F183" s="1478">
        <v>12</v>
      </c>
      <c r="G183" s="1478">
        <v>5</v>
      </c>
      <c r="H183" s="1478">
        <v>40.5</v>
      </c>
      <c r="I183" s="1478">
        <v>31.8</v>
      </c>
      <c r="J183" s="1478">
        <v>5810</v>
      </c>
      <c r="K183" s="1478">
        <v>387</v>
      </c>
      <c r="L183" s="1478">
        <v>12</v>
      </c>
      <c r="M183" s="1478">
        <v>224</v>
      </c>
      <c r="N183" s="1478">
        <v>327</v>
      </c>
      <c r="O183" s="1478">
        <v>43.6</v>
      </c>
      <c r="P183" s="1478">
        <v>2.84</v>
      </c>
      <c r="Q183" s="1478">
        <v>2.52</v>
      </c>
    </row>
    <row r="184" spans="1:21">
      <c r="A184" s="1470"/>
    </row>
    <row r="185" spans="1:21">
      <c r="A185" s="1470"/>
    </row>
    <row r="186" spans="1:21" ht="14.25">
      <c r="A186" s="1469" t="s">
        <v>2179</v>
      </c>
    </row>
    <row r="187" spans="1:21" ht="12.75" thickBot="1">
      <c r="A187" s="1470"/>
    </row>
    <row r="188" spans="1:21" ht="12.75" thickBot="1">
      <c r="A188" s="1800" t="s">
        <v>2180</v>
      </c>
      <c r="B188" s="1801"/>
      <c r="C188" s="1802"/>
    </row>
    <row r="189" spans="1:21" ht="64.5" customHeight="1" thickBot="1">
      <c r="A189" s="1474" t="s">
        <v>2181</v>
      </c>
      <c r="B189" s="1817" t="s">
        <v>2182</v>
      </c>
      <c r="C189" s="1818"/>
      <c r="D189" s="1819" t="s">
        <v>2183</v>
      </c>
      <c r="E189" s="1820"/>
    </row>
    <row r="190" spans="1:21" ht="24" thickBot="1">
      <c r="A190" s="1478" t="s">
        <v>2184</v>
      </c>
      <c r="B190" s="1811" t="s">
        <v>2185</v>
      </c>
      <c r="C190" s="1812"/>
      <c r="D190" s="1478" t="s">
        <v>2186</v>
      </c>
    </row>
    <row r="191" spans="1:21" ht="23.25">
      <c r="A191" s="1480" t="s">
        <v>2187</v>
      </c>
      <c r="B191" s="1811" t="s">
        <v>2188</v>
      </c>
      <c r="C191" s="1812"/>
      <c r="D191" s="1811" t="s">
        <v>2188</v>
      </c>
      <c r="E191" s="1813"/>
    </row>
    <row r="192" spans="1:21" ht="23.25">
      <c r="A192" s="1481" t="s">
        <v>2189</v>
      </c>
      <c r="B192" s="1811"/>
      <c r="C192" s="1812"/>
      <c r="D192" s="1811"/>
      <c r="E192" s="1813"/>
    </row>
    <row r="193" spans="1:18" ht="24" thickBot="1">
      <c r="A193" s="1482" t="s">
        <v>2190</v>
      </c>
      <c r="B193" s="1811"/>
      <c r="C193" s="1812"/>
      <c r="D193" s="1811"/>
      <c r="E193" s="1813"/>
    </row>
    <row r="194" spans="1:18" ht="12" customHeight="1">
      <c r="A194" s="1480" t="s">
        <v>2191</v>
      </c>
      <c r="B194" s="1811" t="s">
        <v>2192</v>
      </c>
      <c r="C194" s="1812"/>
      <c r="D194" s="1811" t="s">
        <v>2192</v>
      </c>
      <c r="E194" s="1813"/>
    </row>
    <row r="195" spans="1:18">
      <c r="A195" s="1481" t="s">
        <v>2193</v>
      </c>
      <c r="B195" s="1811"/>
      <c r="C195" s="1812"/>
      <c r="D195" s="1811"/>
      <c r="E195" s="1813"/>
    </row>
    <row r="196" spans="1:18" ht="12.75" thickBot="1">
      <c r="A196" s="1482" t="s">
        <v>2194</v>
      </c>
      <c r="B196" s="1811"/>
      <c r="C196" s="1812"/>
      <c r="D196" s="1811"/>
      <c r="E196" s="1813"/>
    </row>
    <row r="197" spans="1:18" ht="12.75" thickBot="1">
      <c r="A197" s="1470"/>
    </row>
    <row r="198" spans="1:18" ht="12.75" thickBot="1">
      <c r="A198" s="1800" t="s">
        <v>2004</v>
      </c>
      <c r="B198" s="1801"/>
      <c r="C198" s="1801"/>
      <c r="D198" s="1801"/>
      <c r="E198" s="1801"/>
      <c r="F198" s="1801"/>
      <c r="G198" s="1802"/>
      <c r="H198" s="1483"/>
    </row>
    <row r="199" spans="1:18" ht="54.75" thickBot="1">
      <c r="A199" s="1809" t="s">
        <v>2195</v>
      </c>
      <c r="B199" s="1806" t="s">
        <v>2157</v>
      </c>
      <c r="C199" s="1807"/>
      <c r="D199" s="1807"/>
      <c r="E199" s="1808"/>
      <c r="F199" s="1474" t="s">
        <v>2196</v>
      </c>
      <c r="G199" s="1474" t="s">
        <v>2008</v>
      </c>
      <c r="H199" s="1809" t="s">
        <v>2197</v>
      </c>
      <c r="I199" s="1806" t="s">
        <v>2198</v>
      </c>
      <c r="J199" s="1807"/>
      <c r="K199" s="1808"/>
      <c r="L199" s="1806" t="s">
        <v>2199</v>
      </c>
      <c r="M199" s="1808"/>
      <c r="N199" s="1806" t="s">
        <v>2200</v>
      </c>
      <c r="O199" s="1807"/>
      <c r="P199" s="1808"/>
      <c r="Q199" s="1809" t="s">
        <v>2201</v>
      </c>
      <c r="R199" s="1809" t="s">
        <v>2202</v>
      </c>
    </row>
    <row r="200" spans="1:18" ht="24.75" thickBot="1">
      <c r="A200" s="1810"/>
      <c r="B200" s="1474" t="s">
        <v>574</v>
      </c>
      <c r="C200" s="1474" t="s">
        <v>1507</v>
      </c>
      <c r="D200" s="1474" t="s">
        <v>614</v>
      </c>
      <c r="E200" s="1474" t="s">
        <v>577</v>
      </c>
      <c r="F200" s="1476"/>
      <c r="G200" s="1476"/>
      <c r="H200" s="1810"/>
      <c r="I200" s="1474" t="s">
        <v>2162</v>
      </c>
      <c r="J200" s="1474" t="s">
        <v>2163</v>
      </c>
      <c r="K200" s="1474" t="s">
        <v>2164</v>
      </c>
      <c r="L200" s="1474" t="s">
        <v>2203</v>
      </c>
      <c r="M200" s="1474" t="s">
        <v>2204</v>
      </c>
      <c r="N200" s="1474" t="s">
        <v>2205</v>
      </c>
      <c r="O200" s="1474" t="s">
        <v>2167</v>
      </c>
      <c r="P200" s="1474" t="s">
        <v>2168</v>
      </c>
      <c r="Q200" s="1810"/>
      <c r="R200" s="1810"/>
    </row>
    <row r="201" spans="1:18">
      <c r="A201" s="1803">
        <v>16</v>
      </c>
      <c r="B201" s="1803">
        <v>160</v>
      </c>
      <c r="C201" s="1484">
        <v>10</v>
      </c>
      <c r="D201" s="1803">
        <v>16</v>
      </c>
      <c r="E201" s="1803">
        <v>5.3</v>
      </c>
      <c r="F201" s="1484">
        <v>31.43</v>
      </c>
      <c r="G201" s="1484">
        <v>24.67</v>
      </c>
      <c r="H201" s="1484">
        <v>10</v>
      </c>
      <c r="I201" s="1484">
        <v>774.24</v>
      </c>
      <c r="J201" s="1484">
        <v>66.19</v>
      </c>
      <c r="K201" s="1484">
        <v>4.96</v>
      </c>
      <c r="L201" s="1484">
        <v>1229.0999999999999</v>
      </c>
      <c r="M201" s="1484">
        <v>6.25</v>
      </c>
      <c r="N201" s="1484">
        <v>319.33</v>
      </c>
      <c r="O201" s="1484">
        <v>52.52</v>
      </c>
      <c r="P201" s="1484">
        <v>3.19</v>
      </c>
      <c r="Q201" s="1484">
        <v>455</v>
      </c>
      <c r="R201" s="1484">
        <v>4.3</v>
      </c>
    </row>
    <row r="202" spans="1:18">
      <c r="A202" s="1804"/>
      <c r="B202" s="1804"/>
      <c r="C202" s="1485">
        <v>11</v>
      </c>
      <c r="D202" s="1804"/>
      <c r="E202" s="1804"/>
      <c r="F202" s="1485">
        <v>34.42</v>
      </c>
      <c r="G202" s="1485">
        <v>27.02</v>
      </c>
      <c r="H202" s="1485">
        <v>11</v>
      </c>
      <c r="I202" s="1485">
        <v>844.21</v>
      </c>
      <c r="J202" s="1485">
        <v>72.44</v>
      </c>
      <c r="K202" s="1485">
        <v>4.95</v>
      </c>
      <c r="L202" s="1485">
        <v>1340.06</v>
      </c>
      <c r="M202" s="1485">
        <v>6.24</v>
      </c>
      <c r="N202" s="1485">
        <v>347.77</v>
      </c>
      <c r="O202" s="1485">
        <v>56.53</v>
      </c>
      <c r="P202" s="1485">
        <v>3.18</v>
      </c>
      <c r="Q202" s="1485">
        <v>496</v>
      </c>
      <c r="R202" s="1485">
        <v>4.3499999999999996</v>
      </c>
    </row>
    <row r="203" spans="1:18">
      <c r="A203" s="1804"/>
      <c r="B203" s="1804"/>
      <c r="C203" s="1485">
        <v>12</v>
      </c>
      <c r="D203" s="1804"/>
      <c r="E203" s="1804"/>
      <c r="F203" s="1485">
        <v>37.39</v>
      </c>
      <c r="G203" s="1485">
        <v>29.35</v>
      </c>
      <c r="H203" s="1485">
        <v>12</v>
      </c>
      <c r="I203" s="1485">
        <v>912.89</v>
      </c>
      <c r="J203" s="1485">
        <v>78.62</v>
      </c>
      <c r="K203" s="1485">
        <v>4.9400000000000004</v>
      </c>
      <c r="L203" s="1485">
        <v>1450</v>
      </c>
      <c r="M203" s="1485">
        <v>6.23</v>
      </c>
      <c r="N203" s="1485">
        <v>375.78</v>
      </c>
      <c r="O203" s="1485">
        <v>60.53</v>
      </c>
      <c r="P203" s="1485">
        <v>3.17</v>
      </c>
      <c r="Q203" s="1485">
        <v>537</v>
      </c>
      <c r="R203" s="1485">
        <v>4.3899999999999997</v>
      </c>
    </row>
    <row r="204" spans="1:18">
      <c r="A204" s="1804"/>
      <c r="B204" s="1804"/>
      <c r="C204" s="1485">
        <v>14</v>
      </c>
      <c r="D204" s="1804"/>
      <c r="E204" s="1804"/>
      <c r="F204" s="1485">
        <v>43.57</v>
      </c>
      <c r="G204" s="1485">
        <v>34.200000000000003</v>
      </c>
      <c r="H204" s="1485">
        <v>14</v>
      </c>
      <c r="I204" s="1485">
        <v>1046.47</v>
      </c>
      <c r="J204" s="1485">
        <v>90.77</v>
      </c>
      <c r="K204" s="1485">
        <v>4.92</v>
      </c>
      <c r="L204" s="1485">
        <v>1662.13</v>
      </c>
      <c r="M204" s="1485">
        <v>6.2</v>
      </c>
      <c r="N204" s="1485">
        <v>430.81</v>
      </c>
      <c r="O204" s="1485">
        <v>68.150000000000006</v>
      </c>
      <c r="P204" s="1485">
        <v>3.16</v>
      </c>
      <c r="Q204" s="1485">
        <v>615</v>
      </c>
      <c r="R204" s="1485">
        <v>4.47</v>
      </c>
    </row>
    <row r="205" spans="1:18">
      <c r="A205" s="1804"/>
      <c r="B205" s="1804"/>
      <c r="C205" s="1485">
        <v>16</v>
      </c>
      <c r="D205" s="1804"/>
      <c r="E205" s="1804"/>
      <c r="F205" s="1485">
        <v>49.07</v>
      </c>
      <c r="G205" s="1485">
        <v>38.520000000000003</v>
      </c>
      <c r="H205" s="1485">
        <v>16</v>
      </c>
      <c r="I205" s="1485">
        <v>1175.19</v>
      </c>
      <c r="J205" s="1485">
        <v>102.64</v>
      </c>
      <c r="K205" s="1485">
        <v>4.8899999999999997</v>
      </c>
      <c r="L205" s="1485">
        <v>1865.73</v>
      </c>
      <c r="M205" s="1485">
        <v>6.17</v>
      </c>
      <c r="N205" s="1485">
        <v>484.64</v>
      </c>
      <c r="O205" s="1485">
        <v>75.92</v>
      </c>
      <c r="P205" s="1485">
        <v>3.14</v>
      </c>
      <c r="Q205" s="1485">
        <v>690</v>
      </c>
      <c r="R205" s="1485">
        <v>4.55</v>
      </c>
    </row>
    <row r="206" spans="1:18">
      <c r="A206" s="1804"/>
      <c r="B206" s="1804"/>
      <c r="C206" s="1485">
        <v>18</v>
      </c>
      <c r="D206" s="1804"/>
      <c r="E206" s="1804"/>
      <c r="F206" s="1485">
        <v>54.79</v>
      </c>
      <c r="G206" s="1485">
        <v>43.01</v>
      </c>
      <c r="H206" s="1485">
        <v>18</v>
      </c>
      <c r="I206" s="1485">
        <v>1290.24</v>
      </c>
      <c r="J206" s="1485">
        <v>114.24</v>
      </c>
      <c r="K206" s="1485">
        <v>4.87</v>
      </c>
      <c r="L206" s="1485">
        <v>2061.0300000000002</v>
      </c>
      <c r="M206" s="1485">
        <v>6.13</v>
      </c>
      <c r="N206" s="1485">
        <v>537.46</v>
      </c>
      <c r="O206" s="1485">
        <v>82.08</v>
      </c>
      <c r="P206" s="1485">
        <v>3.13</v>
      </c>
      <c r="Q206" s="1485">
        <v>770</v>
      </c>
      <c r="R206" s="1485">
        <v>4.63</v>
      </c>
    </row>
    <row r="207" spans="1:18" ht="12.75" thickBot="1">
      <c r="A207" s="1805"/>
      <c r="B207" s="1805"/>
      <c r="C207" s="1486">
        <v>20</v>
      </c>
      <c r="D207" s="1805"/>
      <c r="E207" s="1805"/>
      <c r="F207" s="1486">
        <v>60.4</v>
      </c>
      <c r="G207" s="1486">
        <v>47.41</v>
      </c>
      <c r="H207" s="1486">
        <v>20</v>
      </c>
      <c r="I207" s="1486">
        <v>1418.85</v>
      </c>
      <c r="J207" s="1486">
        <v>125.6</v>
      </c>
      <c r="K207" s="1486">
        <v>4.8499999999999996</v>
      </c>
      <c r="L207" s="1486">
        <v>2248.2600000000002</v>
      </c>
      <c r="M207" s="1486">
        <v>6.1</v>
      </c>
      <c r="N207" s="1486">
        <v>589.42999999999995</v>
      </c>
      <c r="O207" s="1486">
        <v>90.02</v>
      </c>
      <c r="P207" s="1486">
        <v>3.12</v>
      </c>
      <c r="Q207" s="1486">
        <v>830</v>
      </c>
      <c r="R207" s="1486">
        <v>4.7</v>
      </c>
    </row>
    <row r="208" spans="1:18" ht="12" customHeight="1">
      <c r="A208" s="1803">
        <v>18</v>
      </c>
      <c r="B208" s="1803">
        <v>180</v>
      </c>
      <c r="C208" s="1484">
        <v>11</v>
      </c>
      <c r="D208" s="1803">
        <v>16</v>
      </c>
      <c r="E208" s="1803">
        <v>5.3</v>
      </c>
      <c r="F208" s="1484">
        <v>38.799999999999997</v>
      </c>
      <c r="G208" s="1484">
        <v>30.47</v>
      </c>
      <c r="H208" s="1484">
        <v>11</v>
      </c>
      <c r="I208" s="1484">
        <v>1216.44</v>
      </c>
      <c r="J208" s="1484">
        <v>92.47</v>
      </c>
      <c r="K208" s="1484">
        <v>5.6</v>
      </c>
      <c r="L208" s="1484">
        <v>1933.1</v>
      </c>
      <c r="M208" s="1484">
        <v>7.06</v>
      </c>
      <c r="N208" s="1484">
        <v>499.78</v>
      </c>
      <c r="O208" s="1484">
        <v>72.86</v>
      </c>
      <c r="P208" s="1484">
        <v>3.59</v>
      </c>
      <c r="Q208" s="1484">
        <v>716</v>
      </c>
      <c r="R208" s="1484">
        <v>4.8499999999999996</v>
      </c>
    </row>
    <row r="209" spans="1:23" ht="12.75" customHeight="1" thickBot="1">
      <c r="A209" s="1805"/>
      <c r="B209" s="1805"/>
      <c r="C209" s="1486">
        <v>12</v>
      </c>
      <c r="D209" s="1805"/>
      <c r="E209" s="1805"/>
      <c r="F209" s="1486">
        <v>42.19</v>
      </c>
      <c r="G209" s="1486">
        <v>33.119999999999997</v>
      </c>
      <c r="H209" s="1486">
        <v>12</v>
      </c>
      <c r="I209" s="1486">
        <v>1316.62</v>
      </c>
      <c r="J209" s="1486">
        <v>100.41</v>
      </c>
      <c r="K209" s="1486">
        <v>5.59</v>
      </c>
      <c r="L209" s="1486">
        <v>2092.7800000000002</v>
      </c>
      <c r="M209" s="1486">
        <v>7.04</v>
      </c>
      <c r="N209" s="1486">
        <v>540.45000000000005</v>
      </c>
      <c r="O209" s="1486">
        <v>78.150000000000006</v>
      </c>
      <c r="P209" s="1486">
        <v>3.58</v>
      </c>
      <c r="Q209" s="1486">
        <v>776</v>
      </c>
      <c r="R209" s="1486">
        <v>4.8899999999999997</v>
      </c>
    </row>
    <row r="210" spans="1:23" ht="12" customHeight="1">
      <c r="A210" s="1803">
        <v>20</v>
      </c>
      <c r="B210" s="1803">
        <v>200</v>
      </c>
      <c r="C210" s="1484">
        <v>16</v>
      </c>
      <c r="D210" s="1803">
        <v>18</v>
      </c>
      <c r="E210" s="1803">
        <v>6</v>
      </c>
      <c r="F210" s="1484">
        <v>61.98</v>
      </c>
      <c r="G210" s="1484">
        <v>48.65</v>
      </c>
      <c r="H210" s="1484">
        <v>16</v>
      </c>
      <c r="I210" s="1484">
        <v>2362.5700000000002</v>
      </c>
      <c r="J210" s="1484">
        <v>163.37</v>
      </c>
      <c r="K210" s="1484">
        <v>6.17</v>
      </c>
      <c r="L210" s="1484">
        <v>3755.39</v>
      </c>
      <c r="M210" s="1484">
        <v>7.78</v>
      </c>
      <c r="N210" s="1484">
        <v>969.74</v>
      </c>
      <c r="O210" s="1484">
        <v>123.77</v>
      </c>
      <c r="P210" s="1484">
        <v>3.96</v>
      </c>
      <c r="Q210" s="1484">
        <v>1393</v>
      </c>
      <c r="R210" s="1484">
        <v>5.54</v>
      </c>
    </row>
    <row r="211" spans="1:23" ht="12.75">
      <c r="A211" s="1804"/>
      <c r="B211" s="1804"/>
      <c r="C211" s="1485" t="s">
        <v>2206</v>
      </c>
      <c r="D211" s="1804"/>
      <c r="E211" s="1804"/>
      <c r="F211" s="1485">
        <v>69.3</v>
      </c>
      <c r="G211" s="1485">
        <v>54.4</v>
      </c>
      <c r="H211" s="1485" t="s">
        <v>2206</v>
      </c>
      <c r="I211" s="1485">
        <v>2620.64</v>
      </c>
      <c r="J211" s="1485">
        <v>182.22</v>
      </c>
      <c r="K211" s="1485">
        <v>6.15</v>
      </c>
      <c r="L211" s="1485" t="s">
        <v>2207</v>
      </c>
      <c r="M211" s="1485">
        <v>7.75</v>
      </c>
      <c r="N211" s="1485">
        <v>1076.74</v>
      </c>
      <c r="O211" s="1485">
        <v>135.47999999999999</v>
      </c>
      <c r="P211" s="1485">
        <v>3.94</v>
      </c>
      <c r="Q211" s="1485">
        <v>1544</v>
      </c>
      <c r="R211" s="1485">
        <v>5.62</v>
      </c>
    </row>
    <row r="212" spans="1:23" ht="12.75" customHeight="1" thickBot="1">
      <c r="A212" s="1805"/>
      <c r="B212" s="1805"/>
      <c r="C212" s="1486">
        <v>20</v>
      </c>
      <c r="D212" s="1805"/>
      <c r="E212" s="1805"/>
      <c r="F212" s="1486">
        <v>76.540000000000006</v>
      </c>
      <c r="G212" s="1486">
        <v>60.08</v>
      </c>
      <c r="H212" s="1486">
        <v>20</v>
      </c>
      <c r="I212" s="1486">
        <v>2871.47</v>
      </c>
      <c r="J212" s="1486">
        <v>200.37</v>
      </c>
      <c r="K212" s="1486">
        <v>6.12</v>
      </c>
      <c r="L212" s="1486">
        <v>4860.42</v>
      </c>
      <c r="M212" s="1486">
        <v>7.72</v>
      </c>
      <c r="N212" s="1486">
        <v>1181.92</v>
      </c>
      <c r="O212" s="1486">
        <v>146.62</v>
      </c>
      <c r="P212" s="1486">
        <v>3.93</v>
      </c>
      <c r="Q212" s="1486">
        <v>1689</v>
      </c>
      <c r="R212" s="1486">
        <v>5.7</v>
      </c>
    </row>
    <row r="213" spans="1:23">
      <c r="A213" s="1470"/>
    </row>
    <row r="214" spans="1:23">
      <c r="A214" s="1470"/>
    </row>
    <row r="215" spans="1:23" ht="14.25">
      <c r="A215" s="1469" t="s">
        <v>2208</v>
      </c>
    </row>
    <row r="216" spans="1:23" ht="12.75" thickBot="1">
      <c r="A216" s="1470"/>
    </row>
    <row r="217" spans="1:23" ht="12.75" thickBot="1">
      <c r="A217" s="1800" t="s">
        <v>2004</v>
      </c>
      <c r="B217" s="1801"/>
      <c r="C217" s="1801"/>
      <c r="D217" s="1801"/>
      <c r="E217" s="1801"/>
      <c r="F217" s="1801"/>
      <c r="G217" s="1801"/>
      <c r="H217" s="1801"/>
      <c r="I217" s="1802"/>
    </row>
    <row r="218" spans="1:23" ht="12.75" thickBot="1">
      <c r="A218" s="1809" t="s">
        <v>2195</v>
      </c>
      <c r="B218" s="1806" t="s">
        <v>2157</v>
      </c>
      <c r="C218" s="1807"/>
      <c r="D218" s="1807"/>
      <c r="E218" s="1807"/>
      <c r="F218" s="1808"/>
      <c r="G218" s="1473" t="s">
        <v>2209</v>
      </c>
      <c r="H218" s="1809" t="s">
        <v>2008</v>
      </c>
      <c r="I218" s="1809" t="s">
        <v>2210</v>
      </c>
      <c r="J218" s="1809" t="s">
        <v>2195</v>
      </c>
      <c r="K218" s="1809" t="s">
        <v>2197</v>
      </c>
      <c r="L218" s="1806" t="s">
        <v>2198</v>
      </c>
      <c r="M218" s="1807"/>
      <c r="N218" s="1808"/>
      <c r="O218" s="1806" t="s">
        <v>2211</v>
      </c>
      <c r="P218" s="1807"/>
      <c r="Q218" s="1808"/>
      <c r="R218" s="1806" t="s">
        <v>2212</v>
      </c>
      <c r="S218" s="1807"/>
      <c r="T218" s="1808"/>
      <c r="U218" s="1809" t="s">
        <v>2213</v>
      </c>
      <c r="V218" s="1809" t="s">
        <v>2202</v>
      </c>
      <c r="W218" s="1809" t="s">
        <v>2201</v>
      </c>
    </row>
    <row r="219" spans="1:23" ht="44.25" thickBot="1">
      <c r="A219" s="1810"/>
      <c r="B219" s="1474" t="s">
        <v>1746</v>
      </c>
      <c r="C219" s="1474" t="s">
        <v>574</v>
      </c>
      <c r="D219" s="1474" t="s">
        <v>1507</v>
      </c>
      <c r="E219" s="1474" t="s">
        <v>614</v>
      </c>
      <c r="F219" s="1474" t="s">
        <v>577</v>
      </c>
      <c r="G219" s="1475" t="s">
        <v>2214</v>
      </c>
      <c r="H219" s="1810"/>
      <c r="I219" s="1810"/>
      <c r="J219" s="1810"/>
      <c r="K219" s="1810"/>
      <c r="L219" s="1474" t="s">
        <v>2162</v>
      </c>
      <c r="M219" s="1474" t="s">
        <v>2163</v>
      </c>
      <c r="N219" s="1474" t="s">
        <v>2164</v>
      </c>
      <c r="O219" s="1474" t="s">
        <v>2166</v>
      </c>
      <c r="P219" s="1474" t="s">
        <v>2167</v>
      </c>
      <c r="Q219" s="1474" t="s">
        <v>2168</v>
      </c>
      <c r="R219" s="1474" t="s">
        <v>2215</v>
      </c>
      <c r="S219" s="1474" t="s">
        <v>2216</v>
      </c>
      <c r="T219" s="1474" t="s">
        <v>2217</v>
      </c>
      <c r="U219" s="1810"/>
      <c r="V219" s="1810"/>
      <c r="W219" s="1810"/>
    </row>
    <row r="220" spans="1:23" ht="12.75" thickBot="1">
      <c r="A220" s="1487">
        <v>38275</v>
      </c>
      <c r="B220" s="1488">
        <v>160</v>
      </c>
      <c r="C220" s="1488">
        <v>100</v>
      </c>
      <c r="D220" s="1488">
        <v>10</v>
      </c>
      <c r="E220" s="1488">
        <v>13</v>
      </c>
      <c r="F220" s="1488">
        <v>4.3</v>
      </c>
      <c r="G220" s="1488">
        <v>25.28</v>
      </c>
      <c r="H220" s="1488">
        <v>19.850000000000001</v>
      </c>
      <c r="I220" s="1488">
        <v>0.39</v>
      </c>
      <c r="J220" s="1487">
        <v>38275</v>
      </c>
      <c r="K220" s="1488">
        <v>10</v>
      </c>
      <c r="L220" s="1488">
        <v>666.59</v>
      </c>
      <c r="M220" s="1488">
        <v>61.91</v>
      </c>
      <c r="N220" s="1488">
        <v>5.13</v>
      </c>
      <c r="O220" s="1488">
        <v>204.09</v>
      </c>
      <c r="P220" s="1488">
        <v>26.42</v>
      </c>
      <c r="Q220" s="1488">
        <v>2.84</v>
      </c>
      <c r="R220" s="1488">
        <v>121.16</v>
      </c>
      <c r="S220" s="1488">
        <v>22.02</v>
      </c>
      <c r="T220" s="1488">
        <v>2.19</v>
      </c>
      <c r="U220" s="1488">
        <v>2.2799999999999998</v>
      </c>
      <c r="V220" s="1488">
        <v>5.23</v>
      </c>
      <c r="W220" s="1488">
        <v>213</v>
      </c>
    </row>
    <row r="221" spans="1:23">
      <c r="A221" s="1803" t="s">
        <v>2218</v>
      </c>
      <c r="B221" s="1803">
        <v>200</v>
      </c>
      <c r="C221" s="1803">
        <v>125</v>
      </c>
      <c r="D221" s="1484">
        <v>11</v>
      </c>
      <c r="E221" s="1803">
        <v>14</v>
      </c>
      <c r="F221" s="1803">
        <v>4.7</v>
      </c>
      <c r="G221" s="1484">
        <v>34.869999999999997</v>
      </c>
      <c r="H221" s="1484">
        <v>27.37</v>
      </c>
      <c r="I221" s="1484">
        <v>0.39200000000000002</v>
      </c>
      <c r="J221" s="1803" t="s">
        <v>2218</v>
      </c>
      <c r="K221" s="1484">
        <v>11</v>
      </c>
      <c r="L221" s="1484">
        <v>1449.02</v>
      </c>
      <c r="M221" s="1484">
        <v>107.31</v>
      </c>
      <c r="N221" s="1484">
        <v>6.45</v>
      </c>
      <c r="O221" s="1484">
        <v>446.36</v>
      </c>
      <c r="P221" s="1484">
        <v>45.98</v>
      </c>
      <c r="Q221" s="1484">
        <v>3.58</v>
      </c>
      <c r="R221" s="1484">
        <v>263.83999999999997</v>
      </c>
      <c r="S221" s="1484">
        <v>38.270000000000003</v>
      </c>
      <c r="T221" s="1484">
        <v>2.75</v>
      </c>
      <c r="U221" s="1484">
        <v>2.79</v>
      </c>
      <c r="V221" s="1484">
        <v>6.5</v>
      </c>
      <c r="W221" s="1484">
        <v>465</v>
      </c>
    </row>
    <row r="222" spans="1:23">
      <c r="A222" s="1804"/>
      <c r="B222" s="1804"/>
      <c r="C222" s="1804"/>
      <c r="D222" s="1485">
        <v>12</v>
      </c>
      <c r="E222" s="1804"/>
      <c r="F222" s="1804"/>
      <c r="G222" s="1485">
        <v>37.89</v>
      </c>
      <c r="H222" s="1485">
        <v>29.74</v>
      </c>
      <c r="I222" s="1485">
        <v>0.39200000000000002</v>
      </c>
      <c r="J222" s="1804"/>
      <c r="K222" s="1485">
        <v>12</v>
      </c>
      <c r="L222" s="1485">
        <v>1568.19</v>
      </c>
      <c r="M222" s="1485">
        <v>116.51</v>
      </c>
      <c r="N222" s="1485">
        <v>6.43</v>
      </c>
      <c r="O222" s="1485">
        <v>481.93</v>
      </c>
      <c r="P222" s="1485">
        <v>49.85</v>
      </c>
      <c r="Q222" s="1485">
        <v>3.57</v>
      </c>
      <c r="R222" s="1485">
        <v>285.04000000000002</v>
      </c>
      <c r="S222" s="1485">
        <v>41.45</v>
      </c>
      <c r="T222" s="1485">
        <v>2.74</v>
      </c>
      <c r="U222" s="1485">
        <v>2.83</v>
      </c>
      <c r="V222" s="1485">
        <v>6.54</v>
      </c>
      <c r="W222" s="1485">
        <v>503</v>
      </c>
    </row>
    <row r="223" spans="1:23">
      <c r="A223" s="1804"/>
      <c r="B223" s="1804"/>
      <c r="C223" s="1804"/>
      <c r="D223" s="1485">
        <v>14</v>
      </c>
      <c r="E223" s="1804"/>
      <c r="F223" s="1804"/>
      <c r="G223" s="1485">
        <v>43.87</v>
      </c>
      <c r="H223" s="1485">
        <v>34.43</v>
      </c>
      <c r="I223" s="1485">
        <v>0.39200000000000002</v>
      </c>
      <c r="J223" s="1804"/>
      <c r="K223" s="1485">
        <v>14</v>
      </c>
      <c r="L223" s="1485">
        <v>1800.83</v>
      </c>
      <c r="M223" s="1485">
        <v>134.63999999999999</v>
      </c>
      <c r="N223" s="1485">
        <v>6.41</v>
      </c>
      <c r="O223" s="1485">
        <v>550.77</v>
      </c>
      <c r="P223" s="1485">
        <v>57.43</v>
      </c>
      <c r="Q223" s="1485">
        <v>3.54</v>
      </c>
      <c r="R223" s="1485">
        <v>326.54000000000002</v>
      </c>
      <c r="S223" s="1485">
        <v>47.57</v>
      </c>
      <c r="T223" s="1485">
        <v>2.73</v>
      </c>
      <c r="U223" s="1485">
        <v>2.91</v>
      </c>
      <c r="V223" s="1485">
        <v>6.62</v>
      </c>
      <c r="W223" s="1485">
        <v>575</v>
      </c>
    </row>
    <row r="224" spans="1:23" ht="12.75" thickBot="1">
      <c r="A224" s="1805"/>
      <c r="B224" s="1805"/>
      <c r="C224" s="1805"/>
      <c r="D224" s="1486">
        <v>16</v>
      </c>
      <c r="E224" s="1805"/>
      <c r="F224" s="1805"/>
      <c r="G224" s="1486">
        <v>49.77</v>
      </c>
      <c r="H224" s="1486">
        <v>39.07</v>
      </c>
      <c r="I224" s="1486">
        <v>0.38800000000000001</v>
      </c>
      <c r="J224" s="1805"/>
      <c r="K224" s="1486">
        <v>16</v>
      </c>
      <c r="L224" s="1486">
        <v>2026.08</v>
      </c>
      <c r="M224" s="1486">
        <v>152.41</v>
      </c>
      <c r="N224" s="1486">
        <v>6.38</v>
      </c>
      <c r="O224" s="1486">
        <v>616.66</v>
      </c>
      <c r="P224" s="1486">
        <v>64.83</v>
      </c>
      <c r="Q224" s="1486">
        <v>366.99</v>
      </c>
      <c r="R224" s="1486">
        <v>366.99</v>
      </c>
      <c r="S224" s="1486">
        <v>53.56</v>
      </c>
      <c r="T224" s="1486">
        <v>2.72</v>
      </c>
      <c r="U224" s="1486">
        <v>2.99</v>
      </c>
      <c r="V224" s="1486">
        <v>6.71</v>
      </c>
      <c r="W224" s="1486">
        <v>643</v>
      </c>
    </row>
    <row r="225" spans="1:27">
      <c r="A225" s="1470"/>
    </row>
    <row r="226" spans="1:27" ht="14.25">
      <c r="A226" s="1469" t="s">
        <v>2219</v>
      </c>
    </row>
    <row r="227" spans="1:27" ht="12.75" thickBot="1">
      <c r="A227" s="1470"/>
    </row>
    <row r="228" spans="1:27" ht="46.5" customHeight="1" thickBot="1">
      <c r="A228" s="1800" t="s">
        <v>2180</v>
      </c>
      <c r="B228" s="1801"/>
      <c r="C228" s="1801"/>
      <c r="D228" s="1802"/>
    </row>
    <row r="229" spans="1:27" ht="64.5" thickBot="1">
      <c r="A229" s="1474" t="s">
        <v>2220</v>
      </c>
      <c r="B229" s="1474" t="s">
        <v>2181</v>
      </c>
      <c r="C229" s="1474" t="s">
        <v>2182</v>
      </c>
      <c r="D229" s="1474" t="s">
        <v>2183</v>
      </c>
      <c r="E229" s="1806" t="s">
        <v>2221</v>
      </c>
      <c r="F229" s="1807"/>
      <c r="G229" s="1807"/>
      <c r="H229" s="1807"/>
      <c r="I229" s="1807"/>
      <c r="J229" s="1807"/>
      <c r="K229" s="1807"/>
      <c r="L229" s="1807"/>
      <c r="M229" s="1807"/>
      <c r="N229" s="1807"/>
      <c r="O229" s="1807"/>
      <c r="P229" s="1808"/>
      <c r="Q229" s="1806" t="s">
        <v>2221</v>
      </c>
      <c r="R229" s="1807"/>
      <c r="S229" s="1807"/>
      <c r="T229" s="1808"/>
      <c r="U229" s="1809" t="s">
        <v>2196</v>
      </c>
      <c r="V229" s="1809" t="s">
        <v>2008</v>
      </c>
      <c r="W229" s="1806" t="s">
        <v>2198</v>
      </c>
      <c r="X229" s="1807"/>
      <c r="Y229" s="1808"/>
      <c r="Z229" s="1806" t="s">
        <v>2211</v>
      </c>
      <c r="AA229" s="1808"/>
    </row>
    <row r="230" spans="1:27" ht="12.75" customHeight="1" thickBot="1">
      <c r="A230" s="1478" t="s">
        <v>2222</v>
      </c>
      <c r="B230" s="1478" t="s">
        <v>2223</v>
      </c>
      <c r="C230" s="1480" t="s">
        <v>2185</v>
      </c>
      <c r="D230" s="1480" t="s">
        <v>2224</v>
      </c>
      <c r="E230" s="1474" t="s">
        <v>573</v>
      </c>
      <c r="F230" s="1474" t="s">
        <v>2225</v>
      </c>
      <c r="G230" s="1474" t="s">
        <v>2226</v>
      </c>
      <c r="H230" s="1474" t="s">
        <v>574</v>
      </c>
      <c r="I230" s="1474" t="s">
        <v>2227</v>
      </c>
      <c r="J230" s="1474" t="s">
        <v>2228</v>
      </c>
      <c r="K230" s="1474" t="s">
        <v>2229</v>
      </c>
      <c r="L230" s="1474" t="s">
        <v>2230</v>
      </c>
      <c r="M230" s="1474" t="s">
        <v>2231</v>
      </c>
      <c r="N230" s="1474" t="s">
        <v>580</v>
      </c>
      <c r="O230" s="1474" t="s">
        <v>2232</v>
      </c>
      <c r="P230" s="1474" t="s">
        <v>2233</v>
      </c>
      <c r="Q230" s="1474" t="s">
        <v>2234</v>
      </c>
      <c r="R230" s="1474" t="s">
        <v>2235</v>
      </c>
      <c r="S230" s="1474" t="s">
        <v>2236</v>
      </c>
      <c r="T230" s="1474" t="s">
        <v>2237</v>
      </c>
      <c r="U230" s="1810"/>
      <c r="V230" s="1810"/>
      <c r="W230" s="1474" t="s">
        <v>2162</v>
      </c>
      <c r="X230" s="1474" t="s">
        <v>2163</v>
      </c>
      <c r="Y230" s="1474" t="s">
        <v>2238</v>
      </c>
      <c r="Z230" s="1474" t="s">
        <v>2166</v>
      </c>
      <c r="AA230" s="1474" t="s">
        <v>2167</v>
      </c>
    </row>
    <row r="231" spans="1:27" ht="12.75" thickBot="1">
      <c r="A231" s="1478" t="s">
        <v>2239</v>
      </c>
      <c r="B231" s="1478" t="s">
        <v>2223</v>
      </c>
      <c r="C231" s="1482"/>
      <c r="D231" s="1482"/>
      <c r="E231" s="1478">
        <v>110</v>
      </c>
      <c r="F231" s="1478">
        <v>44</v>
      </c>
      <c r="G231" s="1478">
        <v>25.5</v>
      </c>
      <c r="H231" s="1478">
        <v>145.5</v>
      </c>
      <c r="I231" s="1478">
        <v>60</v>
      </c>
      <c r="J231" s="1478">
        <v>51.5</v>
      </c>
      <c r="K231" s="1478">
        <v>71</v>
      </c>
      <c r="L231" s="1478">
        <v>83.5</v>
      </c>
      <c r="M231" s="1478">
        <v>99.5</v>
      </c>
      <c r="N231" s="1478">
        <v>11</v>
      </c>
      <c r="O231" s="1478">
        <v>6.2</v>
      </c>
      <c r="P231" s="1478">
        <v>22.5</v>
      </c>
      <c r="Q231" s="1478">
        <v>6</v>
      </c>
      <c r="R231" s="1478">
        <v>8</v>
      </c>
      <c r="S231" s="1478">
        <v>5</v>
      </c>
      <c r="T231" s="1478">
        <v>6</v>
      </c>
      <c r="U231" s="1478">
        <v>27.91</v>
      </c>
      <c r="V231" s="1478">
        <v>21.9</v>
      </c>
      <c r="W231" s="1478">
        <v>428</v>
      </c>
      <c r="X231" s="1478">
        <v>74.8</v>
      </c>
      <c r="Y231" s="1478">
        <v>99</v>
      </c>
      <c r="Z231" s="1478">
        <v>566.29999999999995</v>
      </c>
      <c r="AA231" s="1478">
        <v>77.8</v>
      </c>
    </row>
    <row r="232" spans="1:27" ht="12.75" thickBot="1">
      <c r="A232" s="1470"/>
      <c r="E232" s="1478">
        <v>123</v>
      </c>
      <c r="F232" s="1478">
        <v>47</v>
      </c>
      <c r="G232" s="1478">
        <v>29</v>
      </c>
      <c r="H232" s="1478">
        <v>149.5</v>
      </c>
      <c r="I232" s="1478">
        <v>59.5</v>
      </c>
      <c r="J232" s="1478">
        <v>50.6</v>
      </c>
      <c r="K232" s="1478">
        <v>69.5</v>
      </c>
      <c r="L232" s="1478">
        <v>83.5</v>
      </c>
      <c r="M232" s="1478">
        <v>99.5</v>
      </c>
      <c r="N232" s="1478">
        <v>13</v>
      </c>
      <c r="O232" s="1478">
        <v>7.1</v>
      </c>
      <c r="P232" s="1478">
        <v>24.5</v>
      </c>
      <c r="Q232" s="1478">
        <v>6</v>
      </c>
      <c r="R232" s="1478">
        <v>10</v>
      </c>
      <c r="S232" s="1478">
        <v>5</v>
      </c>
      <c r="T232" s="1478">
        <v>6</v>
      </c>
      <c r="U232" s="1478">
        <v>34.369999999999997</v>
      </c>
      <c r="V232" s="1478">
        <v>27</v>
      </c>
      <c r="W232" s="1478">
        <v>646.1</v>
      </c>
      <c r="X232" s="1478">
        <v>100.2</v>
      </c>
      <c r="Y232" s="1478">
        <v>137</v>
      </c>
      <c r="Z232" s="1478">
        <v>731.5</v>
      </c>
      <c r="AA232" s="1478">
        <v>97.8</v>
      </c>
    </row>
    <row r="233" spans="1:27">
      <c r="A233" s="1470"/>
    </row>
    <row r="234" spans="1:27" ht="14.25">
      <c r="A234" s="1469" t="s">
        <v>2240</v>
      </c>
    </row>
    <row r="235" spans="1:27" ht="12.75" thickBot="1">
      <c r="A235" s="1470"/>
    </row>
    <row r="236" spans="1:27" ht="12.75" thickBot="1">
      <c r="A236" s="1800" t="s">
        <v>2241</v>
      </c>
      <c r="B236" s="1801"/>
      <c r="C236" s="1802"/>
    </row>
    <row r="237" spans="1:27" ht="54.75" thickBot="1">
      <c r="A237" s="1474" t="s">
        <v>2242</v>
      </c>
      <c r="B237" s="1474" t="s">
        <v>2243</v>
      </c>
      <c r="C237" s="1474" t="s">
        <v>2244</v>
      </c>
    </row>
    <row r="238" spans="1:27" ht="12.75" thickBot="1">
      <c r="A238" s="1478">
        <v>145.07</v>
      </c>
      <c r="B238" s="1478">
        <v>113.88</v>
      </c>
      <c r="C238" s="1478">
        <v>188.4</v>
      </c>
    </row>
    <row r="239" spans="1:27" ht="12.75" thickBot="1">
      <c r="A239" s="1470"/>
    </row>
    <row r="240" spans="1:27" ht="12.75" thickBot="1">
      <c r="A240" s="1800" t="s">
        <v>2245</v>
      </c>
      <c r="B240" s="1801"/>
      <c r="C240" s="1801"/>
      <c r="D240" s="1801"/>
      <c r="E240" s="1801"/>
      <c r="F240" s="1801"/>
      <c r="G240" s="1802"/>
      <c r="H240" s="1800" t="s">
        <v>2246</v>
      </c>
      <c r="I240" s="1801"/>
      <c r="J240" s="1801"/>
      <c r="K240" s="1801"/>
      <c r="L240" s="1801"/>
      <c r="M240" s="1801"/>
      <c r="N240" s="1802"/>
    </row>
    <row r="241" spans="1:13" ht="18.75" customHeight="1" thickBot="1">
      <c r="A241" s="1809" t="s">
        <v>2181</v>
      </c>
      <c r="B241" s="1806" t="s">
        <v>2247</v>
      </c>
      <c r="C241" s="1807"/>
      <c r="D241" s="1807"/>
      <c r="E241" s="1807"/>
      <c r="F241" s="1808"/>
      <c r="G241" s="1809" t="s">
        <v>2248</v>
      </c>
    </row>
    <row r="242" spans="1:13" ht="54.75" thickBot="1">
      <c r="A242" s="1810"/>
      <c r="B242" s="1474" t="s">
        <v>2249</v>
      </c>
      <c r="C242" s="1474" t="s">
        <v>2250</v>
      </c>
      <c r="D242" s="1474" t="s">
        <v>2251</v>
      </c>
      <c r="E242" s="1474" t="s">
        <v>598</v>
      </c>
      <c r="F242" s="1474" t="s">
        <v>183</v>
      </c>
      <c r="G242" s="1810"/>
      <c r="H242" s="1474" t="s">
        <v>2252</v>
      </c>
      <c r="I242" s="1474" t="s">
        <v>2253</v>
      </c>
      <c r="J242" s="1474" t="s">
        <v>2254</v>
      </c>
      <c r="K242" s="1474" t="s">
        <v>2255</v>
      </c>
      <c r="L242" s="1474" t="s">
        <v>2256</v>
      </c>
      <c r="M242" s="1474" t="s">
        <v>2248</v>
      </c>
    </row>
    <row r="243" spans="1:13" ht="12.75" thickBot="1">
      <c r="A243" s="1478">
        <v>235</v>
      </c>
      <c r="B243" s="1478" t="s">
        <v>616</v>
      </c>
      <c r="C243" s="1478" t="s">
        <v>616</v>
      </c>
      <c r="D243" s="1478" t="s">
        <v>616</v>
      </c>
      <c r="E243" s="1478" t="s">
        <v>2257</v>
      </c>
      <c r="F243" s="1478" t="s">
        <v>2257</v>
      </c>
      <c r="G243" s="1478"/>
      <c r="H243" s="1488">
        <v>235</v>
      </c>
      <c r="I243" s="1488">
        <v>370</v>
      </c>
      <c r="J243" s="1488">
        <v>25</v>
      </c>
      <c r="K243" s="1488" t="s">
        <v>616</v>
      </c>
      <c r="L243" s="1488" t="s">
        <v>616</v>
      </c>
      <c r="M243" s="1488"/>
    </row>
    <row r="244" spans="1:13">
      <c r="A244" s="1484" t="s">
        <v>2258</v>
      </c>
      <c r="B244" s="1803" t="s">
        <v>2259</v>
      </c>
      <c r="C244" s="1803" t="s">
        <v>2260</v>
      </c>
      <c r="D244" s="1803" t="s">
        <v>2261</v>
      </c>
      <c r="E244" s="1803">
        <v>0.05</v>
      </c>
      <c r="F244" s="1803" t="s">
        <v>2262</v>
      </c>
      <c r="G244" s="1803"/>
      <c r="H244" s="1484">
        <v>235</v>
      </c>
      <c r="I244" s="1484">
        <v>370</v>
      </c>
      <c r="J244" s="1484">
        <v>25</v>
      </c>
      <c r="K244" s="1484" t="s">
        <v>2263</v>
      </c>
      <c r="L244" s="1484">
        <v>29</v>
      </c>
      <c r="M244" s="1803"/>
    </row>
    <row r="245" spans="1:13" ht="12.75" thickBot="1">
      <c r="A245" s="1486" t="s">
        <v>2264</v>
      </c>
      <c r="B245" s="1805"/>
      <c r="C245" s="1805"/>
      <c r="D245" s="1805"/>
      <c r="E245" s="1805"/>
      <c r="F245" s="1805"/>
      <c r="G245" s="1805"/>
      <c r="H245" s="1486">
        <v>285</v>
      </c>
      <c r="I245" s="1486">
        <v>400</v>
      </c>
      <c r="J245" s="1486">
        <v>24</v>
      </c>
      <c r="K245" s="1486" t="s">
        <v>616</v>
      </c>
      <c r="L245" s="1486" t="s">
        <v>616</v>
      </c>
      <c r="M245" s="1805"/>
    </row>
    <row r="246" spans="1:13">
      <c r="A246" s="1484">
        <v>240</v>
      </c>
      <c r="B246" s="1484" t="s">
        <v>2265</v>
      </c>
      <c r="C246" s="1484" t="s">
        <v>616</v>
      </c>
      <c r="D246" s="1484" t="s">
        <v>616</v>
      </c>
      <c r="E246" s="1484">
        <v>4.4999999999999998E-2</v>
      </c>
      <c r="F246" s="1484">
        <v>4.4999999999999998E-2</v>
      </c>
      <c r="G246" s="1484" t="s">
        <v>2266</v>
      </c>
      <c r="H246" s="1484">
        <v>240</v>
      </c>
      <c r="I246" s="1484">
        <v>340</v>
      </c>
      <c r="J246" s="1484">
        <v>26</v>
      </c>
      <c r="K246" s="1484" t="s">
        <v>616</v>
      </c>
      <c r="L246" s="1484" t="s">
        <v>616</v>
      </c>
      <c r="M246" s="1484" t="s">
        <v>2266</v>
      </c>
    </row>
    <row r="247" spans="1:13">
      <c r="A247" s="1485">
        <v>270</v>
      </c>
      <c r="B247" s="1485" t="s">
        <v>2267</v>
      </c>
      <c r="C247" s="1485" t="s">
        <v>616</v>
      </c>
      <c r="D247" s="1485" t="s">
        <v>616</v>
      </c>
      <c r="E247" s="1485">
        <v>4.4999999999999998E-2</v>
      </c>
      <c r="F247" s="1485">
        <v>4.4999999999999998E-2</v>
      </c>
      <c r="G247" s="1485" t="s">
        <v>2268</v>
      </c>
      <c r="H247" s="1485">
        <v>270</v>
      </c>
      <c r="I247" s="1485">
        <v>410</v>
      </c>
      <c r="J247" s="1485">
        <v>24</v>
      </c>
      <c r="K247" s="1485" t="s">
        <v>616</v>
      </c>
      <c r="L247" s="1485" t="s">
        <v>616</v>
      </c>
      <c r="M247" s="1485" t="s">
        <v>2268</v>
      </c>
    </row>
    <row r="248" spans="1:13" ht="12.75" thickBot="1">
      <c r="A248" s="1486">
        <v>320</v>
      </c>
      <c r="B248" s="1486" t="s">
        <v>2267</v>
      </c>
      <c r="C248" s="1486" t="s">
        <v>2269</v>
      </c>
      <c r="D248" s="1486" t="s">
        <v>2270</v>
      </c>
      <c r="E248" s="1486">
        <v>4.4999999999999998E-2</v>
      </c>
      <c r="F248" s="1486">
        <v>4.4999999999999998E-2</v>
      </c>
      <c r="G248" s="1486" t="s">
        <v>2271</v>
      </c>
      <c r="H248" s="1486">
        <v>320</v>
      </c>
      <c r="I248" s="1486">
        <v>440</v>
      </c>
      <c r="J248" s="1486">
        <v>23</v>
      </c>
      <c r="K248" s="1486" t="s">
        <v>616</v>
      </c>
      <c r="L248" s="1486" t="s">
        <v>616</v>
      </c>
      <c r="M248" s="1486" t="s">
        <v>2271</v>
      </c>
    </row>
    <row r="249" spans="1:13">
      <c r="A249" s="1470"/>
    </row>
    <row r="250" spans="1:13">
      <c r="A250" s="1470"/>
    </row>
    <row r="253" spans="1:13">
      <c r="A253" s="1470"/>
    </row>
    <row r="254" spans="1:13" ht="14.25">
      <c r="A254" s="1469" t="s">
        <v>2272</v>
      </c>
    </row>
    <row r="255" spans="1:13" ht="12.75" thickBot="1">
      <c r="A255" s="1470"/>
    </row>
    <row r="256" spans="1:13" ht="12.75" thickBot="1">
      <c r="A256" s="1800" t="s">
        <v>2273</v>
      </c>
      <c r="B256" s="1801"/>
      <c r="C256" s="1801"/>
      <c r="D256" s="1801"/>
      <c r="E256" s="1801"/>
      <c r="F256" s="1802"/>
    </row>
    <row r="257" spans="1:6" ht="64.5" thickBot="1">
      <c r="A257" s="1474" t="s">
        <v>2274</v>
      </c>
      <c r="B257" s="1474" t="s">
        <v>2275</v>
      </c>
      <c r="C257" s="1474" t="s">
        <v>2276</v>
      </c>
      <c r="D257" s="1474" t="s">
        <v>2008</v>
      </c>
      <c r="E257" s="1474" t="s">
        <v>2181</v>
      </c>
      <c r="F257" s="1474" t="s">
        <v>2277</v>
      </c>
    </row>
    <row r="258" spans="1:6" ht="22.5">
      <c r="A258" s="1803">
        <v>230</v>
      </c>
      <c r="B258" s="1803" t="s">
        <v>2278</v>
      </c>
      <c r="C258" s="1803">
        <v>86.5</v>
      </c>
      <c r="D258" s="1803">
        <v>67.900000000000006</v>
      </c>
      <c r="E258" s="1484" t="s">
        <v>2279</v>
      </c>
      <c r="F258" s="1484" t="s">
        <v>2280</v>
      </c>
    </row>
    <row r="259" spans="1:6" ht="22.5">
      <c r="A259" s="1804"/>
      <c r="B259" s="1804"/>
      <c r="C259" s="1804"/>
      <c r="D259" s="1804"/>
      <c r="E259" s="1485" t="s">
        <v>2281</v>
      </c>
      <c r="F259" s="1485" t="s">
        <v>2282</v>
      </c>
    </row>
    <row r="260" spans="1:6" ht="12.75" thickBot="1">
      <c r="A260" s="1805"/>
      <c r="B260" s="1805"/>
      <c r="C260" s="1805"/>
      <c r="D260" s="1805"/>
      <c r="E260" s="1489"/>
      <c r="F260" s="1486" t="s">
        <v>2283</v>
      </c>
    </row>
    <row r="261" spans="1:6">
      <c r="A261" s="1470"/>
    </row>
    <row r="264" spans="1:6">
      <c r="A264" s="1470"/>
    </row>
    <row r="265" spans="1:6" ht="14.25">
      <c r="A265" s="1469" t="s">
        <v>2284</v>
      </c>
    </row>
    <row r="266" spans="1:6" ht="12.75" thickBot="1">
      <c r="A266" s="1470"/>
    </row>
    <row r="267" spans="1:6" ht="12.75" thickBot="1">
      <c r="A267" s="1800" t="s">
        <v>2004</v>
      </c>
      <c r="B267" s="1801"/>
      <c r="C267" s="1801"/>
      <c r="D267" s="1801"/>
      <c r="E267" s="1802"/>
    </row>
    <row r="268" spans="1:6" ht="64.5" thickBot="1">
      <c r="A268" s="1474" t="s">
        <v>2274</v>
      </c>
      <c r="B268" s="1474" t="s">
        <v>2285</v>
      </c>
      <c r="C268" s="1474" t="s">
        <v>2276</v>
      </c>
      <c r="D268" s="1474" t="s">
        <v>2008</v>
      </c>
      <c r="E268" s="1474" t="s">
        <v>2277</v>
      </c>
    </row>
    <row r="269" spans="1:6" ht="23.25">
      <c r="A269" s="1480">
        <v>1</v>
      </c>
      <c r="B269" s="1797" t="s">
        <v>2286</v>
      </c>
      <c r="C269" s="1480">
        <v>45.73</v>
      </c>
      <c r="D269" s="1480">
        <v>35.9</v>
      </c>
      <c r="E269" s="1480" t="s">
        <v>2287</v>
      </c>
    </row>
    <row r="270" spans="1:6">
      <c r="A270" s="1481">
        <v>3</v>
      </c>
      <c r="B270" s="1799"/>
      <c r="C270" s="1481">
        <v>38.31</v>
      </c>
      <c r="D270" s="1481">
        <v>30.08</v>
      </c>
      <c r="E270" s="1481" t="s">
        <v>2283</v>
      </c>
    </row>
    <row r="271" spans="1:6" ht="12.75" thickBot="1">
      <c r="A271" s="1482">
        <v>4</v>
      </c>
      <c r="B271" s="1798"/>
      <c r="C271" s="1482">
        <v>55.59</v>
      </c>
      <c r="D271" s="1482">
        <v>43.64</v>
      </c>
      <c r="E271" s="1490"/>
    </row>
    <row r="272" spans="1:6" ht="35.25" thickBot="1">
      <c r="A272" s="1478" t="s">
        <v>2288</v>
      </c>
      <c r="B272" s="1478" t="s">
        <v>2289</v>
      </c>
      <c r="C272" s="1478">
        <v>59.24</v>
      </c>
      <c r="D272" s="1478">
        <v>46.5</v>
      </c>
      <c r="E272" s="1478"/>
    </row>
    <row r="273" spans="1:4" ht="12.75" thickBot="1">
      <c r="A273" s="1470"/>
    </row>
    <row r="274" spans="1:4" ht="12.75" thickBot="1">
      <c r="A274" s="1800" t="s">
        <v>2180</v>
      </c>
      <c r="B274" s="1801"/>
      <c r="C274" s="1801"/>
      <c r="D274" s="1802"/>
    </row>
    <row r="275" spans="1:4" ht="64.5" thickBot="1">
      <c r="A275" s="1474" t="s">
        <v>2274</v>
      </c>
      <c r="B275" s="1474" t="s">
        <v>2181</v>
      </c>
      <c r="C275" s="1474" t="s">
        <v>2182</v>
      </c>
      <c r="D275" s="1474" t="s">
        <v>2285</v>
      </c>
    </row>
    <row r="276" spans="1:4">
      <c r="A276" s="1480">
        <v>1</v>
      </c>
      <c r="B276" s="1797" t="s">
        <v>2290</v>
      </c>
      <c r="C276" s="1797" t="s">
        <v>2291</v>
      </c>
      <c r="D276" s="1797" t="s">
        <v>2286</v>
      </c>
    </row>
    <row r="277" spans="1:4" ht="12.75" thickBot="1">
      <c r="A277" s="1482">
        <v>3</v>
      </c>
      <c r="B277" s="1798"/>
      <c r="C277" s="1798"/>
      <c r="D277" s="1799"/>
    </row>
    <row r="278" spans="1:4" ht="24" thickBot="1">
      <c r="A278" s="1478">
        <v>4</v>
      </c>
      <c r="B278" s="1478">
        <v>45</v>
      </c>
      <c r="C278" s="1478" t="s">
        <v>2292</v>
      </c>
      <c r="D278" s="1798"/>
    </row>
    <row r="279" spans="1:4" ht="35.25" thickBot="1">
      <c r="A279" s="1478" t="s">
        <v>2288</v>
      </c>
      <c r="B279" s="1478" t="s">
        <v>2290</v>
      </c>
      <c r="C279" s="1478" t="s">
        <v>2289</v>
      </c>
      <c r="D279" s="1478" t="s">
        <v>2289</v>
      </c>
    </row>
    <row r="280" spans="1:4">
      <c r="A280" s="1470"/>
    </row>
    <row r="283" spans="1:4">
      <c r="A283" s="1470"/>
    </row>
    <row r="284" spans="1:4" ht="14.25">
      <c r="A284" s="1469" t="s">
        <v>2293</v>
      </c>
    </row>
    <row r="285" spans="1:4" ht="12.75" thickBot="1">
      <c r="A285" s="1470"/>
    </row>
    <row r="286" spans="1:4" ht="12.75" thickBot="1">
      <c r="A286" s="1800" t="s">
        <v>2180</v>
      </c>
      <c r="B286" s="1801"/>
      <c r="C286" s="1801"/>
      <c r="D286" s="1802"/>
    </row>
    <row r="287" spans="1:4" ht="85.5" thickBot="1">
      <c r="A287" s="1474" t="s">
        <v>2274</v>
      </c>
      <c r="B287" s="1474" t="s">
        <v>2181</v>
      </c>
      <c r="C287" s="1474" t="s">
        <v>2294</v>
      </c>
      <c r="D287" s="1474" t="s">
        <v>2295</v>
      </c>
    </row>
    <row r="288" spans="1:4" ht="23.25">
      <c r="A288" s="1480">
        <v>30810</v>
      </c>
      <c r="B288" s="1480" t="s">
        <v>2296</v>
      </c>
      <c r="C288" s="1797" t="s">
        <v>2297</v>
      </c>
      <c r="D288" s="1480" t="s">
        <v>2298</v>
      </c>
    </row>
    <row r="289" spans="1:9" ht="12.75" thickBot="1">
      <c r="A289" s="1482">
        <v>30812</v>
      </c>
      <c r="B289" s="1482" t="s">
        <v>2299</v>
      </c>
      <c r="C289" s="1798"/>
      <c r="D289" s="1482" t="s">
        <v>2283</v>
      </c>
    </row>
    <row r="290" spans="1:9" ht="12.75" thickBot="1">
      <c r="A290" s="1470"/>
    </row>
    <row r="291" spans="1:9" ht="12.75" thickBot="1">
      <c r="A291" s="1800" t="s">
        <v>2004</v>
      </c>
      <c r="B291" s="1801"/>
      <c r="C291" s="1801"/>
      <c r="D291" s="1801"/>
      <c r="E291" s="1801"/>
      <c r="F291" s="1801"/>
      <c r="G291" s="1801"/>
      <c r="H291" s="1801"/>
      <c r="I291" s="1802"/>
    </row>
    <row r="292" spans="1:9" ht="12.75" thickBot="1">
      <c r="A292" s="1809" t="s">
        <v>2300</v>
      </c>
      <c r="B292" s="1806" t="s">
        <v>2157</v>
      </c>
      <c r="C292" s="1807"/>
      <c r="D292" s="1807"/>
      <c r="E292" s="1807"/>
      <c r="F292" s="1807"/>
      <c r="G292" s="1808"/>
      <c r="H292" s="1809" t="s">
        <v>2301</v>
      </c>
      <c r="I292" s="1809" t="s">
        <v>2008</v>
      </c>
    </row>
    <row r="293" spans="1:9" ht="54" thickBot="1">
      <c r="A293" s="1810"/>
      <c r="B293" s="1474" t="s">
        <v>573</v>
      </c>
      <c r="C293" s="1474" t="s">
        <v>574</v>
      </c>
      <c r="D293" s="1474" t="s">
        <v>2302</v>
      </c>
      <c r="E293" s="1474" t="s">
        <v>2010</v>
      </c>
      <c r="F293" s="1474" t="s">
        <v>2303</v>
      </c>
      <c r="G293" s="1474" t="s">
        <v>2304</v>
      </c>
      <c r="H293" s="1810"/>
      <c r="I293" s="1810"/>
    </row>
    <row r="294" spans="1:9" ht="12.75" thickBot="1">
      <c r="A294" s="1478">
        <v>30810</v>
      </c>
      <c r="B294" s="1478">
        <v>600</v>
      </c>
      <c r="C294" s="1478">
        <v>89</v>
      </c>
      <c r="D294" s="1478">
        <v>25.3</v>
      </c>
      <c r="E294" s="1478">
        <v>10</v>
      </c>
      <c r="F294" s="1478">
        <v>6</v>
      </c>
      <c r="G294" s="1478">
        <v>25</v>
      </c>
      <c r="H294" s="1478">
        <v>102</v>
      </c>
      <c r="I294" s="1478">
        <v>80.06</v>
      </c>
    </row>
    <row r="295" spans="1:9" ht="12.75" thickBot="1">
      <c r="A295" s="1478">
        <v>30812</v>
      </c>
      <c r="B295" s="1478">
        <v>600</v>
      </c>
      <c r="C295" s="1478">
        <v>91</v>
      </c>
      <c r="D295" s="1478">
        <v>25.3</v>
      </c>
      <c r="E295" s="1478">
        <v>12</v>
      </c>
      <c r="F295" s="1478">
        <v>6</v>
      </c>
      <c r="G295" s="1478">
        <v>25</v>
      </c>
      <c r="H295" s="1478">
        <v>114</v>
      </c>
      <c r="I295" s="1478">
        <v>89.5</v>
      </c>
    </row>
    <row r="296" spans="1:9">
      <c r="A296" s="1470"/>
    </row>
    <row r="299" spans="1:9">
      <c r="A299" s="1470"/>
    </row>
    <row r="300" spans="1:9" ht="14.25">
      <c r="A300" s="1469" t="s">
        <v>2305</v>
      </c>
    </row>
    <row r="301" spans="1:9" ht="12.75" thickBot="1">
      <c r="A301" s="1470"/>
    </row>
    <row r="302" spans="1:9" ht="12.75" thickBot="1">
      <c r="A302" s="1800" t="s">
        <v>2004</v>
      </c>
      <c r="B302" s="1801"/>
      <c r="C302" s="1802"/>
    </row>
    <row r="303" spans="1:9" ht="64.5" thickBot="1">
      <c r="A303" s="1474" t="s">
        <v>2306</v>
      </c>
      <c r="B303" s="1474" t="s">
        <v>2285</v>
      </c>
      <c r="C303" s="1474" t="s">
        <v>2277</v>
      </c>
    </row>
    <row r="304" spans="1:9" ht="33.75">
      <c r="A304" s="1484" t="s">
        <v>2307</v>
      </c>
      <c r="B304" s="1803" t="s">
        <v>2308</v>
      </c>
      <c r="C304" s="1484" t="s">
        <v>2309</v>
      </c>
    </row>
    <row r="305" spans="1:4" ht="22.5">
      <c r="A305" s="1485" t="s">
        <v>2310</v>
      </c>
      <c r="B305" s="1804"/>
      <c r="C305" s="1485" t="s">
        <v>2282</v>
      </c>
    </row>
    <row r="306" spans="1:4" ht="23.25" thickBot="1">
      <c r="A306" s="1486" t="s">
        <v>2311</v>
      </c>
      <c r="B306" s="1805"/>
      <c r="C306" s="1486" t="s">
        <v>2283</v>
      </c>
    </row>
    <row r="307" spans="1:4" ht="12.75" thickBot="1">
      <c r="A307" s="1470"/>
    </row>
    <row r="308" spans="1:4" ht="12.75" thickBot="1">
      <c r="A308" s="1800" t="s">
        <v>2180</v>
      </c>
      <c r="B308" s="1801"/>
      <c r="C308" s="1801"/>
      <c r="D308" s="1802"/>
    </row>
    <row r="309" spans="1:4" ht="64.5" thickBot="1">
      <c r="A309" s="1474" t="s">
        <v>2312</v>
      </c>
      <c r="B309" s="1474" t="s">
        <v>2181</v>
      </c>
      <c r="C309" s="1474" t="s">
        <v>2182</v>
      </c>
      <c r="D309" s="1474" t="s">
        <v>2183</v>
      </c>
    </row>
    <row r="310" spans="1:4" ht="24" thickBot="1">
      <c r="A310" s="1797" t="s">
        <v>2313</v>
      </c>
      <c r="B310" s="1478" t="s">
        <v>2314</v>
      </c>
      <c r="C310" s="1478" t="s">
        <v>2185</v>
      </c>
      <c r="D310" s="1478" t="s">
        <v>2186</v>
      </c>
    </row>
    <row r="311" spans="1:4" ht="24" thickBot="1">
      <c r="A311" s="1799"/>
      <c r="B311" s="1491">
        <v>20667</v>
      </c>
      <c r="C311" s="1478" t="s">
        <v>2292</v>
      </c>
      <c r="D311" s="1478" t="s">
        <v>2292</v>
      </c>
    </row>
    <row r="312" spans="1:4" ht="24" thickBot="1">
      <c r="A312" s="1799"/>
      <c r="B312" s="1478" t="s">
        <v>2315</v>
      </c>
      <c r="C312" s="1478" t="s">
        <v>2291</v>
      </c>
      <c r="D312" s="1478" t="s">
        <v>2291</v>
      </c>
    </row>
    <row r="313" spans="1:4" ht="24" thickBot="1">
      <c r="A313" s="1799"/>
      <c r="B313" s="1478" t="s">
        <v>2316</v>
      </c>
      <c r="C313" s="1478" t="s">
        <v>2317</v>
      </c>
      <c r="D313" s="1478" t="s">
        <v>2317</v>
      </c>
    </row>
    <row r="314" spans="1:4">
      <c r="A314" s="1799"/>
      <c r="B314" s="1480" t="s">
        <v>2318</v>
      </c>
      <c r="C314" s="1797" t="s">
        <v>2192</v>
      </c>
      <c r="D314" s="1797" t="s">
        <v>2319</v>
      </c>
    </row>
    <row r="315" spans="1:4" ht="24" thickBot="1">
      <c r="A315" s="1798"/>
      <c r="B315" s="1482" t="s">
        <v>2320</v>
      </c>
      <c r="C315" s="1798"/>
      <c r="D315" s="1798"/>
    </row>
    <row r="316" spans="1:4" ht="24" thickBot="1">
      <c r="A316" s="1797" t="s">
        <v>2321</v>
      </c>
      <c r="B316" s="1478">
        <v>60</v>
      </c>
      <c r="C316" s="1478" t="s">
        <v>2292</v>
      </c>
      <c r="D316" s="1797" t="s">
        <v>2322</v>
      </c>
    </row>
    <row r="317" spans="1:4">
      <c r="A317" s="1799"/>
      <c r="B317" s="1480" t="s">
        <v>2323</v>
      </c>
      <c r="C317" s="1797" t="s">
        <v>2317</v>
      </c>
      <c r="D317" s="1799"/>
    </row>
    <row r="318" spans="1:4" ht="24" thickBot="1">
      <c r="A318" s="1798"/>
      <c r="B318" s="1482" t="s">
        <v>2324</v>
      </c>
      <c r="C318" s="1798"/>
      <c r="D318" s="1798"/>
    </row>
    <row r="319" spans="1:4">
      <c r="A319" s="1470"/>
    </row>
    <row r="322" spans="1:4">
      <c r="A322" s="1470"/>
    </row>
    <row r="323" spans="1:4" ht="14.25">
      <c r="A323" s="1469" t="s">
        <v>2325</v>
      </c>
    </row>
    <row r="324" spans="1:4" ht="12.75" thickBot="1">
      <c r="A324" s="1470"/>
    </row>
    <row r="325" spans="1:4" ht="12.75" thickBot="1">
      <c r="A325" s="1800" t="s">
        <v>2004</v>
      </c>
      <c r="B325" s="1801"/>
      <c r="C325" s="1801"/>
      <c r="D325" s="1802"/>
    </row>
    <row r="326" spans="1:4" ht="85.5" thickBot="1">
      <c r="A326" s="1474" t="s">
        <v>2326</v>
      </c>
      <c r="B326" s="1474" t="s">
        <v>2327</v>
      </c>
      <c r="C326" s="1474" t="s">
        <v>2328</v>
      </c>
      <c r="D326" s="1474" t="s">
        <v>2329</v>
      </c>
    </row>
    <row r="327" spans="1:4">
      <c r="A327" s="1480">
        <v>60</v>
      </c>
      <c r="B327" s="1480">
        <v>62</v>
      </c>
      <c r="C327" s="1797" t="s">
        <v>2330</v>
      </c>
      <c r="D327" s="1797" t="s">
        <v>2331</v>
      </c>
    </row>
    <row r="328" spans="1:4">
      <c r="A328" s="1481">
        <v>70</v>
      </c>
      <c r="B328" s="1481">
        <v>73</v>
      </c>
      <c r="C328" s="1799"/>
      <c r="D328" s="1799"/>
    </row>
    <row r="329" spans="1:4">
      <c r="A329" s="1481">
        <v>80</v>
      </c>
      <c r="B329" s="1481">
        <v>83</v>
      </c>
      <c r="C329" s="1799"/>
      <c r="D329" s="1799"/>
    </row>
    <row r="330" spans="1:4">
      <c r="A330" s="1481">
        <v>90</v>
      </c>
      <c r="B330" s="1481">
        <v>94</v>
      </c>
      <c r="C330" s="1799"/>
      <c r="D330" s="1799"/>
    </row>
    <row r="331" spans="1:4">
      <c r="A331" s="1481">
        <v>100</v>
      </c>
      <c r="B331" s="1481">
        <v>104</v>
      </c>
      <c r="C331" s="1799"/>
      <c r="D331" s="1799"/>
    </row>
    <row r="332" spans="1:4" ht="12.75" thickBot="1">
      <c r="A332" s="1482">
        <v>120</v>
      </c>
      <c r="B332" s="1482">
        <v>125</v>
      </c>
      <c r="C332" s="1798"/>
      <c r="D332" s="1798"/>
    </row>
    <row r="333" spans="1:4">
      <c r="A333" s="1470"/>
    </row>
    <row r="336" spans="1:4">
      <c r="A336" s="1470"/>
    </row>
    <row r="337" spans="1:5" ht="14.25">
      <c r="A337" s="1469" t="s">
        <v>2332</v>
      </c>
    </row>
    <row r="338" spans="1:5" ht="12.75" thickBot="1">
      <c r="A338" s="1470"/>
    </row>
    <row r="339" spans="1:5" ht="12.75" thickBot="1">
      <c r="A339" s="1800" t="s">
        <v>2332</v>
      </c>
      <c r="B339" s="1801"/>
      <c r="C339" s="1801"/>
      <c r="D339" s="1802"/>
    </row>
    <row r="340" spans="1:5" ht="64.5" thickBot="1">
      <c r="A340" s="1474" t="s">
        <v>2333</v>
      </c>
      <c r="B340" s="1474" t="s">
        <v>2306</v>
      </c>
      <c r="C340" s="1474" t="s">
        <v>2285</v>
      </c>
      <c r="D340" s="1474" t="s">
        <v>2277</v>
      </c>
    </row>
    <row r="341" spans="1:5" ht="23.25">
      <c r="A341" s="1797" t="s">
        <v>2334</v>
      </c>
      <c r="B341" s="1797" t="s">
        <v>2335</v>
      </c>
      <c r="C341" s="1797" t="s">
        <v>2336</v>
      </c>
      <c r="D341" s="1480" t="s">
        <v>2337</v>
      </c>
    </row>
    <row r="342" spans="1:5" ht="23.25">
      <c r="A342" s="1799"/>
      <c r="B342" s="1799"/>
      <c r="C342" s="1799"/>
      <c r="D342" s="1481" t="s">
        <v>2282</v>
      </c>
    </row>
    <row r="343" spans="1:5" ht="12.75" thickBot="1">
      <c r="A343" s="1798"/>
      <c r="B343" s="1798"/>
      <c r="C343" s="1798"/>
      <c r="D343" s="1482" t="s">
        <v>2283</v>
      </c>
    </row>
    <row r="344" spans="1:5">
      <c r="A344" s="1470"/>
    </row>
    <row r="347" spans="1:5">
      <c r="A347" s="1470"/>
    </row>
    <row r="348" spans="1:5" ht="14.25">
      <c r="A348" s="1469" t="s">
        <v>2338</v>
      </c>
    </row>
    <row r="349" spans="1:5" ht="12.75" thickBot="1">
      <c r="A349" s="1470"/>
    </row>
    <row r="350" spans="1:5" ht="12.75" thickBot="1">
      <c r="A350" s="1800" t="s">
        <v>2339</v>
      </c>
      <c r="B350" s="1801"/>
      <c r="C350" s="1801"/>
      <c r="D350" s="1801"/>
      <c r="E350" s="1802"/>
    </row>
    <row r="351" spans="1:5" ht="85.5" thickBot="1">
      <c r="A351" s="1474" t="s">
        <v>2340</v>
      </c>
      <c r="B351" s="1474" t="s">
        <v>2341</v>
      </c>
      <c r="C351" s="1474" t="s">
        <v>2181</v>
      </c>
      <c r="D351" s="1474" t="s">
        <v>2182</v>
      </c>
      <c r="E351" s="1474" t="s">
        <v>2277</v>
      </c>
    </row>
    <row r="352" spans="1:5" ht="22.5">
      <c r="A352" s="1803" t="s">
        <v>2342</v>
      </c>
      <c r="B352" s="1484" t="s">
        <v>2343</v>
      </c>
      <c r="C352" s="1484" t="s">
        <v>2344</v>
      </c>
      <c r="D352" s="1484" t="s">
        <v>2185</v>
      </c>
      <c r="E352" s="1484" t="s">
        <v>2345</v>
      </c>
    </row>
    <row r="353" spans="1:5" ht="22.5">
      <c r="A353" s="1804"/>
      <c r="B353" s="1485" t="s">
        <v>2346</v>
      </c>
      <c r="C353" s="1485" t="s">
        <v>2347</v>
      </c>
      <c r="D353" s="1485" t="s">
        <v>2291</v>
      </c>
      <c r="E353" s="1485" t="s">
        <v>2282</v>
      </c>
    </row>
    <row r="354" spans="1:5" ht="22.5">
      <c r="A354" s="1804"/>
      <c r="B354" s="1492"/>
      <c r="C354" s="1485" t="s">
        <v>2348</v>
      </c>
      <c r="D354" s="1485" t="s">
        <v>2349</v>
      </c>
      <c r="E354" s="1485" t="s">
        <v>2350</v>
      </c>
    </row>
    <row r="355" spans="1:5" ht="22.5">
      <c r="A355" s="1804"/>
      <c r="B355" s="1492"/>
      <c r="C355" s="1485" t="s">
        <v>2351</v>
      </c>
      <c r="D355" s="1485" t="s">
        <v>2292</v>
      </c>
      <c r="E355" s="1485" t="s">
        <v>2283</v>
      </c>
    </row>
    <row r="356" spans="1:5" ht="23.25" thickBot="1">
      <c r="A356" s="1805"/>
      <c r="B356" s="1489"/>
      <c r="C356" s="1486" t="s">
        <v>2352</v>
      </c>
      <c r="D356" s="1489"/>
      <c r="E356" s="1489"/>
    </row>
    <row r="357" spans="1:5">
      <c r="A357" s="1470"/>
    </row>
    <row r="360" spans="1:5">
      <c r="A360" s="1470"/>
    </row>
    <row r="361" spans="1:5" ht="14.25">
      <c r="A361" s="1469" t="s">
        <v>2353</v>
      </c>
    </row>
    <row r="362" spans="1:5" ht="12.75" thickBot="1">
      <c r="A362" s="1470"/>
    </row>
    <row r="363" spans="1:5" ht="12.75" thickBot="1">
      <c r="A363" s="1800" t="s">
        <v>2339</v>
      </c>
      <c r="B363" s="1801"/>
      <c r="C363" s="1801"/>
      <c r="D363" s="1801"/>
      <c r="E363" s="1802"/>
    </row>
    <row r="364" spans="1:5" ht="85.5" thickBot="1">
      <c r="A364" s="1474" t="s">
        <v>2354</v>
      </c>
      <c r="B364" s="1474" t="s">
        <v>2341</v>
      </c>
      <c r="C364" s="1474" t="s">
        <v>2181</v>
      </c>
      <c r="D364" s="1474" t="s">
        <v>2182</v>
      </c>
      <c r="E364" s="1474" t="s">
        <v>2277</v>
      </c>
    </row>
    <row r="365" spans="1:5" ht="23.25" thickBot="1">
      <c r="A365" s="1803" t="s">
        <v>2355</v>
      </c>
      <c r="B365" s="1484" t="s">
        <v>2356</v>
      </c>
      <c r="C365" s="1488" t="s">
        <v>2357</v>
      </c>
      <c r="D365" s="1488" t="s">
        <v>2185</v>
      </c>
      <c r="E365" s="1484" t="s">
        <v>2358</v>
      </c>
    </row>
    <row r="366" spans="1:5" ht="23.25" thickBot="1">
      <c r="A366" s="1804"/>
      <c r="B366" s="1485" t="s">
        <v>2359</v>
      </c>
      <c r="C366" s="1493">
        <v>20728</v>
      </c>
      <c r="D366" s="1488" t="s">
        <v>2292</v>
      </c>
      <c r="E366" s="1485" t="s">
        <v>2350</v>
      </c>
    </row>
    <row r="367" spans="1:5" ht="23.25" thickBot="1">
      <c r="A367" s="1804"/>
      <c r="B367" s="1485" t="s">
        <v>2360</v>
      </c>
      <c r="C367" s="1488" t="s">
        <v>2361</v>
      </c>
      <c r="D367" s="1488" t="s">
        <v>2317</v>
      </c>
      <c r="E367" s="1485" t="s">
        <v>2283</v>
      </c>
    </row>
    <row r="368" spans="1:5" ht="23.25" thickBot="1">
      <c r="A368" s="1804"/>
      <c r="B368" s="1492"/>
      <c r="C368" s="1488" t="s">
        <v>2315</v>
      </c>
      <c r="D368" s="1488" t="s">
        <v>2291</v>
      </c>
      <c r="E368" s="1492"/>
    </row>
    <row r="369" spans="1:7" ht="23.25" thickBot="1">
      <c r="A369" s="1805"/>
      <c r="B369" s="1489"/>
      <c r="C369" s="1488" t="s">
        <v>2362</v>
      </c>
      <c r="D369" s="1488" t="s">
        <v>2363</v>
      </c>
      <c r="E369" s="1489"/>
    </row>
    <row r="370" spans="1:7">
      <c r="A370" s="1470"/>
    </row>
    <row r="373" spans="1:7">
      <c r="A373" s="1470"/>
    </row>
    <row r="374" spans="1:7" ht="14.25">
      <c r="A374" s="1469" t="s">
        <v>2364</v>
      </c>
    </row>
    <row r="375" spans="1:7" ht="12.75" thickBot="1">
      <c r="A375" s="1470"/>
    </row>
    <row r="376" spans="1:7" ht="12.75" thickBot="1">
      <c r="A376" s="1800" t="s">
        <v>2365</v>
      </c>
      <c r="B376" s="1801"/>
      <c r="C376" s="1801"/>
      <c r="D376" s="1801"/>
      <c r="E376" s="1801"/>
      <c r="F376" s="1801"/>
      <c r="G376" s="1802"/>
    </row>
    <row r="377" spans="1:7" ht="33" thickBot="1">
      <c r="A377" s="1474"/>
      <c r="B377" s="1474" t="s">
        <v>2354</v>
      </c>
      <c r="C377" s="1474" t="s">
        <v>2366</v>
      </c>
      <c r="D377" s="1474" t="s">
        <v>2367</v>
      </c>
      <c r="E377" s="1806" t="s">
        <v>2368</v>
      </c>
      <c r="F377" s="1807"/>
      <c r="G377" s="1808"/>
    </row>
    <row r="378" spans="1:7" ht="12.75" thickBot="1">
      <c r="A378" s="1797" t="s">
        <v>2369</v>
      </c>
      <c r="B378" s="1478" t="s">
        <v>2370</v>
      </c>
      <c r="C378" s="1478">
        <v>1152</v>
      </c>
      <c r="D378" s="1797" t="s">
        <v>2371</v>
      </c>
      <c r="E378" s="1478" t="s">
        <v>2372</v>
      </c>
      <c r="F378" s="1478"/>
      <c r="G378" s="1478" t="s">
        <v>2373</v>
      </c>
    </row>
    <row r="379" spans="1:7" ht="12.75" thickBot="1">
      <c r="A379" s="1799"/>
      <c r="B379" s="1478" t="s">
        <v>2374</v>
      </c>
      <c r="C379" s="1478">
        <v>840</v>
      </c>
      <c r="D379" s="1798"/>
      <c r="E379" s="1478" t="s">
        <v>2375</v>
      </c>
      <c r="F379" s="1478" t="s">
        <v>2375</v>
      </c>
      <c r="G379" s="1797" t="s">
        <v>2376</v>
      </c>
    </row>
    <row r="380" spans="1:7" ht="24" thickBot="1">
      <c r="A380" s="1798"/>
      <c r="B380" s="1478" t="s">
        <v>2377</v>
      </c>
      <c r="C380" s="1478">
        <v>818</v>
      </c>
      <c r="D380" s="1478" t="s">
        <v>2378</v>
      </c>
      <c r="E380" s="1478" t="s">
        <v>2375</v>
      </c>
      <c r="F380" s="1478" t="s">
        <v>2375</v>
      </c>
      <c r="G380" s="1798"/>
    </row>
    <row r="381" spans="1:7" ht="12.75" thickBot="1">
      <c r="A381" s="1797" t="s">
        <v>2379</v>
      </c>
      <c r="B381" s="1478" t="s">
        <v>2380</v>
      </c>
      <c r="C381" s="1478">
        <v>2340</v>
      </c>
      <c r="D381" s="1797" t="s">
        <v>2381</v>
      </c>
      <c r="E381" s="1480" t="s">
        <v>2382</v>
      </c>
      <c r="F381" s="1797" t="s">
        <v>2383</v>
      </c>
      <c r="G381" s="1797" t="s">
        <v>2384</v>
      </c>
    </row>
    <row r="382" spans="1:7" ht="12.75" thickBot="1">
      <c r="A382" s="1798"/>
      <c r="B382" s="1478" t="s">
        <v>2385</v>
      </c>
      <c r="C382" s="1478">
        <v>2807</v>
      </c>
      <c r="D382" s="1798"/>
      <c r="E382" s="1481" t="s">
        <v>2386</v>
      </c>
      <c r="F382" s="1799"/>
      <c r="G382" s="1799"/>
    </row>
    <row r="383" spans="1:7" ht="12.75" thickBot="1">
      <c r="A383" s="1797" t="s">
        <v>2387</v>
      </c>
      <c r="B383" s="1478" t="s">
        <v>2388</v>
      </c>
      <c r="C383" s="1478">
        <v>820</v>
      </c>
      <c r="D383" s="1797" t="s">
        <v>2389</v>
      </c>
      <c r="E383" s="1490"/>
      <c r="F383" s="1798"/>
      <c r="G383" s="1798"/>
    </row>
    <row r="384" spans="1:7" ht="24" thickBot="1">
      <c r="A384" s="1798"/>
      <c r="B384" s="1478" t="s">
        <v>2390</v>
      </c>
      <c r="C384" s="1478">
        <v>1046</v>
      </c>
      <c r="D384" s="1798"/>
      <c r="E384" s="1478" t="s">
        <v>2391</v>
      </c>
      <c r="F384" s="1478" t="s">
        <v>2392</v>
      </c>
      <c r="G384" s="1478" t="s">
        <v>2393</v>
      </c>
    </row>
    <row r="385" spans="1:1" ht="15.75">
      <c r="A385" s="1494"/>
    </row>
  </sheetData>
  <mergeCells count="151">
    <mergeCell ref="A3:O3"/>
    <mergeCell ref="A4:A5"/>
    <mergeCell ref="B4:F4"/>
    <mergeCell ref="G4:G5"/>
    <mergeCell ref="H4:H5"/>
    <mergeCell ref="I4:O4"/>
    <mergeCell ref="A6:O6"/>
    <mergeCell ref="A25:O25"/>
    <mergeCell ref="A39:O39"/>
    <mergeCell ref="A65:O65"/>
    <mergeCell ref="A66:A67"/>
    <mergeCell ref="B66:F66"/>
    <mergeCell ref="G66:G67"/>
    <mergeCell ref="H66:H67"/>
    <mergeCell ref="I66:O66"/>
    <mergeCell ref="A68:O68"/>
    <mergeCell ref="A85:O85"/>
    <mergeCell ref="A112:O112"/>
    <mergeCell ref="A121:O121"/>
    <mergeCell ref="A124:O124"/>
    <mergeCell ref="A154:O154"/>
    <mergeCell ref="A155:A156"/>
    <mergeCell ref="B155:F155"/>
    <mergeCell ref="G155:G156"/>
    <mergeCell ref="H155:H156"/>
    <mergeCell ref="I155:O155"/>
    <mergeCell ref="A157:N157"/>
    <mergeCell ref="A162:O162"/>
    <mergeCell ref="A174:I174"/>
    <mergeCell ref="A175:A176"/>
    <mergeCell ref="B175:G175"/>
    <mergeCell ref="J175:N175"/>
    <mergeCell ref="O175:P175"/>
    <mergeCell ref="Q175:Q176"/>
    <mergeCell ref="A188:C188"/>
    <mergeCell ref="B189:C189"/>
    <mergeCell ref="D189:E189"/>
    <mergeCell ref="B190:C190"/>
    <mergeCell ref="B191:C193"/>
    <mergeCell ref="D191:E193"/>
    <mergeCell ref="B194:C196"/>
    <mergeCell ref="D194:E196"/>
    <mergeCell ref="A198:G198"/>
    <mergeCell ref="A199:A200"/>
    <mergeCell ref="B199:E199"/>
    <mergeCell ref="H199:H200"/>
    <mergeCell ref="I199:K199"/>
    <mergeCell ref="L199:M199"/>
    <mergeCell ref="N199:P199"/>
    <mergeCell ref="Q199:Q200"/>
    <mergeCell ref="R199:R200"/>
    <mergeCell ref="A201:A207"/>
    <mergeCell ref="B201:B207"/>
    <mergeCell ref="D201:D207"/>
    <mergeCell ref="E201:E207"/>
    <mergeCell ref="A208:A209"/>
    <mergeCell ref="B208:B209"/>
    <mergeCell ref="D208:D209"/>
    <mergeCell ref="E208:E209"/>
    <mergeCell ref="A210:A212"/>
    <mergeCell ref="B210:B212"/>
    <mergeCell ref="D210:D212"/>
    <mergeCell ref="E210:E212"/>
    <mergeCell ref="R218:T218"/>
    <mergeCell ref="U218:U219"/>
    <mergeCell ref="V218:V219"/>
    <mergeCell ref="A217:I217"/>
    <mergeCell ref="A218:A219"/>
    <mergeCell ref="B218:F218"/>
    <mergeCell ref="H218:H219"/>
    <mergeCell ref="I218:I219"/>
    <mergeCell ref="J218:J219"/>
    <mergeCell ref="W218:W219"/>
    <mergeCell ref="A221:A224"/>
    <mergeCell ref="B221:B224"/>
    <mergeCell ref="C221:C224"/>
    <mergeCell ref="E221:E224"/>
    <mergeCell ref="F221:F224"/>
    <mergeCell ref="J221:J224"/>
    <mergeCell ref="K218:K219"/>
    <mergeCell ref="L218:N218"/>
    <mergeCell ref="O218:Q218"/>
    <mergeCell ref="A228:D228"/>
    <mergeCell ref="E229:P229"/>
    <mergeCell ref="Q229:T229"/>
    <mergeCell ref="U229:U230"/>
    <mergeCell ref="V229:V230"/>
    <mergeCell ref="W229:Y229"/>
    <mergeCell ref="G244:G245"/>
    <mergeCell ref="Z229:AA229"/>
    <mergeCell ref="A236:C236"/>
    <mergeCell ref="A240:G240"/>
    <mergeCell ref="H240:N240"/>
    <mergeCell ref="A241:A242"/>
    <mergeCell ref="B241:F241"/>
    <mergeCell ref="G241:G242"/>
    <mergeCell ref="M244:M245"/>
    <mergeCell ref="A256:F256"/>
    <mergeCell ref="A258:A260"/>
    <mergeCell ref="B258:B260"/>
    <mergeCell ref="C258:C260"/>
    <mergeCell ref="D258:D260"/>
    <mergeCell ref="B244:B245"/>
    <mergeCell ref="C244:C245"/>
    <mergeCell ref="D244:D245"/>
    <mergeCell ref="E244:E245"/>
    <mergeCell ref="F244:F245"/>
    <mergeCell ref="A267:E267"/>
    <mergeCell ref="B269:B271"/>
    <mergeCell ref="A274:D274"/>
    <mergeCell ref="B276:B277"/>
    <mergeCell ref="C276:C277"/>
    <mergeCell ref="D276:D278"/>
    <mergeCell ref="A286:D286"/>
    <mergeCell ref="C288:C289"/>
    <mergeCell ref="A291:I291"/>
    <mergeCell ref="A292:A293"/>
    <mergeCell ref="B292:G292"/>
    <mergeCell ref="H292:H293"/>
    <mergeCell ref="I292:I293"/>
    <mergeCell ref="A302:C302"/>
    <mergeCell ref="B304:B306"/>
    <mergeCell ref="A308:D308"/>
    <mergeCell ref="A310:A315"/>
    <mergeCell ref="C314:C315"/>
    <mergeCell ref="D314:D315"/>
    <mergeCell ref="A316:A318"/>
    <mergeCell ref="D316:D318"/>
    <mergeCell ref="C317:C318"/>
    <mergeCell ref="A325:D325"/>
    <mergeCell ref="C327:C332"/>
    <mergeCell ref="D327:D332"/>
    <mergeCell ref="A339:D339"/>
    <mergeCell ref="A341:A343"/>
    <mergeCell ref="B341:B343"/>
    <mergeCell ref="C341:C343"/>
    <mergeCell ref="A381:A382"/>
    <mergeCell ref="D381:D382"/>
    <mergeCell ref="F381:F383"/>
    <mergeCell ref="G381:G383"/>
    <mergeCell ref="A383:A384"/>
    <mergeCell ref="D383:D384"/>
    <mergeCell ref="A350:E350"/>
    <mergeCell ref="A352:A356"/>
    <mergeCell ref="A363:E363"/>
    <mergeCell ref="A365:A369"/>
    <mergeCell ref="A376:G376"/>
    <mergeCell ref="E377:G377"/>
    <mergeCell ref="A378:A380"/>
    <mergeCell ref="D378:D379"/>
    <mergeCell ref="G379:G380"/>
  </mergeCells>
  <pageMargins left="0.75" right="0.75" top="1" bottom="1" header="0.5" footer="0.5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1"/>
  <sheetViews>
    <sheetView workbookViewId="0">
      <pane xSplit="3" ySplit="3" topLeftCell="D69" activePane="bottomRight" state="frozen"/>
      <selection activeCell="D31" sqref="D31"/>
      <selection pane="topRight" activeCell="D31" sqref="D31"/>
      <selection pane="bottomLeft" activeCell="D31" sqref="D31"/>
      <selection pane="bottomRight" activeCell="L86" sqref="L86"/>
    </sheetView>
  </sheetViews>
  <sheetFormatPr defaultColWidth="9.140625" defaultRowHeight="12"/>
  <cols>
    <col min="1" max="1" width="10.140625" style="574" customWidth="1"/>
    <col min="2" max="2" width="28.7109375" style="574" customWidth="1"/>
    <col min="3" max="4" width="8.42578125" style="574" customWidth="1"/>
    <col min="5" max="11" width="9.140625" style="574"/>
    <col min="12" max="12" width="10.85546875" style="574" bestFit="1" customWidth="1"/>
    <col min="13" max="13" width="9.140625" style="574"/>
    <col min="14" max="14" width="8.7109375" style="574" bestFit="1" customWidth="1"/>
    <col min="15" max="15" width="7.85546875" style="574" bestFit="1" customWidth="1"/>
    <col min="16" max="16" width="9.5703125" style="574" bestFit="1" customWidth="1"/>
    <col min="17" max="16384" width="9.140625" style="574"/>
  </cols>
  <sheetData>
    <row r="1" spans="1:18" ht="20.25">
      <c r="A1" s="1823" t="s">
        <v>2394</v>
      </c>
      <c r="B1" s="1823"/>
      <c r="C1" s="1823"/>
      <c r="D1" s="1823"/>
      <c r="E1" s="1823"/>
      <c r="F1" s="1823"/>
      <c r="G1" s="1823"/>
      <c r="H1" s="1823"/>
      <c r="I1" s="1823"/>
      <c r="J1" s="1823"/>
      <c r="K1" s="1823"/>
      <c r="L1" s="1823"/>
      <c r="M1" s="1823"/>
      <c r="N1" s="1823"/>
      <c r="O1" s="1823"/>
      <c r="P1" s="1823"/>
      <c r="Q1" s="1823"/>
      <c r="R1" s="1823"/>
    </row>
    <row r="2" spans="1:18" ht="12.75">
      <c r="A2" s="1824" t="s">
        <v>2395</v>
      </c>
      <c r="B2" s="1495"/>
      <c r="C2" s="1825" t="s">
        <v>1700</v>
      </c>
      <c r="D2" s="1496" t="s">
        <v>183</v>
      </c>
      <c r="E2" s="1496" t="s">
        <v>573</v>
      </c>
      <c r="F2" s="1496" t="s">
        <v>574</v>
      </c>
      <c r="G2" s="1496" t="s">
        <v>2010</v>
      </c>
      <c r="H2" s="1496" t="s">
        <v>1507</v>
      </c>
      <c r="I2" s="1496" t="s">
        <v>2396</v>
      </c>
      <c r="J2" s="1496" t="s">
        <v>2397</v>
      </c>
      <c r="K2" s="1496" t="s">
        <v>578</v>
      </c>
      <c r="L2" s="1496" t="s">
        <v>106</v>
      </c>
      <c r="M2" s="1496" t="s">
        <v>0</v>
      </c>
      <c r="N2" s="1496" t="s">
        <v>2398</v>
      </c>
      <c r="O2" s="1496" t="s">
        <v>107</v>
      </c>
      <c r="P2" s="1496" t="s">
        <v>2399</v>
      </c>
      <c r="Q2" s="1496" t="s">
        <v>2400</v>
      </c>
      <c r="R2" s="1496" t="s">
        <v>2401</v>
      </c>
    </row>
    <row r="3" spans="1:18" ht="12.75">
      <c r="A3" s="1824"/>
      <c r="B3" s="1495"/>
      <c r="C3" s="1825"/>
      <c r="D3" s="1496" t="s">
        <v>599</v>
      </c>
      <c r="E3" s="1496" t="s">
        <v>601</v>
      </c>
      <c r="F3" s="1496" t="s">
        <v>601</v>
      </c>
      <c r="G3" s="1496" t="s">
        <v>601</v>
      </c>
      <c r="H3" s="1496" t="s">
        <v>601</v>
      </c>
      <c r="I3" s="1496" t="s">
        <v>601</v>
      </c>
      <c r="J3" s="1496" t="s">
        <v>601</v>
      </c>
      <c r="K3" s="1496" t="s">
        <v>110</v>
      </c>
      <c r="L3" s="1496" t="s">
        <v>111</v>
      </c>
      <c r="M3" s="1496" t="s">
        <v>72</v>
      </c>
      <c r="N3" s="1496" t="s">
        <v>72</v>
      </c>
      <c r="O3" s="1496" t="s">
        <v>601</v>
      </c>
      <c r="P3" s="1496" t="s">
        <v>111</v>
      </c>
      <c r="Q3" s="1496" t="s">
        <v>72</v>
      </c>
      <c r="R3" s="1496" t="s">
        <v>601</v>
      </c>
    </row>
    <row r="4" spans="1:18" ht="12.75">
      <c r="A4" s="1497" t="s">
        <v>2402</v>
      </c>
      <c r="B4" s="1497"/>
      <c r="C4" s="1498" t="s">
        <v>2403</v>
      </c>
      <c r="D4" s="1499">
        <v>41.5</v>
      </c>
      <c r="E4" s="1500">
        <v>195</v>
      </c>
      <c r="F4" s="1500">
        <v>200</v>
      </c>
      <c r="G4" s="1501">
        <v>6.5</v>
      </c>
      <c r="H4" s="1501">
        <v>10</v>
      </c>
      <c r="I4" s="1500">
        <v>13</v>
      </c>
      <c r="J4" s="1500"/>
      <c r="K4" s="1502">
        <v>52.82</v>
      </c>
      <c r="L4" s="1500">
        <v>3819.9994999999999</v>
      </c>
      <c r="M4" s="1500">
        <v>392</v>
      </c>
      <c r="N4" s="1500">
        <v>216</v>
      </c>
      <c r="O4" s="1501">
        <v>85</v>
      </c>
      <c r="P4" s="1500">
        <v>1333.9999</v>
      </c>
      <c r="Q4" s="1500">
        <v>133</v>
      </c>
      <c r="R4" s="1501">
        <v>50.3</v>
      </c>
    </row>
    <row r="5" spans="1:18" ht="12.75">
      <c r="A5" s="1497" t="s">
        <v>2402</v>
      </c>
      <c r="B5" s="1497"/>
      <c r="C5" s="1498" t="s">
        <v>2404</v>
      </c>
      <c r="D5" s="1499">
        <v>46.9</v>
      </c>
      <c r="E5" s="1500">
        <v>198</v>
      </c>
      <c r="F5" s="1500">
        <v>200</v>
      </c>
      <c r="G5" s="1501">
        <v>7</v>
      </c>
      <c r="H5" s="1501">
        <v>11.5</v>
      </c>
      <c r="I5" s="1500">
        <v>13</v>
      </c>
      <c r="J5" s="1500"/>
      <c r="K5" s="1502">
        <v>59.7</v>
      </c>
      <c r="L5" s="1500">
        <v>4421.9994999999999</v>
      </c>
      <c r="M5" s="1500">
        <v>447</v>
      </c>
      <c r="N5" s="1500">
        <v>247</v>
      </c>
      <c r="O5" s="1501">
        <v>86.1</v>
      </c>
      <c r="P5" s="1500">
        <v>1533.9999</v>
      </c>
      <c r="Q5" s="1500">
        <v>153</v>
      </c>
      <c r="R5" s="1501">
        <v>50.7</v>
      </c>
    </row>
    <row r="6" spans="1:18" ht="12.75">
      <c r="A6" s="1497" t="s">
        <v>2402</v>
      </c>
      <c r="B6" s="1497"/>
      <c r="C6" s="1498" t="s">
        <v>2405</v>
      </c>
      <c r="D6" s="1499">
        <v>52.2</v>
      </c>
      <c r="E6" s="1500">
        <v>227</v>
      </c>
      <c r="F6" s="1500">
        <v>240</v>
      </c>
      <c r="G6" s="1501">
        <v>7</v>
      </c>
      <c r="H6" s="1501">
        <v>10.5</v>
      </c>
      <c r="I6" s="1500">
        <v>14</v>
      </c>
      <c r="J6" s="1500"/>
      <c r="K6" s="1502">
        <v>66.510000000000005</v>
      </c>
      <c r="L6" s="1500">
        <v>6588.9994999999999</v>
      </c>
      <c r="M6" s="1500">
        <v>579.99990000000003</v>
      </c>
      <c r="N6" s="1500">
        <v>318</v>
      </c>
      <c r="O6" s="1501">
        <v>99.5</v>
      </c>
      <c r="P6" s="1500">
        <v>2420.9998000000001</v>
      </c>
      <c r="Q6" s="1500">
        <v>202</v>
      </c>
      <c r="R6" s="1501">
        <v>60.3</v>
      </c>
    </row>
    <row r="7" spans="1:18" ht="12.75">
      <c r="A7" s="1497" t="s">
        <v>2402</v>
      </c>
      <c r="B7" s="1497"/>
      <c r="C7" s="1498" t="s">
        <v>2406</v>
      </c>
      <c r="D7" s="1499">
        <v>59.5</v>
      </c>
      <c r="E7" s="1500">
        <v>230</v>
      </c>
      <c r="F7" s="1500">
        <v>240</v>
      </c>
      <c r="G7" s="1501">
        <v>8</v>
      </c>
      <c r="H7" s="1501">
        <v>12</v>
      </c>
      <c r="I7" s="1500">
        <v>14</v>
      </c>
      <c r="J7" s="1500"/>
      <c r="K7" s="1502">
        <v>75.77</v>
      </c>
      <c r="L7" s="1500">
        <v>7600.9989999999998</v>
      </c>
      <c r="M7" s="1500">
        <v>660.99990000000003</v>
      </c>
      <c r="N7" s="1500">
        <v>365</v>
      </c>
      <c r="O7" s="1501">
        <v>100.2</v>
      </c>
      <c r="P7" s="1500">
        <v>2765.9998000000001</v>
      </c>
      <c r="Q7" s="1500">
        <v>231</v>
      </c>
      <c r="R7" s="1501">
        <v>60.4</v>
      </c>
    </row>
    <row r="8" spans="1:18" ht="12.75">
      <c r="A8" s="1497" t="s">
        <v>2402</v>
      </c>
      <c r="B8" s="1497"/>
      <c r="C8" s="1498" t="s">
        <v>2407</v>
      </c>
      <c r="D8" s="1499">
        <v>65.2</v>
      </c>
      <c r="E8" s="1500">
        <v>255</v>
      </c>
      <c r="F8" s="1500">
        <v>260</v>
      </c>
      <c r="G8" s="1501">
        <v>8</v>
      </c>
      <c r="H8" s="1501">
        <v>12</v>
      </c>
      <c r="I8" s="1500">
        <v>16</v>
      </c>
      <c r="J8" s="1500"/>
      <c r="K8" s="1502">
        <v>83.08</v>
      </c>
      <c r="L8" s="1500">
        <v>10299.999</v>
      </c>
      <c r="M8" s="1500">
        <v>808.99990000000003</v>
      </c>
      <c r="N8" s="1500">
        <v>445</v>
      </c>
      <c r="O8" s="1501">
        <v>111.4</v>
      </c>
      <c r="P8" s="1500">
        <v>3516.9998000000001</v>
      </c>
      <c r="Q8" s="1500">
        <v>271</v>
      </c>
      <c r="R8" s="1501">
        <v>65.099999999999994</v>
      </c>
    </row>
    <row r="9" spans="1:18" ht="12.75">
      <c r="A9" s="1497" t="s">
        <v>2402</v>
      </c>
      <c r="B9" s="1497"/>
      <c r="C9" s="1498" t="s">
        <v>2408</v>
      </c>
      <c r="D9" s="1499">
        <v>73.2</v>
      </c>
      <c r="E9" s="1500">
        <v>258</v>
      </c>
      <c r="F9" s="1500">
        <v>260</v>
      </c>
      <c r="G9" s="1501">
        <v>9</v>
      </c>
      <c r="H9" s="1501">
        <v>13.5</v>
      </c>
      <c r="I9" s="1500">
        <v>16</v>
      </c>
      <c r="J9" s="1500"/>
      <c r="K9" s="1502">
        <v>93.19</v>
      </c>
      <c r="L9" s="1500">
        <v>11699.999</v>
      </c>
      <c r="M9" s="1500">
        <v>906.99990000000003</v>
      </c>
      <c r="N9" s="1500">
        <v>501</v>
      </c>
      <c r="O9" s="1501">
        <v>112.1</v>
      </c>
      <c r="P9" s="1500">
        <v>3956.9994999999999</v>
      </c>
      <c r="Q9" s="1500">
        <v>304</v>
      </c>
      <c r="R9" s="1501">
        <v>65.2</v>
      </c>
    </row>
    <row r="10" spans="1:18" ht="12.75">
      <c r="A10" s="1497" t="s">
        <v>2402</v>
      </c>
      <c r="B10" s="1497"/>
      <c r="C10" s="1498" t="s">
        <v>2409</v>
      </c>
      <c r="D10" s="1499">
        <v>83.1</v>
      </c>
      <c r="E10" s="1500">
        <v>262</v>
      </c>
      <c r="F10" s="1500">
        <v>260</v>
      </c>
      <c r="G10" s="1501">
        <v>10</v>
      </c>
      <c r="H10" s="1501">
        <v>15.5</v>
      </c>
      <c r="I10" s="1500">
        <v>16</v>
      </c>
      <c r="J10" s="1500"/>
      <c r="K10" s="1502">
        <v>105.9</v>
      </c>
      <c r="L10" s="1500">
        <v>13559.999</v>
      </c>
      <c r="M10" s="1500">
        <v>1034.9999</v>
      </c>
      <c r="N10" s="1500">
        <v>575.99990000000003</v>
      </c>
      <c r="O10" s="1501">
        <v>113.2</v>
      </c>
      <c r="P10" s="1500">
        <v>4543.9994999999999</v>
      </c>
      <c r="Q10" s="1500">
        <v>349</v>
      </c>
      <c r="R10" s="1501">
        <v>65.5</v>
      </c>
    </row>
    <row r="11" spans="1:18" ht="12.75">
      <c r="A11" s="1497" t="s">
        <v>2402</v>
      </c>
      <c r="B11" s="1497"/>
      <c r="C11" s="1498" t="s">
        <v>2410</v>
      </c>
      <c r="D11" s="1499">
        <v>84.8</v>
      </c>
      <c r="E11" s="1500">
        <v>296</v>
      </c>
      <c r="F11" s="1500">
        <v>300</v>
      </c>
      <c r="G11" s="1501">
        <v>9</v>
      </c>
      <c r="H11" s="1501">
        <v>13.5</v>
      </c>
      <c r="I11" s="1500">
        <v>18</v>
      </c>
      <c r="J11" s="1500"/>
      <c r="K11" s="1502">
        <v>108</v>
      </c>
      <c r="L11" s="1500">
        <v>18109.998</v>
      </c>
      <c r="M11" s="1500">
        <v>1222.9999</v>
      </c>
      <c r="N11" s="1500">
        <v>671.99990000000003</v>
      </c>
      <c r="O11" s="1501">
        <v>129.5</v>
      </c>
      <c r="P11" s="1500">
        <v>6078.9994999999999</v>
      </c>
      <c r="Q11" s="1500">
        <v>405</v>
      </c>
      <c r="R11" s="1501">
        <v>75</v>
      </c>
    </row>
    <row r="12" spans="1:18" ht="12.75">
      <c r="A12" s="1497" t="s">
        <v>2402</v>
      </c>
      <c r="B12" s="1497"/>
      <c r="C12" s="1498" t="s">
        <v>2411</v>
      </c>
      <c r="D12" s="1499">
        <v>96.3</v>
      </c>
      <c r="E12" s="1500">
        <v>300</v>
      </c>
      <c r="F12" s="1500">
        <v>300</v>
      </c>
      <c r="G12" s="1501">
        <v>10</v>
      </c>
      <c r="H12" s="1501">
        <v>15.5</v>
      </c>
      <c r="I12" s="1500">
        <v>18</v>
      </c>
      <c r="J12" s="1500"/>
      <c r="K12" s="1502">
        <v>122.7</v>
      </c>
      <c r="L12" s="1500">
        <v>20929.998</v>
      </c>
      <c r="M12" s="1500">
        <v>1394.9999</v>
      </c>
      <c r="N12" s="1500">
        <v>770.99990000000003</v>
      </c>
      <c r="O12" s="1501">
        <v>130.6</v>
      </c>
      <c r="P12" s="1500">
        <v>6979.9994999999999</v>
      </c>
      <c r="Q12" s="1500">
        <v>465</v>
      </c>
      <c r="R12" s="1501">
        <v>75.400000000000006</v>
      </c>
    </row>
    <row r="13" spans="1:18" ht="12.75">
      <c r="A13" s="1497" t="s">
        <v>2402</v>
      </c>
      <c r="B13" s="1497"/>
      <c r="C13" s="1498" t="s">
        <v>2412</v>
      </c>
      <c r="D13" s="1499">
        <v>108.9</v>
      </c>
      <c r="E13" s="1500">
        <v>304</v>
      </c>
      <c r="F13" s="1500">
        <v>300</v>
      </c>
      <c r="G13" s="1501">
        <v>11.5</v>
      </c>
      <c r="H13" s="1501">
        <v>17.5</v>
      </c>
      <c r="I13" s="1500">
        <v>18</v>
      </c>
      <c r="J13" s="1500"/>
      <c r="K13" s="1502">
        <v>138.72</v>
      </c>
      <c r="L13" s="1500">
        <v>23909.998</v>
      </c>
      <c r="M13" s="1500">
        <v>1572.9999</v>
      </c>
      <c r="N13" s="1500">
        <v>873.99990000000003</v>
      </c>
      <c r="O13" s="1501">
        <v>131.19999999999999</v>
      </c>
      <c r="P13" s="1500">
        <v>7880.9989999999998</v>
      </c>
      <c r="Q13" s="1500">
        <v>524.99990000000003</v>
      </c>
      <c r="R13" s="1501">
        <v>75.400000000000006</v>
      </c>
    </row>
    <row r="14" spans="1:18" ht="12.75">
      <c r="A14" s="1497" t="s">
        <v>2402</v>
      </c>
      <c r="B14" s="1497"/>
      <c r="C14" s="1498" t="s">
        <v>2413</v>
      </c>
      <c r="D14" s="1499">
        <v>109.7</v>
      </c>
      <c r="E14" s="1500">
        <v>343</v>
      </c>
      <c r="F14" s="1500">
        <v>350</v>
      </c>
      <c r="G14" s="1501">
        <v>10</v>
      </c>
      <c r="H14" s="1501">
        <v>15</v>
      </c>
      <c r="I14" s="1500">
        <v>20</v>
      </c>
      <c r="J14" s="1500"/>
      <c r="K14" s="1502">
        <v>139.69999999999999</v>
      </c>
      <c r="L14" s="1500">
        <v>31609.9961</v>
      </c>
      <c r="M14" s="1500">
        <v>1842.9999</v>
      </c>
      <c r="N14" s="1500">
        <v>1009.9999</v>
      </c>
      <c r="O14" s="1501">
        <v>150.4</v>
      </c>
      <c r="P14" s="1500">
        <v>10719.999</v>
      </c>
      <c r="Q14" s="1500">
        <v>612.99990000000003</v>
      </c>
      <c r="R14" s="1501">
        <v>87.6</v>
      </c>
    </row>
    <row r="15" spans="1:18" ht="12.75">
      <c r="A15" s="1497" t="s">
        <v>2402</v>
      </c>
      <c r="B15" s="1497"/>
      <c r="C15" s="1498" t="s">
        <v>2414</v>
      </c>
      <c r="D15" s="1499">
        <v>125.9</v>
      </c>
      <c r="E15" s="1500">
        <v>348</v>
      </c>
      <c r="F15" s="1500">
        <v>350</v>
      </c>
      <c r="G15" s="1501">
        <v>11</v>
      </c>
      <c r="H15" s="1501">
        <v>17.5</v>
      </c>
      <c r="I15" s="1500">
        <v>20</v>
      </c>
      <c r="J15" s="1500"/>
      <c r="K15" s="1502">
        <v>160.4</v>
      </c>
      <c r="L15" s="1500">
        <v>37089.996099999997</v>
      </c>
      <c r="M15" s="1500">
        <v>2131.9998000000001</v>
      </c>
      <c r="N15" s="1500">
        <v>1172.9999</v>
      </c>
      <c r="O15" s="1501">
        <v>152.1</v>
      </c>
      <c r="P15" s="1500">
        <v>12509.999</v>
      </c>
      <c r="Q15" s="1500">
        <v>714.99990000000003</v>
      </c>
      <c r="R15" s="1501">
        <v>88.3</v>
      </c>
    </row>
    <row r="16" spans="1:18" ht="12.75">
      <c r="A16" s="1497" t="s">
        <v>2402</v>
      </c>
      <c r="B16" s="1497"/>
      <c r="C16" s="1498" t="s">
        <v>2415</v>
      </c>
      <c r="D16" s="1499">
        <v>144.5</v>
      </c>
      <c r="E16" s="1503">
        <v>353</v>
      </c>
      <c r="F16" s="1503">
        <v>350</v>
      </c>
      <c r="G16" s="1504">
        <v>13</v>
      </c>
      <c r="H16" s="1504">
        <v>20</v>
      </c>
      <c r="I16" s="1503">
        <v>20</v>
      </c>
      <c r="J16" s="1503"/>
      <c r="K16" s="1505">
        <v>184.1</v>
      </c>
      <c r="L16" s="1503">
        <v>42969.996099999997</v>
      </c>
      <c r="M16" s="1503">
        <v>2434.9998000000001</v>
      </c>
      <c r="N16" s="1500">
        <v>1350.9999</v>
      </c>
      <c r="O16" s="1504">
        <v>152.80000000000001</v>
      </c>
      <c r="P16" s="1503">
        <v>14299.999</v>
      </c>
      <c r="Q16" s="1503">
        <v>816.99990000000003</v>
      </c>
      <c r="R16" s="1504">
        <v>88.1</v>
      </c>
    </row>
    <row r="17" spans="1:18" ht="12.75">
      <c r="A17" s="1497" t="s">
        <v>2402</v>
      </c>
      <c r="B17" s="1497"/>
      <c r="C17" s="1498" t="s">
        <v>2416</v>
      </c>
      <c r="D17" s="1499">
        <v>138</v>
      </c>
      <c r="E17" s="1503">
        <v>393</v>
      </c>
      <c r="F17" s="1503">
        <v>400</v>
      </c>
      <c r="G17" s="1504">
        <v>11</v>
      </c>
      <c r="H17" s="1504">
        <v>16.5</v>
      </c>
      <c r="I17" s="1503">
        <v>22</v>
      </c>
      <c r="J17" s="1503"/>
      <c r="K17" s="1505">
        <v>175.8</v>
      </c>
      <c r="L17" s="1503">
        <v>52399.996099999997</v>
      </c>
      <c r="M17" s="1503">
        <v>2663.9998000000001</v>
      </c>
      <c r="N17" s="1500">
        <v>1456.9999</v>
      </c>
      <c r="O17" s="1504">
        <v>172.6</v>
      </c>
      <c r="P17" s="1503">
        <v>17609.998</v>
      </c>
      <c r="Q17" s="1503">
        <v>879.99990000000003</v>
      </c>
      <c r="R17" s="1504">
        <v>100</v>
      </c>
    </row>
    <row r="18" spans="1:18" ht="12.75">
      <c r="A18" s="1497" t="s">
        <v>2402</v>
      </c>
      <c r="B18" s="1497"/>
      <c r="C18" s="1498" t="s">
        <v>2417</v>
      </c>
      <c r="D18" s="1499">
        <v>165.6</v>
      </c>
      <c r="E18" s="1503">
        <v>400</v>
      </c>
      <c r="F18" s="1503">
        <v>400</v>
      </c>
      <c r="G18" s="1504">
        <v>13</v>
      </c>
      <c r="H18" s="1504">
        <v>20</v>
      </c>
      <c r="I18" s="1503">
        <v>22</v>
      </c>
      <c r="J18" s="1503"/>
      <c r="K18" s="1505">
        <v>210.96</v>
      </c>
      <c r="L18" s="1503">
        <v>64139.992200000001</v>
      </c>
      <c r="M18" s="1503">
        <v>3206.9998000000001</v>
      </c>
      <c r="N18" s="1500">
        <v>1766.9999</v>
      </c>
      <c r="O18" s="1504">
        <v>174.4</v>
      </c>
      <c r="P18" s="1503">
        <v>21349.998</v>
      </c>
      <c r="Q18" s="1503">
        <v>1066.9999</v>
      </c>
      <c r="R18" s="1504">
        <v>100.6</v>
      </c>
    </row>
    <row r="19" spans="1:18" ht="12.75">
      <c r="A19" s="1497" t="s">
        <v>2402</v>
      </c>
      <c r="B19" s="1497"/>
      <c r="C19" s="1498" t="s">
        <v>2418</v>
      </c>
      <c r="D19" s="1499">
        <v>202.3</v>
      </c>
      <c r="E19" s="1503">
        <v>409</v>
      </c>
      <c r="F19" s="1503">
        <v>400</v>
      </c>
      <c r="G19" s="1504">
        <v>16</v>
      </c>
      <c r="H19" s="1504">
        <v>24.5</v>
      </c>
      <c r="I19" s="1503">
        <v>22</v>
      </c>
      <c r="J19" s="1503"/>
      <c r="K19" s="1505">
        <v>257.8</v>
      </c>
      <c r="L19" s="1503">
        <v>80039.992199999993</v>
      </c>
      <c r="M19" s="1503">
        <v>3913.9998000000001</v>
      </c>
      <c r="N19" s="1500">
        <v>2179.9998000000001</v>
      </c>
      <c r="O19" s="1504">
        <v>176.2</v>
      </c>
      <c r="P19" s="1503">
        <v>26149.998</v>
      </c>
      <c r="Q19" s="1503">
        <v>1306.9999</v>
      </c>
      <c r="R19" s="1504">
        <v>100.7</v>
      </c>
    </row>
    <row r="20" spans="1:18" ht="12.75">
      <c r="A20" s="1497" t="s">
        <v>2402</v>
      </c>
      <c r="B20" s="1497"/>
      <c r="C20" s="1498" t="s">
        <v>2419</v>
      </c>
      <c r="D20" s="1499">
        <v>242.2</v>
      </c>
      <c r="E20" s="1503">
        <v>419</v>
      </c>
      <c r="F20" s="1503">
        <v>400</v>
      </c>
      <c r="G20" s="1504">
        <v>19</v>
      </c>
      <c r="H20" s="1504">
        <v>29.5</v>
      </c>
      <c r="I20" s="1503">
        <v>22</v>
      </c>
      <c r="J20" s="1503"/>
      <c r="K20" s="1505">
        <v>308.60000000000002</v>
      </c>
      <c r="L20" s="1503">
        <v>98339.992199999993</v>
      </c>
      <c r="M20" s="1503">
        <v>4693.9994999999999</v>
      </c>
      <c r="N20" s="1500">
        <v>2641.9998000000001</v>
      </c>
      <c r="O20" s="1504">
        <v>178.5</v>
      </c>
      <c r="P20" s="1503">
        <v>31499.9961</v>
      </c>
      <c r="Q20" s="1503">
        <v>1574.9999</v>
      </c>
      <c r="R20" s="1504">
        <v>101</v>
      </c>
    </row>
    <row r="21" spans="1:18" ht="12.75">
      <c r="A21" s="1497" t="s">
        <v>2402</v>
      </c>
      <c r="B21" s="1497"/>
      <c r="C21" s="1498" t="s">
        <v>2420</v>
      </c>
      <c r="D21" s="1499">
        <v>291.2</v>
      </c>
      <c r="E21" s="1503">
        <v>431</v>
      </c>
      <c r="F21" s="1503">
        <v>400</v>
      </c>
      <c r="G21" s="1504">
        <v>23</v>
      </c>
      <c r="H21" s="1504">
        <v>35.5</v>
      </c>
      <c r="I21" s="1503">
        <v>22</v>
      </c>
      <c r="J21" s="1503"/>
      <c r="K21" s="1505">
        <v>371</v>
      </c>
      <c r="L21" s="1503">
        <v>121569.9844</v>
      </c>
      <c r="M21" s="1503">
        <v>5641.9994999999999</v>
      </c>
      <c r="N21" s="1500">
        <v>3216.9998000000001</v>
      </c>
      <c r="O21" s="1504">
        <v>181</v>
      </c>
      <c r="P21" s="1503">
        <v>37909.996099999997</v>
      </c>
      <c r="Q21" s="1503">
        <v>1895.9999</v>
      </c>
      <c r="R21" s="1504">
        <v>101.1</v>
      </c>
    </row>
    <row r="22" spans="1:18" ht="12.75">
      <c r="A22" s="1497" t="s">
        <v>2421</v>
      </c>
      <c r="B22" s="1497"/>
      <c r="C22" s="1506">
        <v>10</v>
      </c>
      <c r="D22" s="1507">
        <v>9.4600000000000009</v>
      </c>
      <c r="E22" s="574">
        <v>100</v>
      </c>
      <c r="F22" s="574">
        <v>55</v>
      </c>
      <c r="G22" s="574">
        <v>4.5</v>
      </c>
      <c r="H22" s="574">
        <v>7.2</v>
      </c>
      <c r="I22" s="574">
        <v>7</v>
      </c>
      <c r="J22" s="574">
        <v>2.5</v>
      </c>
      <c r="K22" s="574">
        <v>12</v>
      </c>
      <c r="L22" s="1508">
        <v>198</v>
      </c>
      <c r="M22" s="574">
        <v>39.700000000000003</v>
      </c>
      <c r="N22" s="574">
        <v>23</v>
      </c>
      <c r="O22" s="574">
        <v>40.6</v>
      </c>
      <c r="P22" s="574">
        <v>17.899999999999999</v>
      </c>
      <c r="Q22" s="574">
        <v>6.49</v>
      </c>
      <c r="R22" s="574">
        <v>12.2</v>
      </c>
    </row>
    <row r="23" spans="1:18" ht="12.75">
      <c r="A23" s="1497" t="s">
        <v>2421</v>
      </c>
      <c r="B23" s="1497"/>
      <c r="C23" s="1506">
        <v>12</v>
      </c>
      <c r="D23" s="1507">
        <v>11.5</v>
      </c>
      <c r="E23" s="574">
        <v>120</v>
      </c>
      <c r="F23" s="574">
        <v>64</v>
      </c>
      <c r="G23" s="574">
        <v>4.8</v>
      </c>
      <c r="H23" s="574">
        <v>7.3</v>
      </c>
      <c r="I23" s="574">
        <v>7.5</v>
      </c>
      <c r="J23" s="574">
        <v>3</v>
      </c>
      <c r="K23" s="574">
        <v>14.7</v>
      </c>
      <c r="L23" s="1508">
        <v>350</v>
      </c>
      <c r="M23" s="574">
        <v>58.4</v>
      </c>
      <c r="N23" s="574">
        <v>33.700000000000003</v>
      </c>
      <c r="O23" s="574">
        <v>48.8</v>
      </c>
      <c r="P23" s="574">
        <v>27.9</v>
      </c>
      <c r="Q23" s="574">
        <v>8.7200000000000006</v>
      </c>
      <c r="R23" s="574">
        <v>13.8</v>
      </c>
    </row>
    <row r="24" spans="1:18" ht="12.75">
      <c r="A24" s="1497" t="s">
        <v>2421</v>
      </c>
      <c r="B24" s="1497"/>
      <c r="C24" s="1506">
        <v>14</v>
      </c>
      <c r="D24" s="1507">
        <v>13.7</v>
      </c>
      <c r="E24" s="574">
        <v>140</v>
      </c>
      <c r="F24" s="574">
        <v>73</v>
      </c>
      <c r="G24" s="574">
        <v>4.9000000000000004</v>
      </c>
      <c r="H24" s="574">
        <v>7.5</v>
      </c>
      <c r="I24" s="574">
        <v>8</v>
      </c>
      <c r="J24" s="574">
        <v>3</v>
      </c>
      <c r="K24" s="574">
        <v>17.399999999999999</v>
      </c>
      <c r="L24" s="1508">
        <v>571.99990000000003</v>
      </c>
      <c r="M24" s="574">
        <v>81.7</v>
      </c>
      <c r="N24" s="574">
        <v>46.8</v>
      </c>
      <c r="O24" s="574">
        <v>57.3</v>
      </c>
      <c r="P24" s="574">
        <v>41.9</v>
      </c>
      <c r="Q24" s="574">
        <v>11.5</v>
      </c>
      <c r="R24" s="574">
        <v>15.5</v>
      </c>
    </row>
    <row r="25" spans="1:18" ht="12.75">
      <c r="A25" s="1497" t="s">
        <v>2421</v>
      </c>
      <c r="B25" s="1497"/>
      <c r="C25" s="1506">
        <v>16</v>
      </c>
      <c r="D25" s="1507">
        <v>15.9</v>
      </c>
      <c r="E25" s="574">
        <v>160</v>
      </c>
      <c r="F25" s="574">
        <v>81</v>
      </c>
      <c r="G25" s="574">
        <v>5</v>
      </c>
      <c r="H25" s="574">
        <v>7.8</v>
      </c>
      <c r="I25" s="574">
        <v>8.5</v>
      </c>
      <c r="J25" s="574">
        <v>3.5</v>
      </c>
      <c r="K25" s="574">
        <v>20.2</v>
      </c>
      <c r="L25" s="1508">
        <v>872.99990000000003</v>
      </c>
      <c r="M25" s="574">
        <v>109</v>
      </c>
      <c r="N25" s="574">
        <v>62.3</v>
      </c>
      <c r="O25" s="574">
        <v>65.7</v>
      </c>
      <c r="P25" s="574">
        <v>58.6</v>
      </c>
      <c r="Q25" s="574">
        <v>14.5</v>
      </c>
      <c r="R25" s="574">
        <v>17</v>
      </c>
    </row>
    <row r="26" spans="1:18" ht="12.75">
      <c r="A26" s="1497" t="s">
        <v>2421</v>
      </c>
      <c r="B26" s="1497"/>
      <c r="C26" s="1506">
        <v>18</v>
      </c>
      <c r="D26" s="1507">
        <v>18.399999999999999</v>
      </c>
      <c r="E26" s="574">
        <v>180</v>
      </c>
      <c r="F26" s="574">
        <v>90</v>
      </c>
      <c r="G26" s="574">
        <v>5.0999999999999996</v>
      </c>
      <c r="H26" s="574">
        <v>8.1</v>
      </c>
      <c r="I26" s="574">
        <v>9</v>
      </c>
      <c r="J26" s="574">
        <v>3.5</v>
      </c>
      <c r="K26" s="574">
        <v>23.4</v>
      </c>
      <c r="L26" s="1508">
        <v>1289.9999</v>
      </c>
      <c r="M26" s="574">
        <v>143</v>
      </c>
      <c r="N26" s="574">
        <v>81.400000000000006</v>
      </c>
      <c r="O26" s="574">
        <v>74.2</v>
      </c>
      <c r="P26" s="574">
        <v>82.6</v>
      </c>
      <c r="Q26" s="574">
        <v>18.399999999999999</v>
      </c>
      <c r="R26" s="574">
        <v>18.8</v>
      </c>
    </row>
    <row r="27" spans="1:18" ht="12.75">
      <c r="A27" s="1497" t="s">
        <v>2421</v>
      </c>
      <c r="B27" s="1497"/>
      <c r="C27" s="1506">
        <v>20</v>
      </c>
      <c r="D27" s="1507">
        <v>21</v>
      </c>
      <c r="E27" s="574">
        <v>200</v>
      </c>
      <c r="F27" s="574">
        <v>100</v>
      </c>
      <c r="G27" s="574">
        <v>5.2</v>
      </c>
      <c r="H27" s="574">
        <v>8.4</v>
      </c>
      <c r="I27" s="574">
        <v>9.5</v>
      </c>
      <c r="J27" s="574">
        <v>4</v>
      </c>
      <c r="K27" s="574">
        <v>26.8</v>
      </c>
      <c r="L27" s="1508">
        <v>1839.9999</v>
      </c>
      <c r="M27" s="574">
        <v>184</v>
      </c>
      <c r="N27" s="574">
        <v>104</v>
      </c>
      <c r="O27" s="574">
        <v>82.8</v>
      </c>
      <c r="P27" s="574">
        <v>115</v>
      </c>
      <c r="Q27" s="574">
        <v>23.1</v>
      </c>
      <c r="R27" s="574">
        <v>20.7</v>
      </c>
    </row>
    <row r="28" spans="1:18" ht="12.75">
      <c r="A28" s="1497" t="s">
        <v>2421</v>
      </c>
      <c r="B28" s="1497"/>
      <c r="C28" s="1506">
        <v>22</v>
      </c>
      <c r="D28" s="1507">
        <v>24</v>
      </c>
      <c r="E28" s="574">
        <v>220</v>
      </c>
      <c r="F28" s="574">
        <v>110</v>
      </c>
      <c r="G28" s="574">
        <v>5.4</v>
      </c>
      <c r="H28" s="574">
        <v>8.6999999999999993</v>
      </c>
      <c r="I28" s="574">
        <v>10</v>
      </c>
      <c r="J28" s="574">
        <v>4</v>
      </c>
      <c r="K28" s="574">
        <v>30.6</v>
      </c>
      <c r="L28" s="1508">
        <v>2549.9998000000001</v>
      </c>
      <c r="M28" s="574">
        <v>232</v>
      </c>
      <c r="N28" s="574">
        <v>131</v>
      </c>
      <c r="O28" s="574">
        <v>91.3</v>
      </c>
      <c r="P28" s="574">
        <v>157</v>
      </c>
      <c r="Q28" s="574">
        <v>28.6</v>
      </c>
      <c r="R28" s="574">
        <v>22.7</v>
      </c>
    </row>
    <row r="29" spans="1:18" ht="12.75">
      <c r="A29" s="1497" t="s">
        <v>2421</v>
      </c>
      <c r="B29" s="1497"/>
      <c r="C29" s="1506">
        <v>24</v>
      </c>
      <c r="D29" s="1507">
        <v>27.3</v>
      </c>
      <c r="E29" s="574">
        <v>240</v>
      </c>
      <c r="F29" s="574">
        <v>115</v>
      </c>
      <c r="G29" s="574">
        <v>5.6</v>
      </c>
      <c r="H29" s="574">
        <v>9.5</v>
      </c>
      <c r="I29" s="574">
        <v>10.5</v>
      </c>
      <c r="J29" s="574">
        <v>4</v>
      </c>
      <c r="K29" s="574">
        <v>34.799999999999997</v>
      </c>
      <c r="L29" s="1508">
        <v>3459.9998000000001</v>
      </c>
      <c r="M29" s="574">
        <v>289</v>
      </c>
      <c r="N29" s="574">
        <v>163</v>
      </c>
      <c r="O29" s="574">
        <v>99.7</v>
      </c>
      <c r="P29" s="574">
        <v>198</v>
      </c>
      <c r="Q29" s="574">
        <v>34.5</v>
      </c>
      <c r="R29" s="574">
        <v>23.7</v>
      </c>
    </row>
    <row r="30" spans="1:18" ht="12.75">
      <c r="A30" s="1497" t="s">
        <v>2421</v>
      </c>
      <c r="B30" s="1497"/>
      <c r="C30" s="1506">
        <v>27</v>
      </c>
      <c r="D30" s="1507">
        <v>31.5</v>
      </c>
      <c r="E30" s="574">
        <v>270</v>
      </c>
      <c r="F30" s="574">
        <v>125</v>
      </c>
      <c r="G30" s="574">
        <v>6</v>
      </c>
      <c r="H30" s="574">
        <v>9.8000000000000007</v>
      </c>
      <c r="I30" s="574">
        <v>11</v>
      </c>
      <c r="J30" s="574">
        <v>4.5</v>
      </c>
      <c r="K30" s="574">
        <v>40.200000000000003</v>
      </c>
      <c r="L30" s="1508">
        <v>5009.9994999999999</v>
      </c>
      <c r="M30" s="574">
        <v>371</v>
      </c>
      <c r="N30" s="574">
        <v>210</v>
      </c>
      <c r="O30" s="574">
        <v>112</v>
      </c>
      <c r="P30" s="574">
        <v>260</v>
      </c>
      <c r="Q30" s="574">
        <v>41.5</v>
      </c>
      <c r="R30" s="574">
        <v>25.4</v>
      </c>
    </row>
    <row r="31" spans="1:18" ht="12.75">
      <c r="A31" s="1497" t="s">
        <v>2421</v>
      </c>
      <c r="B31" s="1497"/>
      <c r="C31" s="1506">
        <v>30</v>
      </c>
      <c r="D31" s="1507">
        <v>36.5</v>
      </c>
      <c r="E31" s="574">
        <v>300</v>
      </c>
      <c r="F31" s="574">
        <v>135</v>
      </c>
      <c r="G31" s="574">
        <v>6.5</v>
      </c>
      <c r="H31" s="574">
        <v>10.199999999999999</v>
      </c>
      <c r="I31" s="574">
        <v>12</v>
      </c>
      <c r="J31" s="574">
        <v>5</v>
      </c>
      <c r="K31" s="574">
        <v>46.5</v>
      </c>
      <c r="L31" s="1508">
        <v>7079.9994999999999</v>
      </c>
      <c r="M31" s="574">
        <v>472</v>
      </c>
      <c r="N31" s="574">
        <v>268</v>
      </c>
      <c r="O31" s="574">
        <v>123</v>
      </c>
      <c r="P31" s="574">
        <v>337</v>
      </c>
      <c r="Q31" s="574">
        <v>49.9</v>
      </c>
      <c r="R31" s="574">
        <v>26.9</v>
      </c>
    </row>
    <row r="32" spans="1:18" ht="12.75">
      <c r="A32" s="1497" t="s">
        <v>2421</v>
      </c>
      <c r="B32" s="1497"/>
      <c r="C32" s="1506">
        <v>33</v>
      </c>
      <c r="D32" s="1507">
        <v>42.2</v>
      </c>
      <c r="E32" s="574">
        <v>330</v>
      </c>
      <c r="F32" s="574">
        <v>140</v>
      </c>
      <c r="G32" s="574">
        <v>7</v>
      </c>
      <c r="H32" s="574">
        <v>11.2</v>
      </c>
      <c r="I32" s="574">
        <v>13</v>
      </c>
      <c r="J32" s="574">
        <v>5</v>
      </c>
      <c r="K32" s="574">
        <v>53.8</v>
      </c>
      <c r="L32" s="1508">
        <v>9839.9989999999998</v>
      </c>
      <c r="M32" s="1509">
        <v>596.99990000000003</v>
      </c>
      <c r="N32" s="574">
        <v>339</v>
      </c>
      <c r="O32" s="574">
        <v>135</v>
      </c>
      <c r="P32" s="574">
        <v>419</v>
      </c>
      <c r="Q32" s="574">
        <v>59.9</v>
      </c>
      <c r="R32" s="574">
        <v>27.9</v>
      </c>
    </row>
    <row r="33" spans="1:18" ht="12.75">
      <c r="A33" s="1497" t="s">
        <v>2421</v>
      </c>
      <c r="B33" s="1497"/>
      <c r="C33" s="1506">
        <v>36</v>
      </c>
      <c r="D33" s="1507">
        <v>48.6</v>
      </c>
      <c r="E33" s="574">
        <v>360</v>
      </c>
      <c r="F33" s="574">
        <v>145</v>
      </c>
      <c r="G33" s="574">
        <v>7.5</v>
      </c>
      <c r="H33" s="574">
        <v>12.3</v>
      </c>
      <c r="I33" s="574">
        <v>14</v>
      </c>
      <c r="J33" s="574">
        <v>6</v>
      </c>
      <c r="K33" s="574">
        <v>61.9</v>
      </c>
      <c r="L33" s="1508">
        <v>13379.999</v>
      </c>
      <c r="M33" s="1509">
        <v>742.99990000000003</v>
      </c>
      <c r="N33" s="574">
        <v>423</v>
      </c>
      <c r="O33" s="574">
        <v>147</v>
      </c>
      <c r="P33" s="1509">
        <v>515.99990000000003</v>
      </c>
      <c r="Q33" s="574">
        <v>71.099999999999994</v>
      </c>
      <c r="R33" s="574">
        <v>28.9</v>
      </c>
    </row>
    <row r="34" spans="1:18" ht="12.75">
      <c r="A34" s="1497" t="s">
        <v>2421</v>
      </c>
      <c r="B34" s="1497"/>
      <c r="C34" s="1506">
        <v>40</v>
      </c>
      <c r="D34" s="1507">
        <v>57</v>
      </c>
      <c r="E34" s="574">
        <v>400</v>
      </c>
      <c r="F34" s="574">
        <v>155</v>
      </c>
      <c r="G34" s="574">
        <v>8.3000000000000007</v>
      </c>
      <c r="H34" s="574">
        <v>13</v>
      </c>
      <c r="I34" s="574">
        <v>15</v>
      </c>
      <c r="J34" s="574">
        <v>6</v>
      </c>
      <c r="K34" s="574">
        <v>72.599999999999994</v>
      </c>
      <c r="L34" s="1508">
        <v>19061.998</v>
      </c>
      <c r="M34" s="1509">
        <v>952.99990000000003</v>
      </c>
      <c r="N34" s="1509">
        <v>544.99990000000003</v>
      </c>
      <c r="O34" s="574">
        <v>162</v>
      </c>
      <c r="P34" s="1509">
        <v>666.99990000000003</v>
      </c>
      <c r="Q34" s="574">
        <v>86.1</v>
      </c>
      <c r="R34" s="574">
        <v>30.3</v>
      </c>
    </row>
    <row r="35" spans="1:18" ht="12.75">
      <c r="A35" s="1497" t="s">
        <v>2421</v>
      </c>
      <c r="B35" s="1497"/>
      <c r="C35" s="1506">
        <v>45</v>
      </c>
      <c r="D35" s="1507">
        <v>66.5</v>
      </c>
      <c r="E35" s="574">
        <v>450</v>
      </c>
      <c r="F35" s="574">
        <v>160</v>
      </c>
      <c r="G35" s="574">
        <v>9</v>
      </c>
      <c r="H35" s="574">
        <v>14.2</v>
      </c>
      <c r="I35" s="574">
        <v>16</v>
      </c>
      <c r="J35" s="574">
        <v>7</v>
      </c>
      <c r="K35" s="574">
        <v>84.7</v>
      </c>
      <c r="L35" s="1508">
        <v>27695.998</v>
      </c>
      <c r="M35" s="574">
        <v>1230.9999</v>
      </c>
      <c r="N35" s="1509">
        <v>707.99990000000003</v>
      </c>
      <c r="O35" s="574">
        <v>181</v>
      </c>
      <c r="P35" s="1509">
        <v>807.99990000000003</v>
      </c>
      <c r="Q35" s="574">
        <v>101</v>
      </c>
      <c r="R35" s="574">
        <v>30.9</v>
      </c>
    </row>
    <row r="36" spans="1:18" ht="12.75">
      <c r="A36" s="1497" t="s">
        <v>2421</v>
      </c>
      <c r="B36" s="1497"/>
      <c r="C36" s="1506">
        <v>50</v>
      </c>
      <c r="D36" s="1507">
        <v>78.5</v>
      </c>
      <c r="E36" s="574">
        <v>500</v>
      </c>
      <c r="F36" s="574">
        <v>170</v>
      </c>
      <c r="G36" s="574">
        <v>10</v>
      </c>
      <c r="H36" s="574">
        <v>15.2</v>
      </c>
      <c r="I36" s="574">
        <v>17</v>
      </c>
      <c r="J36" s="574">
        <v>7</v>
      </c>
      <c r="K36" s="574">
        <v>100</v>
      </c>
      <c r="L36" s="1508">
        <v>39726.996099999997</v>
      </c>
      <c r="M36" s="574">
        <v>1588.9999</v>
      </c>
      <c r="N36" s="1509">
        <v>918.99990000000003</v>
      </c>
      <c r="O36" s="574">
        <v>199</v>
      </c>
      <c r="P36" s="574">
        <v>1042.9999</v>
      </c>
      <c r="Q36" s="574">
        <v>123</v>
      </c>
      <c r="R36" s="574">
        <v>32.299999999999997</v>
      </c>
    </row>
    <row r="37" spans="1:18" ht="12.75">
      <c r="A37" s="1497" t="s">
        <v>2421</v>
      </c>
      <c r="B37" s="1497"/>
      <c r="C37" s="1506">
        <v>55</v>
      </c>
      <c r="D37" s="1507">
        <v>92.6</v>
      </c>
      <c r="E37" s="574">
        <v>550</v>
      </c>
      <c r="F37" s="574">
        <v>180</v>
      </c>
      <c r="G37" s="574">
        <v>11</v>
      </c>
      <c r="H37" s="574">
        <v>16.5</v>
      </c>
      <c r="I37" s="574">
        <v>18</v>
      </c>
      <c r="J37" s="574">
        <v>7</v>
      </c>
      <c r="K37" s="574">
        <v>118</v>
      </c>
      <c r="L37" s="1508">
        <v>55961.992200000001</v>
      </c>
      <c r="M37" s="574">
        <v>2034.9999</v>
      </c>
      <c r="N37" s="574">
        <v>1180.9999</v>
      </c>
      <c r="O37" s="574">
        <v>218</v>
      </c>
      <c r="P37" s="574">
        <v>1355.9999</v>
      </c>
      <c r="Q37" s="574">
        <v>151</v>
      </c>
      <c r="R37" s="574">
        <v>33.9</v>
      </c>
    </row>
    <row r="38" spans="1:18" ht="12.75">
      <c r="A38" s="1497" t="s">
        <v>2421</v>
      </c>
      <c r="B38" s="1497"/>
      <c r="C38" s="1506">
        <v>60</v>
      </c>
      <c r="D38" s="1507">
        <v>108</v>
      </c>
      <c r="E38" s="574">
        <v>600</v>
      </c>
      <c r="F38" s="574">
        <v>190</v>
      </c>
      <c r="G38" s="574">
        <v>12</v>
      </c>
      <c r="H38" s="574">
        <v>17.8</v>
      </c>
      <c r="I38" s="574">
        <v>20</v>
      </c>
      <c r="J38" s="574">
        <v>8</v>
      </c>
      <c r="K38" s="574">
        <v>138</v>
      </c>
      <c r="L38" s="1508">
        <v>76805.992199999993</v>
      </c>
      <c r="M38" s="574">
        <v>2559.9998000000001</v>
      </c>
      <c r="N38" s="574">
        <v>1490.9999</v>
      </c>
      <c r="O38" s="574">
        <v>236</v>
      </c>
      <c r="P38" s="574">
        <v>1724.9999</v>
      </c>
      <c r="Q38" s="574">
        <v>182</v>
      </c>
      <c r="R38" s="574">
        <v>35.4</v>
      </c>
    </row>
    <row r="39" spans="1:18" ht="12.75">
      <c r="A39" s="1510" t="s">
        <v>2402</v>
      </c>
      <c r="B39" s="1510"/>
      <c r="C39" s="1498" t="s">
        <v>2422</v>
      </c>
      <c r="D39" s="1499">
        <v>27.8</v>
      </c>
      <c r="E39" s="574">
        <v>239</v>
      </c>
      <c r="F39" s="574">
        <v>115</v>
      </c>
      <c r="G39" s="574">
        <v>5.5</v>
      </c>
      <c r="H39" s="574">
        <v>9.3000000000000007</v>
      </c>
      <c r="I39" s="574">
        <v>15</v>
      </c>
      <c r="K39" s="574">
        <v>35.450000000000003</v>
      </c>
      <c r="L39" s="1508">
        <v>3534.9998000000001</v>
      </c>
      <c r="M39" s="574">
        <v>295.8</v>
      </c>
      <c r="N39" s="574">
        <v>166.6</v>
      </c>
      <c r="O39" s="574">
        <v>99.9</v>
      </c>
      <c r="P39" s="574">
        <v>236.8</v>
      </c>
      <c r="Q39" s="574">
        <v>41.2</v>
      </c>
      <c r="R39" s="574">
        <v>25.8</v>
      </c>
    </row>
    <row r="40" spans="1:18" ht="12.75">
      <c r="A40" s="1510" t="s">
        <v>2402</v>
      </c>
      <c r="B40" s="1510"/>
      <c r="C40" s="1498" t="s">
        <v>2423</v>
      </c>
      <c r="D40" s="1499">
        <v>31.9</v>
      </c>
      <c r="E40" s="574">
        <v>269</v>
      </c>
      <c r="F40" s="574">
        <v>125</v>
      </c>
      <c r="G40" s="574">
        <v>6</v>
      </c>
      <c r="H40" s="574">
        <v>9.5</v>
      </c>
      <c r="I40" s="574">
        <v>15</v>
      </c>
      <c r="K40" s="574">
        <v>40.68</v>
      </c>
      <c r="L40" s="1508">
        <v>5067.9994999999999</v>
      </c>
      <c r="M40" s="574">
        <v>376.8</v>
      </c>
      <c r="N40" s="574">
        <v>212.7</v>
      </c>
      <c r="O40" s="574">
        <v>111.6</v>
      </c>
      <c r="P40" s="574">
        <v>310.5</v>
      </c>
      <c r="Q40" s="574">
        <v>49.7</v>
      </c>
      <c r="R40" s="574">
        <v>27.6</v>
      </c>
    </row>
    <row r="41" spans="1:18" ht="12.75">
      <c r="A41" s="1510" t="s">
        <v>2402</v>
      </c>
      <c r="B41" s="1510"/>
      <c r="C41" s="1498" t="s">
        <v>2424</v>
      </c>
      <c r="D41" s="1499">
        <v>49.1</v>
      </c>
      <c r="E41" s="574">
        <v>360</v>
      </c>
      <c r="F41" s="574">
        <v>145</v>
      </c>
      <c r="G41" s="574">
        <v>7.2</v>
      </c>
      <c r="H41" s="574">
        <v>12.3</v>
      </c>
      <c r="I41" s="574">
        <v>18</v>
      </c>
      <c r="K41" s="574">
        <v>62.6</v>
      </c>
      <c r="L41" s="1508">
        <v>13799.999</v>
      </c>
      <c r="M41" s="574">
        <v>766.4</v>
      </c>
      <c r="N41" s="574">
        <v>434.1</v>
      </c>
      <c r="O41" s="574">
        <v>148.4</v>
      </c>
      <c r="P41" s="1509">
        <v>627.59990000000005</v>
      </c>
      <c r="Q41" s="574">
        <v>86.6</v>
      </c>
      <c r="R41" s="574">
        <v>31.7</v>
      </c>
    </row>
    <row r="42" spans="1:18" ht="12.75">
      <c r="A42" s="1510" t="s">
        <v>2402</v>
      </c>
      <c r="B42" s="1510"/>
      <c r="C42" s="1498" t="s">
        <v>2425</v>
      </c>
      <c r="D42" s="1499">
        <v>33.6</v>
      </c>
      <c r="E42" s="574">
        <v>349</v>
      </c>
      <c r="F42" s="574">
        <v>127</v>
      </c>
      <c r="G42" s="574">
        <v>5.8</v>
      </c>
      <c r="H42" s="574">
        <v>8.5</v>
      </c>
      <c r="I42" s="574">
        <v>15</v>
      </c>
      <c r="K42" s="574">
        <v>42.78</v>
      </c>
      <c r="L42" s="1508">
        <v>8539.9989999999998</v>
      </c>
      <c r="M42" s="574">
        <v>489.4</v>
      </c>
      <c r="N42" s="574">
        <v>279.39999999999998</v>
      </c>
      <c r="O42" s="574">
        <v>141.30000000000001</v>
      </c>
      <c r="P42" s="574">
        <v>291.5</v>
      </c>
      <c r="Q42" s="574">
        <v>45.9</v>
      </c>
      <c r="R42" s="574">
        <v>26.1</v>
      </c>
    </row>
    <row r="43" spans="1:18" ht="12.75">
      <c r="A43" s="1510" t="s">
        <v>2402</v>
      </c>
      <c r="B43" s="1510"/>
      <c r="C43" s="1498" t="s">
        <v>2426</v>
      </c>
      <c r="D43" s="1499">
        <v>39.700000000000003</v>
      </c>
      <c r="E43" s="574">
        <v>399</v>
      </c>
      <c r="F43" s="574">
        <v>139</v>
      </c>
      <c r="G43" s="574">
        <v>6.2</v>
      </c>
      <c r="H43" s="574">
        <v>9</v>
      </c>
      <c r="I43" s="574">
        <v>15</v>
      </c>
      <c r="K43" s="574">
        <v>50.58</v>
      </c>
      <c r="L43" s="1508">
        <v>13049.999</v>
      </c>
      <c r="M43" s="574">
        <v>654.20000000000005</v>
      </c>
      <c r="N43" s="574">
        <v>374.5</v>
      </c>
      <c r="O43" s="574">
        <v>160.6</v>
      </c>
      <c r="P43" s="574">
        <v>404.4</v>
      </c>
      <c r="Q43" s="574">
        <v>58.2</v>
      </c>
      <c r="R43" s="574">
        <v>28.3</v>
      </c>
    </row>
    <row r="44" spans="1:18" ht="12.75">
      <c r="A44" s="1510" t="s">
        <v>2402</v>
      </c>
      <c r="B44" s="1510"/>
      <c r="C44" s="1498" t="s">
        <v>2427</v>
      </c>
      <c r="D44" s="1499">
        <v>52.6</v>
      </c>
      <c r="E44" s="574">
        <v>450</v>
      </c>
      <c r="F44" s="574">
        <v>152</v>
      </c>
      <c r="G44" s="574">
        <v>7.4</v>
      </c>
      <c r="H44" s="574">
        <v>11</v>
      </c>
      <c r="I44" s="574">
        <v>15</v>
      </c>
      <c r="K44" s="574">
        <v>67.05</v>
      </c>
      <c r="L44" s="1508">
        <v>21809.998</v>
      </c>
      <c r="M44" s="574">
        <v>969.2</v>
      </c>
      <c r="N44" s="574">
        <v>556.79999999999995</v>
      </c>
      <c r="O44" s="574">
        <v>180.4</v>
      </c>
      <c r="P44" s="574">
        <v>646.20000000000005</v>
      </c>
      <c r="Q44" s="574">
        <v>85</v>
      </c>
      <c r="R44" s="574">
        <v>31</v>
      </c>
    </row>
    <row r="45" spans="1:18" ht="12.75">
      <c r="A45" s="1510" t="s">
        <v>2402</v>
      </c>
      <c r="B45" s="1510"/>
      <c r="C45" s="1498" t="s">
        <v>2428</v>
      </c>
      <c r="D45" s="1499">
        <v>65</v>
      </c>
      <c r="E45" s="574">
        <v>450</v>
      </c>
      <c r="F45" s="574">
        <v>180</v>
      </c>
      <c r="G45" s="574">
        <v>7.6</v>
      </c>
      <c r="H45" s="574">
        <v>13.3</v>
      </c>
      <c r="I45" s="574">
        <v>18</v>
      </c>
      <c r="K45" s="574">
        <v>82.8</v>
      </c>
      <c r="L45" s="1508">
        <v>28839.998</v>
      </c>
      <c r="M45" s="574">
        <v>1279.9999</v>
      </c>
      <c r="N45" s="1509">
        <v>721.99990000000003</v>
      </c>
      <c r="O45" s="574">
        <v>187</v>
      </c>
      <c r="P45" s="574">
        <v>1299.9999</v>
      </c>
      <c r="Q45" s="574">
        <v>144</v>
      </c>
      <c r="R45" s="574">
        <v>39.6</v>
      </c>
    </row>
    <row r="46" spans="1:18" ht="12.75">
      <c r="A46" s="1510" t="s">
        <v>2402</v>
      </c>
      <c r="B46" s="1510"/>
      <c r="C46" s="1498" t="s">
        <v>2429</v>
      </c>
      <c r="D46" s="1499">
        <v>72.7</v>
      </c>
      <c r="E46" s="574">
        <v>300.60000000000002</v>
      </c>
      <c r="F46" s="574">
        <v>201.9</v>
      </c>
      <c r="G46" s="574">
        <v>9.4</v>
      </c>
      <c r="H46" s="574">
        <v>16</v>
      </c>
      <c r="I46" s="574">
        <v>18</v>
      </c>
      <c r="K46" s="574">
        <v>92.6</v>
      </c>
      <c r="L46" s="1508">
        <v>15089.998</v>
      </c>
      <c r="M46" s="1509">
        <v>999.99990000000003</v>
      </c>
      <c r="N46" s="1509">
        <v>562.99990000000003</v>
      </c>
      <c r="O46" s="574">
        <v>128</v>
      </c>
      <c r="P46" s="574">
        <v>2199.9998000000001</v>
      </c>
      <c r="Q46" s="574">
        <v>218</v>
      </c>
      <c r="R46" s="574">
        <v>48.7</v>
      </c>
    </row>
    <row r="47" spans="1:18" ht="12.75">
      <c r="A47" s="1510" t="s">
        <v>2402</v>
      </c>
      <c r="B47" s="1510"/>
      <c r="C47" s="1498" t="s">
        <v>2430</v>
      </c>
      <c r="D47" s="1499">
        <v>124</v>
      </c>
      <c r="E47" s="574">
        <v>397.6</v>
      </c>
      <c r="F47" s="574">
        <v>302</v>
      </c>
      <c r="G47" s="574">
        <v>11.5</v>
      </c>
      <c r="H47" s="574">
        <v>18.7</v>
      </c>
      <c r="I47" s="574">
        <v>22</v>
      </c>
      <c r="K47" s="574">
        <v>159</v>
      </c>
      <c r="L47" s="1508">
        <v>46329.996099999997</v>
      </c>
      <c r="M47" s="574">
        <v>2329.9998000000001</v>
      </c>
      <c r="N47" s="574">
        <v>1289.9999</v>
      </c>
      <c r="O47" s="574">
        <v>171</v>
      </c>
      <c r="P47" s="1509">
        <v>8589.9989999999998</v>
      </c>
      <c r="Q47" s="1509">
        <v>568.99990000000003</v>
      </c>
      <c r="R47" s="574">
        <v>73.599999999999994</v>
      </c>
    </row>
    <row r="48" spans="1:18" ht="12.75">
      <c r="A48" s="1510" t="s">
        <v>2402</v>
      </c>
      <c r="B48" s="1510"/>
      <c r="C48" s="1498" t="s">
        <v>2431</v>
      </c>
      <c r="D48" s="1499">
        <v>155</v>
      </c>
      <c r="E48" s="574">
        <v>496.2</v>
      </c>
      <c r="F48" s="574">
        <v>303.8</v>
      </c>
      <c r="G48" s="574">
        <v>14.2</v>
      </c>
      <c r="H48" s="574">
        <v>21</v>
      </c>
      <c r="I48" s="574">
        <v>26</v>
      </c>
      <c r="K48" s="574">
        <v>198</v>
      </c>
      <c r="L48" s="1508">
        <v>86009.992199999993</v>
      </c>
      <c r="M48" s="574">
        <v>3469.9998000000001</v>
      </c>
      <c r="N48" s="574">
        <v>1949.9999</v>
      </c>
      <c r="O48" s="574">
        <v>208</v>
      </c>
      <c r="P48" s="1509">
        <v>9829.9989999999998</v>
      </c>
      <c r="Q48" s="1509">
        <v>646.99990000000003</v>
      </c>
      <c r="R48" s="574">
        <v>70.5</v>
      </c>
    </row>
    <row r="49" spans="1:18" ht="12.75">
      <c r="A49" s="1510" t="s">
        <v>2402</v>
      </c>
      <c r="C49" s="1498" t="s">
        <v>2432</v>
      </c>
      <c r="D49" s="574">
        <v>8.1</v>
      </c>
      <c r="E49" s="574">
        <v>100</v>
      </c>
      <c r="F49" s="574">
        <v>55</v>
      </c>
      <c r="G49" s="574">
        <v>4.0999999999999996</v>
      </c>
      <c r="H49" s="574">
        <v>5.7</v>
      </c>
      <c r="I49" s="574">
        <v>7</v>
      </c>
      <c r="K49" s="574">
        <v>10.32</v>
      </c>
      <c r="L49" s="1508">
        <v>171</v>
      </c>
      <c r="M49" s="574">
        <v>34.200000000000003</v>
      </c>
      <c r="N49" s="574">
        <v>19.7</v>
      </c>
      <c r="O49" s="574">
        <v>40.700000000000003</v>
      </c>
      <c r="P49" s="574">
        <v>15.9</v>
      </c>
      <c r="Q49" s="574">
        <v>5.8</v>
      </c>
      <c r="R49" s="574">
        <v>12.4</v>
      </c>
    </row>
    <row r="50" spans="1:18" ht="12.75">
      <c r="A50" s="1510" t="s">
        <v>2402</v>
      </c>
      <c r="C50" s="1498" t="s">
        <v>2433</v>
      </c>
      <c r="D50" s="574">
        <v>8.6999999999999993</v>
      </c>
      <c r="E50" s="574">
        <v>117.6</v>
      </c>
      <c r="F50" s="574">
        <v>64</v>
      </c>
      <c r="G50" s="574">
        <v>3.8</v>
      </c>
      <c r="H50" s="574">
        <v>5.0999999999999996</v>
      </c>
      <c r="I50" s="574">
        <v>7</v>
      </c>
      <c r="K50" s="574">
        <v>11.03</v>
      </c>
      <c r="L50" s="1508">
        <v>257</v>
      </c>
      <c r="M50" s="574">
        <v>43.8</v>
      </c>
      <c r="N50" s="574">
        <v>24.9</v>
      </c>
      <c r="O50" s="574">
        <v>48.3</v>
      </c>
      <c r="P50" s="574">
        <v>22.4</v>
      </c>
      <c r="Q50" s="574">
        <v>7</v>
      </c>
      <c r="R50" s="574">
        <v>14.2</v>
      </c>
    </row>
    <row r="51" spans="1:18" ht="12.75">
      <c r="A51" s="1510" t="s">
        <v>2402</v>
      </c>
      <c r="C51" s="1498" t="s">
        <v>2434</v>
      </c>
      <c r="D51" s="574">
        <v>10.4</v>
      </c>
      <c r="E51" s="574">
        <v>120</v>
      </c>
      <c r="F51" s="574">
        <v>64</v>
      </c>
      <c r="G51" s="574">
        <v>4.4000000000000004</v>
      </c>
      <c r="H51" s="574">
        <v>6.3</v>
      </c>
      <c r="I51" s="574">
        <v>7</v>
      </c>
      <c r="K51" s="574">
        <v>13.21</v>
      </c>
      <c r="L51" s="1508">
        <v>318</v>
      </c>
      <c r="M51" s="574">
        <v>53</v>
      </c>
      <c r="N51" s="574">
        <v>30.4</v>
      </c>
      <c r="O51" s="574">
        <v>49</v>
      </c>
      <c r="P51" s="574">
        <v>27.7</v>
      </c>
      <c r="Q51" s="574">
        <v>8.6</v>
      </c>
      <c r="R51" s="574">
        <v>14.5</v>
      </c>
    </row>
    <row r="52" spans="1:18" ht="12.75">
      <c r="A52" s="1510" t="s">
        <v>2402</v>
      </c>
      <c r="C52" s="1498" t="s">
        <v>2435</v>
      </c>
      <c r="D52" s="574">
        <v>10.5</v>
      </c>
      <c r="E52" s="574">
        <v>137.4</v>
      </c>
      <c r="F52" s="574">
        <v>73</v>
      </c>
      <c r="G52" s="574">
        <v>3.8</v>
      </c>
      <c r="H52" s="574">
        <v>5.6</v>
      </c>
      <c r="I52" s="574">
        <v>7</v>
      </c>
      <c r="K52" s="574">
        <v>13.39</v>
      </c>
      <c r="L52" s="1508">
        <v>435</v>
      </c>
      <c r="M52" s="574">
        <v>63.3</v>
      </c>
      <c r="N52" s="574">
        <v>35.799999999999997</v>
      </c>
      <c r="O52" s="574">
        <v>57</v>
      </c>
      <c r="P52" s="574">
        <v>36.4</v>
      </c>
      <c r="Q52" s="574">
        <v>10</v>
      </c>
      <c r="R52" s="574">
        <v>16.5</v>
      </c>
    </row>
    <row r="53" spans="1:18" ht="12.75">
      <c r="A53" s="1510" t="s">
        <v>2402</v>
      </c>
      <c r="C53" s="1498" t="s">
        <v>2436</v>
      </c>
      <c r="D53" s="574">
        <v>12.9</v>
      </c>
      <c r="E53" s="574">
        <v>140</v>
      </c>
      <c r="F53" s="574">
        <v>73</v>
      </c>
      <c r="G53" s="574">
        <v>4.7</v>
      </c>
      <c r="H53" s="574">
        <v>6.9</v>
      </c>
      <c r="I53" s="574">
        <v>7</v>
      </c>
      <c r="K53" s="574">
        <v>16.43</v>
      </c>
      <c r="L53" s="1508">
        <v>540.99990000000003</v>
      </c>
      <c r="M53" s="574">
        <v>77.3</v>
      </c>
      <c r="N53" s="574">
        <v>44.2</v>
      </c>
      <c r="O53" s="574">
        <v>57.4</v>
      </c>
      <c r="P53" s="574">
        <v>44.9</v>
      </c>
      <c r="Q53" s="574">
        <v>12.3</v>
      </c>
      <c r="R53" s="574">
        <v>16.5</v>
      </c>
    </row>
    <row r="54" spans="1:18" ht="12.75">
      <c r="A54" s="1510" t="s">
        <v>2402</v>
      </c>
      <c r="C54" s="1498" t="s">
        <v>2437</v>
      </c>
      <c r="D54" s="574">
        <v>12.7</v>
      </c>
      <c r="E54" s="574">
        <v>157</v>
      </c>
      <c r="F54" s="574">
        <v>82</v>
      </c>
      <c r="G54" s="574">
        <v>4</v>
      </c>
      <c r="H54" s="574">
        <v>5.9</v>
      </c>
      <c r="I54" s="574">
        <v>9</v>
      </c>
      <c r="K54" s="574">
        <v>16.18</v>
      </c>
      <c r="L54" s="1508">
        <v>688.99990000000003</v>
      </c>
      <c r="M54" s="574">
        <v>87.8</v>
      </c>
      <c r="N54" s="574">
        <v>49.5</v>
      </c>
      <c r="O54" s="574">
        <v>65.3</v>
      </c>
      <c r="P54" s="574">
        <v>54.4</v>
      </c>
      <c r="Q54" s="574">
        <v>13.3</v>
      </c>
      <c r="R54" s="574">
        <v>18.3</v>
      </c>
    </row>
    <row r="55" spans="1:18" ht="12.75">
      <c r="A55" s="1510" t="s">
        <v>2402</v>
      </c>
      <c r="C55" s="1498" t="s">
        <v>2438</v>
      </c>
      <c r="D55" s="574">
        <v>15.8</v>
      </c>
      <c r="E55" s="574">
        <v>160</v>
      </c>
      <c r="F55" s="574">
        <v>82</v>
      </c>
      <c r="G55" s="574">
        <v>5</v>
      </c>
      <c r="H55" s="574">
        <v>7.4</v>
      </c>
      <c r="I55" s="574">
        <v>9</v>
      </c>
      <c r="K55" s="574">
        <v>20.09</v>
      </c>
      <c r="L55" s="1508">
        <v>868.99990000000003</v>
      </c>
      <c r="M55" s="574">
        <v>108.7</v>
      </c>
      <c r="N55" s="574">
        <v>61.9</v>
      </c>
      <c r="O55" s="574">
        <v>65.8</v>
      </c>
      <c r="P55" s="574">
        <v>68.3</v>
      </c>
      <c r="Q55" s="574">
        <v>16.600000000000001</v>
      </c>
      <c r="R55" s="574">
        <v>18.399999999999999</v>
      </c>
    </row>
    <row r="56" spans="1:18" ht="12.75">
      <c r="A56" s="1510" t="s">
        <v>2402</v>
      </c>
      <c r="C56" s="1498" t="s">
        <v>2439</v>
      </c>
      <c r="D56" s="574">
        <v>15.4</v>
      </c>
      <c r="E56" s="574">
        <v>177</v>
      </c>
      <c r="F56" s="574">
        <v>91</v>
      </c>
      <c r="G56" s="574">
        <v>4.3</v>
      </c>
      <c r="H56" s="574">
        <v>6.5</v>
      </c>
      <c r="I56" s="574">
        <v>9</v>
      </c>
      <c r="K56" s="574">
        <v>19.579999999999998</v>
      </c>
      <c r="L56" s="1508">
        <v>1062.9999</v>
      </c>
      <c r="M56" s="574">
        <v>120.1</v>
      </c>
      <c r="N56" s="574">
        <v>67.7</v>
      </c>
      <c r="O56" s="574">
        <v>73.7</v>
      </c>
      <c r="P56" s="574">
        <v>81.900000000000006</v>
      </c>
      <c r="Q56" s="574">
        <v>18</v>
      </c>
      <c r="R56" s="574">
        <v>20.399999999999999</v>
      </c>
    </row>
    <row r="57" spans="1:18" ht="12.75">
      <c r="A57" s="1510" t="s">
        <v>2402</v>
      </c>
      <c r="C57" s="1498" t="s">
        <v>2440</v>
      </c>
      <c r="D57" s="574">
        <v>18.8</v>
      </c>
      <c r="E57" s="574">
        <v>180</v>
      </c>
      <c r="F57" s="574">
        <v>91</v>
      </c>
      <c r="G57" s="574">
        <v>5.3</v>
      </c>
      <c r="H57" s="574">
        <v>8</v>
      </c>
      <c r="I57" s="574">
        <v>9</v>
      </c>
      <c r="K57" s="574">
        <v>23.95</v>
      </c>
      <c r="L57" s="1508">
        <v>1316.9999</v>
      </c>
      <c r="M57" s="574">
        <v>146.30000000000001</v>
      </c>
      <c r="N57" s="574">
        <v>83.2</v>
      </c>
      <c r="O57" s="574">
        <v>74.099999999999994</v>
      </c>
      <c r="P57" s="574">
        <v>100.8</v>
      </c>
      <c r="Q57" s="574">
        <v>22.2</v>
      </c>
      <c r="R57" s="574">
        <v>20.5</v>
      </c>
    </row>
    <row r="58" spans="1:18" ht="12.75">
      <c r="A58" s="1510" t="s">
        <v>2402</v>
      </c>
      <c r="C58" s="1498" t="s">
        <v>2441</v>
      </c>
      <c r="D58" s="574">
        <v>22.4</v>
      </c>
      <c r="E58" s="574">
        <v>200</v>
      </c>
      <c r="F58" s="574">
        <v>100</v>
      </c>
      <c r="G58" s="574">
        <v>5.6</v>
      </c>
      <c r="H58" s="574">
        <v>8.5</v>
      </c>
      <c r="I58" s="574">
        <v>12</v>
      </c>
      <c r="K58" s="574">
        <v>28.49</v>
      </c>
      <c r="L58" s="1508">
        <v>1942.9998000000001</v>
      </c>
      <c r="M58" s="574">
        <v>194.3</v>
      </c>
      <c r="N58" s="574">
        <v>110.3</v>
      </c>
      <c r="O58" s="574">
        <v>82.6</v>
      </c>
      <c r="P58" s="574">
        <v>142.30000000000001</v>
      </c>
      <c r="Q58" s="574">
        <v>28.5</v>
      </c>
      <c r="R58" s="574">
        <v>22.3</v>
      </c>
    </row>
    <row r="59" spans="1:18" ht="12.75">
      <c r="A59" s="1510" t="s">
        <v>2402</v>
      </c>
      <c r="C59" s="1498" t="s">
        <v>2442</v>
      </c>
      <c r="D59" s="574">
        <v>25.8</v>
      </c>
      <c r="E59" s="574">
        <v>230</v>
      </c>
      <c r="F59" s="574">
        <v>110</v>
      </c>
      <c r="G59" s="574">
        <v>5.6</v>
      </c>
      <c r="H59" s="574">
        <v>9</v>
      </c>
      <c r="I59" s="574">
        <v>12</v>
      </c>
      <c r="K59" s="574">
        <v>32.909999999999997</v>
      </c>
      <c r="L59" s="1508">
        <v>2995.9998000000001</v>
      </c>
      <c r="M59" s="574">
        <v>260.5</v>
      </c>
      <c r="N59" s="574">
        <v>147.19999999999999</v>
      </c>
      <c r="O59" s="574">
        <v>95.4</v>
      </c>
      <c r="P59" s="574">
        <v>200.3</v>
      </c>
      <c r="Q59" s="574">
        <v>36.4</v>
      </c>
      <c r="R59" s="574">
        <v>24.7</v>
      </c>
    </row>
    <row r="60" spans="1:18" ht="12.75">
      <c r="A60" s="1510" t="s">
        <v>2402</v>
      </c>
      <c r="C60" s="1498" t="s">
        <v>2443</v>
      </c>
      <c r="D60" s="574">
        <v>28</v>
      </c>
      <c r="E60" s="574">
        <v>258</v>
      </c>
      <c r="F60" s="574">
        <v>120</v>
      </c>
      <c r="G60" s="574">
        <v>5.8</v>
      </c>
      <c r="H60" s="574">
        <v>8.5</v>
      </c>
      <c r="I60" s="574">
        <v>12</v>
      </c>
      <c r="K60" s="574">
        <v>35.619999999999997</v>
      </c>
      <c r="L60" s="1508">
        <v>4023.9994999999999</v>
      </c>
      <c r="M60" s="574">
        <v>312</v>
      </c>
      <c r="N60" s="574">
        <v>176.6</v>
      </c>
      <c r="O60" s="574">
        <v>106.3</v>
      </c>
      <c r="P60" s="574">
        <v>245.6</v>
      </c>
      <c r="Q60" s="574">
        <v>40.9</v>
      </c>
      <c r="R60" s="574">
        <v>26.3</v>
      </c>
    </row>
    <row r="61" spans="1:18" ht="12.75">
      <c r="A61" s="1510" t="s">
        <v>2402</v>
      </c>
      <c r="C61" s="1498" t="s">
        <v>2444</v>
      </c>
      <c r="D61" s="574">
        <v>31.2</v>
      </c>
      <c r="E61" s="574">
        <v>261</v>
      </c>
      <c r="F61" s="574">
        <v>120</v>
      </c>
      <c r="G61" s="574">
        <v>6</v>
      </c>
      <c r="H61" s="574">
        <v>10</v>
      </c>
      <c r="I61" s="574">
        <v>12</v>
      </c>
      <c r="K61" s="574">
        <v>39.700000000000003</v>
      </c>
      <c r="L61" s="1508">
        <v>4653.9994999999999</v>
      </c>
      <c r="M61" s="574">
        <v>356.6</v>
      </c>
      <c r="N61" s="574">
        <v>201.5</v>
      </c>
      <c r="O61" s="574">
        <v>108.3</v>
      </c>
      <c r="P61" s="574">
        <v>288.8</v>
      </c>
      <c r="Q61" s="574">
        <v>48.1</v>
      </c>
      <c r="R61" s="574">
        <v>27</v>
      </c>
    </row>
    <row r="62" spans="1:18" ht="12.75">
      <c r="A62" s="1510" t="s">
        <v>2402</v>
      </c>
      <c r="C62" s="1498" t="s">
        <v>2445</v>
      </c>
      <c r="D62" s="574">
        <v>32.9</v>
      </c>
      <c r="E62" s="574">
        <v>296</v>
      </c>
      <c r="F62" s="574">
        <v>140</v>
      </c>
      <c r="G62" s="574">
        <v>5.8</v>
      </c>
      <c r="H62" s="574">
        <v>8.5</v>
      </c>
      <c r="I62" s="574">
        <v>15</v>
      </c>
      <c r="K62" s="574">
        <v>41.92</v>
      </c>
      <c r="L62" s="1508">
        <v>6327.9994999999999</v>
      </c>
      <c r="M62" s="574">
        <v>427</v>
      </c>
      <c r="N62" s="574">
        <v>240</v>
      </c>
      <c r="O62" s="574">
        <v>122.9</v>
      </c>
      <c r="P62" s="574">
        <v>390</v>
      </c>
      <c r="Q62" s="574">
        <v>55.7</v>
      </c>
      <c r="R62" s="574">
        <v>30.5</v>
      </c>
    </row>
    <row r="63" spans="1:18" ht="12.75">
      <c r="A63" s="1510" t="s">
        <v>2402</v>
      </c>
      <c r="C63" s="1498" t="s">
        <v>2446</v>
      </c>
      <c r="D63" s="574">
        <v>36.6</v>
      </c>
      <c r="E63" s="574">
        <v>299</v>
      </c>
      <c r="F63" s="574">
        <v>140</v>
      </c>
      <c r="G63" s="574">
        <v>6</v>
      </c>
      <c r="H63" s="574">
        <v>10</v>
      </c>
      <c r="I63" s="574">
        <v>15</v>
      </c>
      <c r="K63" s="574">
        <v>46.67</v>
      </c>
      <c r="L63" s="1508">
        <v>7292.9994999999999</v>
      </c>
      <c r="M63" s="574">
        <v>487.8</v>
      </c>
      <c r="N63" s="574">
        <v>273.8</v>
      </c>
      <c r="O63" s="574">
        <v>125</v>
      </c>
      <c r="P63" s="1511">
        <v>458.59989999999999</v>
      </c>
      <c r="Q63" s="574">
        <v>65.5</v>
      </c>
      <c r="R63" s="574">
        <v>31.3</v>
      </c>
    </row>
    <row r="64" spans="1:18" ht="12.75">
      <c r="A64" s="1510" t="s">
        <v>2402</v>
      </c>
      <c r="B64" s="1506" t="s">
        <v>2447</v>
      </c>
      <c r="C64" s="1498" t="s">
        <v>2448</v>
      </c>
      <c r="D64" s="574">
        <v>38.9</v>
      </c>
      <c r="E64" s="574">
        <v>346</v>
      </c>
      <c r="F64" s="574">
        <v>155</v>
      </c>
      <c r="G64" s="574">
        <v>6.2</v>
      </c>
      <c r="H64" s="574">
        <v>8.5</v>
      </c>
      <c r="I64" s="574">
        <v>18</v>
      </c>
      <c r="K64" s="574">
        <v>49.53</v>
      </c>
      <c r="L64" s="1508">
        <v>10059.999</v>
      </c>
      <c r="M64" s="574">
        <v>581.70000000000005</v>
      </c>
      <c r="N64" s="574">
        <v>328.6</v>
      </c>
      <c r="O64" s="574">
        <v>142.5</v>
      </c>
      <c r="P64" s="1511">
        <v>529.59990000000005</v>
      </c>
      <c r="Q64" s="574">
        <v>68.3</v>
      </c>
      <c r="R64" s="574">
        <v>32.700000000000003</v>
      </c>
    </row>
    <row r="65" spans="1:18" ht="12.75">
      <c r="A65" s="1510" t="s">
        <v>2402</v>
      </c>
      <c r="B65" s="1506"/>
      <c r="C65" s="1498" t="s">
        <v>2449</v>
      </c>
      <c r="D65" s="574">
        <v>43.3</v>
      </c>
      <c r="E65" s="574">
        <v>349</v>
      </c>
      <c r="F65" s="574">
        <v>155</v>
      </c>
      <c r="G65" s="574">
        <v>6.5</v>
      </c>
      <c r="H65" s="574">
        <v>10</v>
      </c>
      <c r="I65" s="574">
        <v>18</v>
      </c>
      <c r="K65" s="574">
        <v>55.17</v>
      </c>
      <c r="L65" s="1508">
        <v>11549.999</v>
      </c>
      <c r="M65" s="574">
        <v>662.2</v>
      </c>
      <c r="N65" s="574">
        <v>373</v>
      </c>
      <c r="O65" s="574">
        <v>144.69999999999999</v>
      </c>
      <c r="P65" s="574">
        <v>622.9</v>
      </c>
      <c r="Q65" s="574">
        <v>80.400000000000006</v>
      </c>
      <c r="R65" s="574">
        <v>33.6</v>
      </c>
    </row>
    <row r="66" spans="1:18" ht="12.75">
      <c r="A66" s="1510" t="s">
        <v>2402</v>
      </c>
      <c r="B66" s="1506" t="s">
        <v>2450</v>
      </c>
      <c r="C66" s="1498" t="s">
        <v>2451</v>
      </c>
      <c r="D66" s="574">
        <v>48.1</v>
      </c>
      <c r="E66" s="574">
        <v>392</v>
      </c>
      <c r="F66" s="574">
        <v>165</v>
      </c>
      <c r="G66" s="574">
        <v>7</v>
      </c>
      <c r="H66" s="574">
        <v>9.5</v>
      </c>
      <c r="I66" s="574">
        <v>21</v>
      </c>
      <c r="K66" s="574">
        <v>61.25</v>
      </c>
      <c r="L66" s="1508">
        <v>15749.998</v>
      </c>
      <c r="M66" s="1511">
        <v>803.59990000000005</v>
      </c>
      <c r="N66" s="574">
        <v>456</v>
      </c>
      <c r="O66" s="574">
        <v>160.30000000000001</v>
      </c>
      <c r="P66" s="1511">
        <v>714.8999</v>
      </c>
      <c r="Q66" s="574">
        <v>86.7</v>
      </c>
      <c r="R66" s="574">
        <v>34.200000000000003</v>
      </c>
    </row>
    <row r="67" spans="1:18" ht="12.75">
      <c r="A67" s="1510" t="s">
        <v>2402</v>
      </c>
      <c r="B67" s="1506" t="s">
        <v>2452</v>
      </c>
      <c r="C67" s="1498" t="s">
        <v>2453</v>
      </c>
      <c r="D67" s="574">
        <v>54.7</v>
      </c>
      <c r="E67" s="574">
        <v>396</v>
      </c>
      <c r="F67" s="574">
        <v>165</v>
      </c>
      <c r="G67" s="574">
        <v>7.5</v>
      </c>
      <c r="H67" s="574">
        <v>11.5</v>
      </c>
      <c r="I67" s="574">
        <v>21</v>
      </c>
      <c r="K67" s="574">
        <v>69.72</v>
      </c>
      <c r="L67" s="1508">
        <v>18529.998</v>
      </c>
      <c r="M67" s="574">
        <v>935.7</v>
      </c>
      <c r="N67" s="574">
        <v>529.70000000000005</v>
      </c>
      <c r="O67" s="574">
        <v>163</v>
      </c>
      <c r="P67" s="1509">
        <v>864.99990000000003</v>
      </c>
      <c r="Q67" s="574">
        <v>104.8</v>
      </c>
      <c r="R67" s="574">
        <v>35.200000000000003</v>
      </c>
    </row>
    <row r="68" spans="1:18" ht="12.75">
      <c r="A68" s="1510" t="s">
        <v>2402</v>
      </c>
      <c r="B68" s="1506" t="s">
        <v>2454</v>
      </c>
      <c r="C68" s="1498" t="s">
        <v>2455</v>
      </c>
      <c r="D68" s="574">
        <v>59.8</v>
      </c>
      <c r="E68" s="574">
        <v>443</v>
      </c>
      <c r="F68" s="574">
        <v>180</v>
      </c>
      <c r="G68" s="574">
        <v>7.8</v>
      </c>
      <c r="H68" s="574">
        <v>11</v>
      </c>
      <c r="I68" s="574">
        <v>21</v>
      </c>
      <c r="K68" s="574">
        <v>76.23</v>
      </c>
      <c r="L68" s="1508">
        <v>24939.998</v>
      </c>
      <c r="M68" s="574">
        <v>1125.7999</v>
      </c>
      <c r="N68" s="1511">
        <v>639.49990000000003</v>
      </c>
      <c r="O68" s="574">
        <v>180.9</v>
      </c>
      <c r="P68" s="574">
        <v>1073.6998000000001</v>
      </c>
      <c r="Q68" s="574">
        <v>119.3</v>
      </c>
      <c r="R68" s="574">
        <v>37.5</v>
      </c>
    </row>
    <row r="69" spans="1:18" ht="12.75">
      <c r="A69" s="1510" t="s">
        <v>2402</v>
      </c>
      <c r="C69" s="1498" t="s">
        <v>2456</v>
      </c>
      <c r="D69" s="574">
        <v>67.5</v>
      </c>
      <c r="E69" s="574">
        <v>447</v>
      </c>
      <c r="F69" s="574">
        <v>180</v>
      </c>
      <c r="G69" s="574">
        <v>8.4</v>
      </c>
      <c r="H69" s="574">
        <v>13</v>
      </c>
      <c r="I69" s="574">
        <v>21</v>
      </c>
      <c r="K69" s="574">
        <v>85.96</v>
      </c>
      <c r="L69" s="1508">
        <v>28869.998</v>
      </c>
      <c r="M69" s="574">
        <v>1291.8998999999999</v>
      </c>
      <c r="N69" s="574">
        <v>732.9</v>
      </c>
      <c r="O69" s="574">
        <v>183.2</v>
      </c>
      <c r="P69" s="574">
        <v>1268.9999</v>
      </c>
      <c r="Q69" s="574">
        <v>141</v>
      </c>
      <c r="R69" s="574">
        <v>38.4</v>
      </c>
    </row>
    <row r="70" spans="1:18" ht="12.75">
      <c r="A70" s="1510" t="s">
        <v>2402</v>
      </c>
      <c r="C70" s="1498" t="s">
        <v>2457</v>
      </c>
      <c r="D70" s="574">
        <v>73</v>
      </c>
      <c r="E70" s="574">
        <v>492</v>
      </c>
      <c r="F70" s="574">
        <v>200</v>
      </c>
      <c r="G70" s="574">
        <v>8.8000000000000007</v>
      </c>
      <c r="H70" s="574">
        <v>12</v>
      </c>
      <c r="I70" s="574">
        <v>21</v>
      </c>
      <c r="K70" s="574">
        <v>92.98</v>
      </c>
      <c r="L70" s="1508">
        <v>37159.996099999997</v>
      </c>
      <c r="M70" s="574">
        <v>1510.9999</v>
      </c>
      <c r="N70" s="574">
        <v>860.4</v>
      </c>
      <c r="O70" s="574">
        <v>199.9</v>
      </c>
      <c r="P70" s="574">
        <v>1605.9999</v>
      </c>
      <c r="Q70" s="574">
        <v>160.6</v>
      </c>
      <c r="R70" s="574">
        <v>41.6</v>
      </c>
    </row>
    <row r="71" spans="1:18" ht="12.75">
      <c r="A71" s="1510" t="s">
        <v>2402</v>
      </c>
      <c r="C71" s="1498" t="s">
        <v>2458</v>
      </c>
      <c r="D71" s="574">
        <v>80.7</v>
      </c>
      <c r="E71" s="574">
        <v>496</v>
      </c>
      <c r="F71" s="574">
        <v>200</v>
      </c>
      <c r="G71" s="574">
        <v>9.1999999999999993</v>
      </c>
      <c r="H71" s="574">
        <v>14</v>
      </c>
      <c r="I71" s="574">
        <v>21</v>
      </c>
      <c r="K71" s="574">
        <v>102.8</v>
      </c>
      <c r="L71" s="1508">
        <v>42389.996099999997</v>
      </c>
      <c r="M71" s="574">
        <v>1708.9999</v>
      </c>
      <c r="N71" s="574">
        <v>970.2</v>
      </c>
      <c r="O71" s="574">
        <v>203</v>
      </c>
      <c r="P71" s="574">
        <v>1872.9998000000001</v>
      </c>
      <c r="Q71" s="574">
        <v>187.3</v>
      </c>
      <c r="R71" s="574">
        <v>42.7</v>
      </c>
    </row>
    <row r="72" spans="1:18" ht="12.75">
      <c r="A72" s="1510" t="s">
        <v>2402</v>
      </c>
      <c r="C72" s="1498" t="s">
        <v>2459</v>
      </c>
      <c r="D72" s="574">
        <v>89</v>
      </c>
      <c r="E72" s="574">
        <v>543</v>
      </c>
      <c r="F72" s="574">
        <v>220</v>
      </c>
      <c r="G72" s="574">
        <v>9.5</v>
      </c>
      <c r="H72" s="574">
        <v>13.5</v>
      </c>
      <c r="I72" s="574">
        <v>24</v>
      </c>
      <c r="K72" s="574">
        <v>113.37</v>
      </c>
      <c r="L72" s="1508">
        <v>55679.996099999997</v>
      </c>
      <c r="M72" s="574">
        <v>2050.9998000000001</v>
      </c>
      <c r="N72" s="574">
        <v>1164.9999</v>
      </c>
      <c r="O72" s="574">
        <v>221.6</v>
      </c>
      <c r="P72" s="574">
        <v>2403.9998000000001</v>
      </c>
      <c r="Q72" s="574">
        <v>218.6</v>
      </c>
      <c r="R72" s="574">
        <v>46.1</v>
      </c>
    </row>
    <row r="73" spans="1:18" ht="12.75">
      <c r="A73" s="1510" t="s">
        <v>2402</v>
      </c>
      <c r="C73" s="1498" t="s">
        <v>2460</v>
      </c>
      <c r="D73" s="574">
        <v>97.9</v>
      </c>
      <c r="E73" s="574">
        <v>547</v>
      </c>
      <c r="F73" s="574">
        <v>220</v>
      </c>
      <c r="G73" s="574">
        <v>10</v>
      </c>
      <c r="H73" s="574">
        <v>15.5</v>
      </c>
      <c r="I73" s="574">
        <v>24</v>
      </c>
      <c r="K73" s="574">
        <v>124.75</v>
      </c>
      <c r="L73" s="1508">
        <v>62789.992200000001</v>
      </c>
      <c r="M73" s="574">
        <v>2295.9998000000001</v>
      </c>
      <c r="N73" s="574">
        <v>1301.9999</v>
      </c>
      <c r="O73" s="574">
        <v>224.3</v>
      </c>
      <c r="P73" s="574">
        <v>2759.9998000000001</v>
      </c>
      <c r="Q73" s="574">
        <v>250.9</v>
      </c>
      <c r="R73" s="574">
        <v>47</v>
      </c>
    </row>
    <row r="74" spans="1:18" ht="12.75">
      <c r="A74" s="1510" t="s">
        <v>2402</v>
      </c>
      <c r="C74" s="1498" t="s">
        <v>2461</v>
      </c>
      <c r="D74" s="574">
        <v>106.2</v>
      </c>
      <c r="E74" s="574">
        <v>593</v>
      </c>
      <c r="F74" s="574">
        <v>230</v>
      </c>
      <c r="G74" s="574">
        <v>10.5</v>
      </c>
      <c r="H74" s="574">
        <v>15.5</v>
      </c>
      <c r="I74" s="574">
        <v>24</v>
      </c>
      <c r="K74" s="574">
        <v>135.26</v>
      </c>
      <c r="L74" s="1508">
        <v>78759.992199999993</v>
      </c>
      <c r="M74" s="574">
        <v>2655.9998000000001</v>
      </c>
      <c r="N74" s="574">
        <v>1511.9999</v>
      </c>
      <c r="O74" s="574">
        <v>241.3</v>
      </c>
      <c r="P74" s="574">
        <v>3153.9998000000001</v>
      </c>
      <c r="Q74" s="574">
        <v>274.3</v>
      </c>
      <c r="R74" s="574">
        <v>48.3</v>
      </c>
    </row>
    <row r="75" spans="1:18" ht="12.75">
      <c r="A75" s="1510" t="s">
        <v>2402</v>
      </c>
      <c r="C75" s="1498" t="s">
        <v>2462</v>
      </c>
      <c r="D75" s="574">
        <v>115.6</v>
      </c>
      <c r="E75" s="574">
        <v>597</v>
      </c>
      <c r="F75" s="574">
        <v>230</v>
      </c>
      <c r="G75" s="574">
        <v>11</v>
      </c>
      <c r="H75" s="574">
        <v>17.5</v>
      </c>
      <c r="I75" s="574">
        <v>24</v>
      </c>
      <c r="K75" s="574">
        <v>147.30000000000001</v>
      </c>
      <c r="L75" s="1508">
        <v>87639.992199999993</v>
      </c>
      <c r="M75" s="574">
        <v>2935.9998000000001</v>
      </c>
      <c r="N75" s="574">
        <v>1668.9999</v>
      </c>
      <c r="O75" s="574">
        <v>243.9</v>
      </c>
      <c r="P75" s="574">
        <v>3560.9998000000001</v>
      </c>
      <c r="Q75" s="574">
        <v>309.60000000000002</v>
      </c>
      <c r="R75" s="574">
        <v>49.2</v>
      </c>
    </row>
    <row r="76" spans="1:18" ht="12.75">
      <c r="A76" s="1510" t="s">
        <v>2402</v>
      </c>
      <c r="C76" s="1498" t="s">
        <v>2463</v>
      </c>
      <c r="D76" s="574">
        <v>129.30000000000001</v>
      </c>
      <c r="E76" s="574">
        <v>691</v>
      </c>
      <c r="F76" s="574">
        <v>260</v>
      </c>
      <c r="G76" s="574">
        <v>12</v>
      </c>
      <c r="H76" s="574">
        <v>15.5</v>
      </c>
      <c r="I76" s="574">
        <v>24</v>
      </c>
      <c r="K76" s="574">
        <v>164.7</v>
      </c>
      <c r="L76" s="1508">
        <v>125929.9844</v>
      </c>
      <c r="M76" s="574">
        <v>3644.9998000000001</v>
      </c>
      <c r="N76" s="574">
        <v>2094.9998000000001</v>
      </c>
      <c r="O76" s="574">
        <v>276.5</v>
      </c>
      <c r="P76" s="574">
        <v>4555.9994999999999</v>
      </c>
      <c r="Q76" s="574">
        <v>350.5</v>
      </c>
      <c r="R76" s="574">
        <v>52.6</v>
      </c>
    </row>
    <row r="77" spans="1:18" ht="12.75">
      <c r="A77" s="1510" t="s">
        <v>2402</v>
      </c>
      <c r="C77" s="1498" t="s">
        <v>2464</v>
      </c>
      <c r="D77" s="574">
        <v>144.19999999999999</v>
      </c>
      <c r="E77" s="574">
        <v>697</v>
      </c>
      <c r="F77" s="574">
        <v>260</v>
      </c>
      <c r="G77" s="574">
        <v>12.5</v>
      </c>
      <c r="H77" s="574">
        <v>18.5</v>
      </c>
      <c r="I77" s="574">
        <v>24</v>
      </c>
      <c r="K77" s="574">
        <v>183.6</v>
      </c>
      <c r="L77" s="1508">
        <v>145911.98439999999</v>
      </c>
      <c r="M77" s="574">
        <v>4186.9994999999999</v>
      </c>
      <c r="N77" s="574">
        <v>2392.9998000000001</v>
      </c>
      <c r="O77" s="574">
        <v>281.89999999999998</v>
      </c>
      <c r="P77" s="574">
        <v>5436.9994999999999</v>
      </c>
      <c r="Q77" s="574">
        <v>418.2</v>
      </c>
      <c r="R77" s="574">
        <v>54.4</v>
      </c>
    </row>
    <row r="78" spans="1:18" ht="12.75">
      <c r="A78" s="1510" t="s">
        <v>2402</v>
      </c>
      <c r="C78" s="1498" t="s">
        <v>2465</v>
      </c>
      <c r="D78" s="574">
        <v>159.5</v>
      </c>
      <c r="E78" s="574">
        <v>791</v>
      </c>
      <c r="F78" s="574">
        <v>280</v>
      </c>
      <c r="G78" s="574">
        <v>13.5</v>
      </c>
      <c r="H78" s="574">
        <v>17</v>
      </c>
      <c r="I78" s="574">
        <v>26</v>
      </c>
      <c r="K78" s="574">
        <v>203.2</v>
      </c>
      <c r="L78" s="1508">
        <v>199499.9688</v>
      </c>
      <c r="M78" s="574">
        <v>5043.9994999999999</v>
      </c>
      <c r="N78" s="574">
        <v>2916.9998000000001</v>
      </c>
      <c r="O78" s="574">
        <v>313.3</v>
      </c>
      <c r="P78" s="574">
        <v>6243.9994999999999</v>
      </c>
      <c r="Q78" s="574">
        <v>446</v>
      </c>
      <c r="R78" s="574">
        <v>55.4</v>
      </c>
    </row>
    <row r="79" spans="1:18" ht="12.75">
      <c r="A79" s="1510" t="s">
        <v>2402</v>
      </c>
      <c r="C79" s="1498" t="s">
        <v>2466</v>
      </c>
      <c r="D79" s="574">
        <v>177.9</v>
      </c>
      <c r="E79" s="574">
        <v>798</v>
      </c>
      <c r="F79" s="574">
        <v>280</v>
      </c>
      <c r="G79" s="574">
        <v>14</v>
      </c>
      <c r="H79" s="574">
        <v>20.5</v>
      </c>
      <c r="I79" s="574">
        <v>26</v>
      </c>
      <c r="K79" s="574">
        <v>226.6</v>
      </c>
      <c r="L79" s="1508">
        <v>232199.9688</v>
      </c>
      <c r="M79" s="574">
        <v>5819.9994999999999</v>
      </c>
      <c r="N79" s="574">
        <v>3342.9998000000001</v>
      </c>
      <c r="O79" s="574">
        <v>320.10000000000002</v>
      </c>
      <c r="P79" s="1509">
        <v>7526.9989999999998</v>
      </c>
      <c r="Q79" s="574">
        <v>537.6</v>
      </c>
      <c r="R79" s="574">
        <v>57.6</v>
      </c>
    </row>
    <row r="80" spans="1:18" ht="12.75">
      <c r="A80" s="1510" t="s">
        <v>2402</v>
      </c>
      <c r="C80" s="1498" t="s">
        <v>2467</v>
      </c>
      <c r="D80" s="574">
        <v>194</v>
      </c>
      <c r="E80" s="574">
        <v>893</v>
      </c>
      <c r="F80" s="574">
        <v>300</v>
      </c>
      <c r="G80" s="574">
        <v>15</v>
      </c>
      <c r="H80" s="574">
        <v>18.5</v>
      </c>
      <c r="I80" s="574">
        <v>30</v>
      </c>
      <c r="K80" s="574">
        <v>247.1</v>
      </c>
      <c r="L80" s="1508">
        <v>304399.96879999997</v>
      </c>
      <c r="M80" s="574">
        <v>6816.9994999999999</v>
      </c>
      <c r="N80" s="574">
        <v>3963.9998000000001</v>
      </c>
      <c r="O80" s="574">
        <v>350.9</v>
      </c>
      <c r="P80" s="1509">
        <v>8364.9989999999998</v>
      </c>
      <c r="Q80" s="574">
        <v>557.6</v>
      </c>
      <c r="R80" s="574">
        <v>58.2</v>
      </c>
    </row>
    <row r="81" spans="1:18" ht="12.75">
      <c r="A81" s="1510" t="s">
        <v>2402</v>
      </c>
      <c r="C81" s="1498" t="s">
        <v>2468</v>
      </c>
      <c r="D81" s="574">
        <v>213.8</v>
      </c>
      <c r="E81" s="574">
        <v>900</v>
      </c>
      <c r="F81" s="574">
        <v>300</v>
      </c>
      <c r="G81" s="574">
        <v>15.5</v>
      </c>
      <c r="H81" s="574">
        <v>22</v>
      </c>
      <c r="I81" s="574">
        <v>30</v>
      </c>
      <c r="K81" s="574">
        <v>272.39999999999998</v>
      </c>
      <c r="L81" s="1508">
        <v>349199.96879999997</v>
      </c>
      <c r="M81" s="574">
        <v>7759.9994999999999</v>
      </c>
      <c r="N81" s="574">
        <v>4479.9994999999999</v>
      </c>
      <c r="O81" s="574">
        <v>358</v>
      </c>
      <c r="P81" s="1509">
        <v>9942.9989999999998</v>
      </c>
      <c r="Q81" s="1511">
        <v>662.79989999999998</v>
      </c>
      <c r="R81" s="574">
        <v>60.4</v>
      </c>
    </row>
    <row r="82" spans="1:18" ht="12.75">
      <c r="A82" s="1510" t="s">
        <v>2402</v>
      </c>
      <c r="C82" s="1498" t="s">
        <v>2469</v>
      </c>
      <c r="D82" s="574">
        <v>230.6</v>
      </c>
      <c r="E82" s="574">
        <v>990</v>
      </c>
      <c r="F82" s="574">
        <v>320</v>
      </c>
      <c r="G82" s="574">
        <v>16</v>
      </c>
      <c r="H82" s="574">
        <v>21</v>
      </c>
      <c r="I82" s="574">
        <v>30</v>
      </c>
      <c r="K82" s="574">
        <v>293.82</v>
      </c>
      <c r="L82" s="1508">
        <v>445999.9375</v>
      </c>
      <c r="M82" s="1509">
        <v>9010.9989999999998</v>
      </c>
      <c r="N82" s="574">
        <v>5233.9994999999999</v>
      </c>
      <c r="O82" s="574">
        <v>389.6</v>
      </c>
      <c r="P82" s="574">
        <v>11519.999</v>
      </c>
      <c r="Q82" s="574">
        <v>719.9</v>
      </c>
      <c r="R82" s="574">
        <v>62.6</v>
      </c>
    </row>
    <row r="83" spans="1:18" ht="12.75">
      <c r="A83" s="1510" t="s">
        <v>2402</v>
      </c>
      <c r="C83" s="1498" t="s">
        <v>2470</v>
      </c>
      <c r="D83" s="574">
        <v>258.2</v>
      </c>
      <c r="E83" s="574">
        <v>998</v>
      </c>
      <c r="F83" s="574">
        <v>320</v>
      </c>
      <c r="G83" s="574">
        <v>17</v>
      </c>
      <c r="H83" s="574">
        <v>25</v>
      </c>
      <c r="I83" s="574">
        <v>30</v>
      </c>
      <c r="K83" s="574">
        <v>328.9</v>
      </c>
      <c r="L83" s="1508">
        <v>516399.9375</v>
      </c>
      <c r="M83" s="574">
        <v>10349.999</v>
      </c>
      <c r="N83" s="574">
        <v>5979.9994999999999</v>
      </c>
      <c r="O83" s="574">
        <v>396.2</v>
      </c>
      <c r="P83" s="574">
        <v>13709.999</v>
      </c>
      <c r="Q83" s="574">
        <v>856.9</v>
      </c>
      <c r="R83" s="574">
        <v>64.599999999999994</v>
      </c>
    </row>
    <row r="84" spans="1:18" ht="12.75">
      <c r="A84" s="1510" t="s">
        <v>2402</v>
      </c>
      <c r="C84" s="1498" t="s">
        <v>2471</v>
      </c>
      <c r="D84" s="574">
        <v>285.7</v>
      </c>
      <c r="E84" s="574">
        <v>1006</v>
      </c>
      <c r="F84" s="574">
        <v>320</v>
      </c>
      <c r="G84" s="574">
        <v>18</v>
      </c>
      <c r="H84" s="574">
        <v>29</v>
      </c>
      <c r="I84" s="574">
        <v>30</v>
      </c>
      <c r="K84" s="574">
        <v>364</v>
      </c>
      <c r="L84" s="1508">
        <v>587699.9375</v>
      </c>
      <c r="M84" s="574">
        <v>11679.999</v>
      </c>
      <c r="N84" s="574">
        <v>6735.9994999999999</v>
      </c>
      <c r="O84" s="574">
        <v>401.8</v>
      </c>
      <c r="P84" s="574">
        <v>15899.998</v>
      </c>
      <c r="Q84" s="1511">
        <v>993.8999</v>
      </c>
      <c r="R84" s="574">
        <v>66.099999999999994</v>
      </c>
    </row>
    <row r="85" spans="1:18" ht="12.75">
      <c r="A85" s="1510" t="s">
        <v>2402</v>
      </c>
      <c r="C85" s="1498" t="s">
        <v>2472</v>
      </c>
      <c r="D85" s="574">
        <v>314.5</v>
      </c>
      <c r="E85" s="574">
        <v>1013</v>
      </c>
      <c r="F85" s="574">
        <v>320</v>
      </c>
      <c r="G85" s="574">
        <v>19.5</v>
      </c>
      <c r="H85" s="574">
        <v>32.5</v>
      </c>
      <c r="I85" s="574">
        <v>30</v>
      </c>
      <c r="K85" s="574">
        <v>400.6</v>
      </c>
      <c r="L85" s="1508">
        <v>655399.9375</v>
      </c>
      <c r="M85" s="574">
        <v>12939.999</v>
      </c>
      <c r="N85" s="574">
        <v>7469.9994999999999</v>
      </c>
      <c r="O85" s="574">
        <v>404.5</v>
      </c>
      <c r="P85" s="574">
        <v>17829.998</v>
      </c>
      <c r="Q85" s="574">
        <v>1114.2999</v>
      </c>
      <c r="R85" s="574">
        <v>66.7</v>
      </c>
    </row>
    <row r="86" spans="1:18" ht="12.75">
      <c r="A86" s="1510" t="s">
        <v>2402</v>
      </c>
      <c r="C86" s="1498" t="s">
        <v>2473</v>
      </c>
      <c r="D86" s="574">
        <v>30.6</v>
      </c>
      <c r="E86" s="574">
        <v>193</v>
      </c>
      <c r="F86" s="574">
        <v>150</v>
      </c>
      <c r="G86" s="574">
        <v>6</v>
      </c>
      <c r="H86" s="574">
        <v>9</v>
      </c>
      <c r="I86" s="574">
        <v>13</v>
      </c>
      <c r="K86" s="574">
        <v>38.950000000000003</v>
      </c>
      <c r="L86" s="1508">
        <v>2659.9998000000001</v>
      </c>
      <c r="M86" s="574">
        <v>275</v>
      </c>
      <c r="N86" s="574">
        <v>153</v>
      </c>
      <c r="O86" s="574">
        <v>82.6</v>
      </c>
      <c r="P86" s="1509">
        <v>506.99990000000003</v>
      </c>
      <c r="Q86" s="574">
        <v>67.599999999999994</v>
      </c>
      <c r="R86" s="574">
        <v>36.1</v>
      </c>
    </row>
    <row r="87" spans="1:18" ht="12.75">
      <c r="A87" s="1510" t="s">
        <v>2402</v>
      </c>
      <c r="C87" s="1498" t="s">
        <v>2474</v>
      </c>
      <c r="D87" s="574">
        <v>36.200000000000003</v>
      </c>
      <c r="E87" s="574">
        <v>226</v>
      </c>
      <c r="F87" s="574">
        <v>155</v>
      </c>
      <c r="G87" s="574">
        <v>6.5</v>
      </c>
      <c r="H87" s="574">
        <v>10</v>
      </c>
      <c r="I87" s="574">
        <v>14</v>
      </c>
      <c r="K87" s="574">
        <v>46.08</v>
      </c>
      <c r="L87" s="1508">
        <v>4259.9994999999999</v>
      </c>
      <c r="M87" s="574">
        <v>377</v>
      </c>
      <c r="N87" s="574">
        <v>210</v>
      </c>
      <c r="O87" s="574">
        <v>96.2</v>
      </c>
      <c r="P87" s="1509">
        <v>621.99990000000003</v>
      </c>
      <c r="Q87" s="574">
        <v>80.2</v>
      </c>
      <c r="R87" s="574">
        <v>36.700000000000003</v>
      </c>
    </row>
    <row r="88" spans="1:18" ht="12.75">
      <c r="A88" s="1510" t="s">
        <v>2402</v>
      </c>
      <c r="C88" s="1498" t="s">
        <v>2475</v>
      </c>
      <c r="D88" s="574">
        <v>42.7</v>
      </c>
      <c r="E88" s="574">
        <v>251</v>
      </c>
      <c r="F88" s="574">
        <v>180</v>
      </c>
      <c r="G88" s="574">
        <v>7</v>
      </c>
      <c r="H88" s="574">
        <v>10</v>
      </c>
      <c r="I88" s="574">
        <v>16</v>
      </c>
      <c r="K88" s="574">
        <v>54.37</v>
      </c>
      <c r="L88" s="1508">
        <v>6224.9994999999999</v>
      </c>
      <c r="M88" s="574">
        <v>496</v>
      </c>
      <c r="N88" s="574">
        <v>276</v>
      </c>
      <c r="O88" s="574">
        <v>107</v>
      </c>
      <c r="P88" s="1509">
        <v>973.99990000000003</v>
      </c>
      <c r="Q88" s="574">
        <v>108.2</v>
      </c>
      <c r="R88" s="574">
        <v>42.3</v>
      </c>
    </row>
    <row r="89" spans="1:18" ht="12.75">
      <c r="A89" s="1510" t="s">
        <v>2402</v>
      </c>
      <c r="C89" s="1498" t="s">
        <v>2476</v>
      </c>
      <c r="D89" s="574">
        <v>49.2</v>
      </c>
      <c r="E89" s="574">
        <v>255</v>
      </c>
      <c r="F89" s="574">
        <v>180</v>
      </c>
      <c r="G89" s="574">
        <v>7.5</v>
      </c>
      <c r="H89" s="574">
        <v>12</v>
      </c>
      <c r="I89" s="574">
        <v>16</v>
      </c>
      <c r="K89" s="574">
        <v>62.73</v>
      </c>
      <c r="L89" s="1508">
        <v>7428.9994999999999</v>
      </c>
      <c r="M89" s="1509">
        <v>582.99990000000003</v>
      </c>
      <c r="N89" s="574">
        <v>325</v>
      </c>
      <c r="O89" s="574">
        <v>108.8</v>
      </c>
      <c r="P89" s="574">
        <v>1167.9999</v>
      </c>
      <c r="Q89" s="574">
        <v>129.80000000000001</v>
      </c>
      <c r="R89" s="574">
        <v>43.1</v>
      </c>
    </row>
    <row r="90" spans="1:18" ht="12.75">
      <c r="A90" s="1510" t="s">
        <v>2402</v>
      </c>
      <c r="C90" s="1498" t="s">
        <v>2477</v>
      </c>
      <c r="D90" s="574">
        <v>53.6</v>
      </c>
      <c r="E90" s="574">
        <v>291</v>
      </c>
      <c r="F90" s="574">
        <v>200</v>
      </c>
      <c r="G90" s="574">
        <v>8</v>
      </c>
      <c r="H90" s="574">
        <v>11</v>
      </c>
      <c r="I90" s="574">
        <v>18</v>
      </c>
      <c r="K90" s="574">
        <v>68.31</v>
      </c>
      <c r="L90" s="1508">
        <v>10399.999</v>
      </c>
      <c r="M90" s="1509">
        <v>714.99990000000003</v>
      </c>
      <c r="N90" s="574">
        <v>398</v>
      </c>
      <c r="O90" s="574">
        <v>123.4</v>
      </c>
      <c r="P90" s="574">
        <v>1469.9999</v>
      </c>
      <c r="Q90" s="574">
        <v>147</v>
      </c>
      <c r="R90" s="574">
        <v>46.4</v>
      </c>
    </row>
    <row r="91" spans="1:18" ht="12.75">
      <c r="A91" s="1510" t="s">
        <v>2402</v>
      </c>
      <c r="C91" s="1498" t="s">
        <v>2478</v>
      </c>
      <c r="D91" s="574">
        <v>61</v>
      </c>
      <c r="E91" s="574">
        <v>295</v>
      </c>
      <c r="F91" s="574">
        <v>200</v>
      </c>
      <c r="G91" s="574">
        <v>8.5</v>
      </c>
      <c r="H91" s="574">
        <v>13</v>
      </c>
      <c r="I91" s="574">
        <v>18</v>
      </c>
      <c r="K91" s="574">
        <v>77.650000000000006</v>
      </c>
      <c r="L91" s="1508">
        <v>12199.999</v>
      </c>
      <c r="M91" s="1509">
        <v>826.99990000000003</v>
      </c>
      <c r="N91" s="574">
        <v>462</v>
      </c>
      <c r="O91" s="574">
        <v>125.3</v>
      </c>
      <c r="P91" s="574">
        <v>1736.9999</v>
      </c>
      <c r="Q91" s="574">
        <v>173.7</v>
      </c>
      <c r="R91" s="574">
        <v>47.3</v>
      </c>
    </row>
    <row r="92" spans="1:18" ht="12.75">
      <c r="A92" s="1510" t="s">
        <v>2402</v>
      </c>
      <c r="C92" s="1498" t="s">
        <v>2479</v>
      </c>
      <c r="D92" s="574">
        <v>68.3</v>
      </c>
      <c r="E92" s="574">
        <v>299</v>
      </c>
      <c r="F92" s="574">
        <v>200</v>
      </c>
      <c r="G92" s="574">
        <v>9</v>
      </c>
      <c r="H92" s="574">
        <v>15</v>
      </c>
      <c r="I92" s="574">
        <v>18</v>
      </c>
      <c r="K92" s="574">
        <v>87</v>
      </c>
      <c r="L92" s="1508">
        <v>14039.999</v>
      </c>
      <c r="M92" s="1509">
        <v>938.99990000000003</v>
      </c>
      <c r="N92" s="1509">
        <v>525.99990000000003</v>
      </c>
      <c r="O92" s="574">
        <v>127</v>
      </c>
      <c r="P92" s="574">
        <v>2003.9998000000001</v>
      </c>
      <c r="Q92" s="574">
        <v>200.4</v>
      </c>
      <c r="R92" s="574">
        <v>48</v>
      </c>
    </row>
    <row r="93" spans="1:18" ht="12.75">
      <c r="A93" s="1510" t="s">
        <v>2402</v>
      </c>
      <c r="C93" s="1498" t="s">
        <v>2480</v>
      </c>
      <c r="D93" s="574">
        <v>75.099999999999994</v>
      </c>
      <c r="E93" s="574">
        <v>338</v>
      </c>
      <c r="F93" s="574">
        <v>250</v>
      </c>
      <c r="G93" s="574">
        <v>9.5</v>
      </c>
      <c r="H93" s="574">
        <v>12.5</v>
      </c>
      <c r="I93" s="574">
        <v>20</v>
      </c>
      <c r="K93" s="574">
        <v>95.67</v>
      </c>
      <c r="L93" s="1508">
        <v>19789.998</v>
      </c>
      <c r="M93" s="574">
        <v>1170.9999</v>
      </c>
      <c r="N93" s="1509">
        <v>650.99990000000003</v>
      </c>
      <c r="O93" s="574">
        <v>143.80000000000001</v>
      </c>
      <c r="P93" s="574">
        <v>3259.9998000000001</v>
      </c>
      <c r="Q93" s="574">
        <v>261</v>
      </c>
      <c r="R93" s="574">
        <v>58.4</v>
      </c>
    </row>
    <row r="94" spans="1:18" ht="12.75">
      <c r="A94" s="1510" t="s">
        <v>2402</v>
      </c>
      <c r="C94" s="1498" t="s">
        <v>2481</v>
      </c>
      <c r="D94" s="574">
        <v>82.2</v>
      </c>
      <c r="E94" s="574">
        <v>341</v>
      </c>
      <c r="F94" s="574">
        <v>250</v>
      </c>
      <c r="G94" s="574">
        <v>10</v>
      </c>
      <c r="H94" s="574">
        <v>14</v>
      </c>
      <c r="I94" s="574">
        <v>20</v>
      </c>
      <c r="K94" s="574">
        <v>104.74</v>
      </c>
      <c r="L94" s="1508">
        <v>22069.998</v>
      </c>
      <c r="M94" s="574">
        <v>1294.9999</v>
      </c>
      <c r="N94" s="1509">
        <v>720.99990000000003</v>
      </c>
      <c r="O94" s="574">
        <v>145.19999999999999</v>
      </c>
      <c r="P94" s="574">
        <v>3649.9998000000001</v>
      </c>
      <c r="Q94" s="574">
        <v>292</v>
      </c>
      <c r="R94" s="574">
        <v>59</v>
      </c>
    </row>
    <row r="95" spans="1:18" ht="12.75">
      <c r="A95" s="1510" t="s">
        <v>2402</v>
      </c>
      <c r="C95" s="1498" t="s">
        <v>2482</v>
      </c>
      <c r="D95" s="574">
        <v>91.3</v>
      </c>
      <c r="E95" s="574">
        <v>345</v>
      </c>
      <c r="F95" s="574">
        <v>250</v>
      </c>
      <c r="G95" s="574">
        <v>10.5</v>
      </c>
      <c r="H95" s="574">
        <v>16</v>
      </c>
      <c r="I95" s="574">
        <v>20</v>
      </c>
      <c r="K95" s="574">
        <v>116.3</v>
      </c>
      <c r="L95" s="1508">
        <v>25139.998</v>
      </c>
      <c r="M95" s="574">
        <v>1457.9999</v>
      </c>
      <c r="N95" s="1509">
        <v>812.99990000000003</v>
      </c>
      <c r="O95" s="574">
        <v>147</v>
      </c>
      <c r="P95" s="574">
        <v>4169.9994999999999</v>
      </c>
      <c r="Q95" s="574">
        <v>334</v>
      </c>
      <c r="R95" s="574">
        <v>59.9</v>
      </c>
    </row>
    <row r="96" spans="1:18" ht="12.75">
      <c r="A96" s="1510" t="s">
        <v>2402</v>
      </c>
      <c r="C96" s="1498" t="s">
        <v>2483</v>
      </c>
      <c r="D96" s="574">
        <v>96.1</v>
      </c>
      <c r="E96" s="574">
        <v>388</v>
      </c>
      <c r="F96" s="574">
        <v>300</v>
      </c>
      <c r="G96" s="574">
        <v>9.5</v>
      </c>
      <c r="H96" s="574">
        <v>14</v>
      </c>
      <c r="I96" s="574">
        <v>22</v>
      </c>
      <c r="K96" s="574">
        <v>122.4</v>
      </c>
      <c r="L96" s="1508">
        <v>34359.996099999997</v>
      </c>
      <c r="M96" s="574">
        <v>1770.9999</v>
      </c>
      <c r="N96" s="1509">
        <v>975.99990000000003</v>
      </c>
      <c r="O96" s="574">
        <v>167.6</v>
      </c>
      <c r="P96" s="574">
        <v>6305.9994999999999</v>
      </c>
      <c r="Q96" s="574">
        <v>420</v>
      </c>
      <c r="R96" s="574">
        <v>71.8</v>
      </c>
    </row>
    <row r="97" spans="1:18" ht="12.75">
      <c r="A97" s="1510" t="s">
        <v>2402</v>
      </c>
      <c r="C97" s="1498" t="s">
        <v>2484</v>
      </c>
      <c r="D97" s="574">
        <v>111.1</v>
      </c>
      <c r="E97" s="574">
        <v>392</v>
      </c>
      <c r="F97" s="574">
        <v>300</v>
      </c>
      <c r="G97" s="574">
        <v>11.5</v>
      </c>
      <c r="H97" s="574">
        <v>16</v>
      </c>
      <c r="I97" s="574">
        <v>22</v>
      </c>
      <c r="K97" s="574">
        <v>141.6</v>
      </c>
      <c r="L97" s="1508">
        <v>39699.996099999997</v>
      </c>
      <c r="M97" s="574">
        <v>2024.9999</v>
      </c>
      <c r="N97" s="574">
        <v>1124.9999</v>
      </c>
      <c r="O97" s="574">
        <v>167.5</v>
      </c>
      <c r="P97" s="574">
        <v>7208.9994999999999</v>
      </c>
      <c r="Q97" s="574">
        <v>481</v>
      </c>
      <c r="R97" s="574">
        <v>71.400000000000006</v>
      </c>
    </row>
    <row r="98" spans="1:18" ht="12.75">
      <c r="A98" s="1510" t="s">
        <v>2402</v>
      </c>
      <c r="C98" s="1498" t="s">
        <v>2485</v>
      </c>
      <c r="D98" s="574">
        <v>123.4</v>
      </c>
      <c r="E98" s="574">
        <v>396</v>
      </c>
      <c r="F98" s="574">
        <v>300</v>
      </c>
      <c r="G98" s="574">
        <v>12.5</v>
      </c>
      <c r="H98" s="574">
        <v>18</v>
      </c>
      <c r="I98" s="574">
        <v>22</v>
      </c>
      <c r="K98" s="574">
        <v>157.19999999999999</v>
      </c>
      <c r="L98" s="1508">
        <v>44739.996099999997</v>
      </c>
      <c r="M98" s="574">
        <v>2259.9998000000001</v>
      </c>
      <c r="N98" s="574">
        <v>1258.9999</v>
      </c>
      <c r="O98" s="574">
        <v>168.7</v>
      </c>
      <c r="P98" s="1509">
        <v>8110.9989999999998</v>
      </c>
      <c r="Q98" s="1509">
        <v>540.99990000000003</v>
      </c>
      <c r="R98" s="574">
        <v>71.8</v>
      </c>
    </row>
    <row r="99" spans="1:18" ht="12.75">
      <c r="A99" s="1510" t="s">
        <v>2402</v>
      </c>
      <c r="C99" s="1498" t="s">
        <v>2486</v>
      </c>
      <c r="D99" s="574">
        <v>114.4</v>
      </c>
      <c r="E99" s="574">
        <v>484</v>
      </c>
      <c r="F99" s="574">
        <v>300</v>
      </c>
      <c r="G99" s="574">
        <v>11</v>
      </c>
      <c r="H99" s="574">
        <v>15</v>
      </c>
      <c r="I99" s="574">
        <v>26</v>
      </c>
      <c r="K99" s="574">
        <v>145.69999999999999</v>
      </c>
      <c r="L99" s="1508">
        <v>60929.992200000001</v>
      </c>
      <c r="M99" s="574">
        <v>2517.9998000000001</v>
      </c>
      <c r="N99" s="574">
        <v>1402.9999</v>
      </c>
      <c r="O99" s="574">
        <v>204.5</v>
      </c>
      <c r="P99" s="574">
        <v>6761.9994999999999</v>
      </c>
      <c r="Q99" s="574">
        <v>451</v>
      </c>
      <c r="R99" s="574">
        <v>68.099999999999994</v>
      </c>
    </row>
    <row r="100" spans="1:18" ht="12.75">
      <c r="A100" s="1510" t="s">
        <v>2402</v>
      </c>
      <c r="C100" s="1498" t="s">
        <v>2487</v>
      </c>
      <c r="D100" s="574">
        <v>138.69999999999999</v>
      </c>
      <c r="E100" s="574">
        <v>489</v>
      </c>
      <c r="F100" s="574">
        <v>300</v>
      </c>
      <c r="G100" s="574">
        <v>14.5</v>
      </c>
      <c r="H100" s="574">
        <v>17.5</v>
      </c>
      <c r="I100" s="574">
        <v>26</v>
      </c>
      <c r="K100" s="574">
        <v>176.6</v>
      </c>
      <c r="L100" s="1508">
        <v>72529.992199999993</v>
      </c>
      <c r="M100" s="574">
        <v>2966.9998000000001</v>
      </c>
      <c r="N100" s="574">
        <v>1675.9999</v>
      </c>
      <c r="O100" s="574">
        <v>202.6</v>
      </c>
      <c r="P100" s="1509">
        <v>7899.9989999999998</v>
      </c>
      <c r="Q100" s="1509">
        <v>525.99990000000003</v>
      </c>
      <c r="R100" s="574">
        <v>66.900000000000006</v>
      </c>
    </row>
    <row r="101" spans="1:18" ht="12.75">
      <c r="A101" s="1510" t="s">
        <v>2402</v>
      </c>
      <c r="C101" s="1498" t="s">
        <v>2488</v>
      </c>
      <c r="D101" s="574">
        <v>156.4</v>
      </c>
      <c r="E101" s="574">
        <v>495</v>
      </c>
      <c r="F101" s="574">
        <v>300</v>
      </c>
      <c r="G101" s="574">
        <v>15.5</v>
      </c>
      <c r="H101" s="574">
        <v>20.5</v>
      </c>
      <c r="I101" s="574">
        <v>26</v>
      </c>
      <c r="K101" s="574">
        <v>199.2</v>
      </c>
      <c r="L101" s="1508">
        <v>84199.992199999993</v>
      </c>
      <c r="M101" s="574">
        <v>3401.9998000000001</v>
      </c>
      <c r="N101" s="574">
        <v>1922.9999</v>
      </c>
      <c r="O101" s="574">
        <v>205.6</v>
      </c>
      <c r="P101" s="1509">
        <v>9249.9989999999998</v>
      </c>
      <c r="Q101" s="1509">
        <v>616.99990000000003</v>
      </c>
      <c r="R101" s="574">
        <v>68.099999999999994</v>
      </c>
    </row>
    <row r="102" spans="1:18" ht="12.75">
      <c r="A102" s="1510" t="s">
        <v>2402</v>
      </c>
      <c r="C102" s="1498" t="s">
        <v>2489</v>
      </c>
      <c r="D102" s="574">
        <v>174.1</v>
      </c>
      <c r="E102" s="574">
        <v>501</v>
      </c>
      <c r="F102" s="574">
        <v>300</v>
      </c>
      <c r="G102" s="574">
        <v>16.5</v>
      </c>
      <c r="H102" s="574">
        <v>23.5</v>
      </c>
      <c r="I102" s="574">
        <v>26</v>
      </c>
      <c r="K102" s="574">
        <v>221.7</v>
      </c>
      <c r="L102" s="1508">
        <v>96149.984400000001</v>
      </c>
      <c r="M102" s="574">
        <v>3837.9998000000001</v>
      </c>
      <c r="N102" s="574">
        <v>2172.9998000000001</v>
      </c>
      <c r="O102" s="574">
        <v>208.2</v>
      </c>
      <c r="P102" s="574">
        <v>10599.999</v>
      </c>
      <c r="Q102" s="1509">
        <v>706.99990000000003</v>
      </c>
      <c r="R102" s="574">
        <v>69.2</v>
      </c>
    </row>
    <row r="103" spans="1:18" ht="12.75">
      <c r="A103" s="1510" t="s">
        <v>2402</v>
      </c>
      <c r="C103" s="1498" t="s">
        <v>2490</v>
      </c>
      <c r="D103" s="574">
        <v>142.1</v>
      </c>
      <c r="E103" s="574">
        <v>580</v>
      </c>
      <c r="F103" s="574">
        <v>320</v>
      </c>
      <c r="G103" s="574">
        <v>12</v>
      </c>
      <c r="H103" s="574">
        <v>17</v>
      </c>
      <c r="I103" s="574">
        <v>28</v>
      </c>
      <c r="K103" s="574">
        <v>181.1</v>
      </c>
      <c r="L103" s="1508">
        <v>107299.99219999999</v>
      </c>
      <c r="M103" s="574">
        <v>3700.9998000000001</v>
      </c>
      <c r="N103" s="574">
        <v>2067.9998000000001</v>
      </c>
      <c r="O103" s="574">
        <v>243.5</v>
      </c>
      <c r="P103" s="1509">
        <v>9301.9989999999998</v>
      </c>
      <c r="Q103" s="1509">
        <v>580.99990000000003</v>
      </c>
      <c r="R103" s="574">
        <v>71.7</v>
      </c>
    </row>
    <row r="104" spans="1:18" ht="12.75">
      <c r="A104" s="1510" t="s">
        <v>2402</v>
      </c>
      <c r="C104" s="1498" t="s">
        <v>2491</v>
      </c>
      <c r="D104" s="574">
        <v>176.9</v>
      </c>
      <c r="E104" s="574">
        <v>587</v>
      </c>
      <c r="F104" s="574">
        <v>320</v>
      </c>
      <c r="G104" s="574">
        <v>16</v>
      </c>
      <c r="H104" s="574">
        <v>20.5</v>
      </c>
      <c r="I104" s="574">
        <v>28</v>
      </c>
      <c r="K104" s="574">
        <v>225.3</v>
      </c>
      <c r="L104" s="1508">
        <v>131799.98439999999</v>
      </c>
      <c r="M104" s="574">
        <v>4489.9994999999999</v>
      </c>
      <c r="N104" s="574">
        <v>2543.9998000000001</v>
      </c>
      <c r="O104" s="574">
        <v>241.9</v>
      </c>
      <c r="P104" s="574">
        <v>11229.999</v>
      </c>
      <c r="Q104" s="1509">
        <v>701.99990000000003</v>
      </c>
      <c r="R104" s="574">
        <v>70.599999999999994</v>
      </c>
    </row>
    <row r="105" spans="1:18" ht="12.75">
      <c r="A105" s="1510" t="s">
        <v>2402</v>
      </c>
      <c r="C105" s="1498" t="s">
        <v>2492</v>
      </c>
      <c r="D105" s="574">
        <v>205.2</v>
      </c>
      <c r="E105" s="574">
        <v>595</v>
      </c>
      <c r="F105" s="574">
        <v>320</v>
      </c>
      <c r="G105" s="574">
        <v>18</v>
      </c>
      <c r="H105" s="574">
        <v>24.5</v>
      </c>
      <c r="I105" s="574">
        <v>28</v>
      </c>
      <c r="K105" s="574">
        <v>261.8</v>
      </c>
      <c r="L105" s="1508">
        <v>156899.98439999999</v>
      </c>
      <c r="M105" s="574">
        <v>5272.9994999999999</v>
      </c>
      <c r="N105" s="574">
        <v>2996.9998000000001</v>
      </c>
      <c r="O105" s="574">
        <v>244.8</v>
      </c>
      <c r="P105" s="574">
        <v>13419.999</v>
      </c>
      <c r="Q105" s="1509">
        <v>838.99990000000003</v>
      </c>
      <c r="R105" s="574">
        <v>71.599999999999994</v>
      </c>
    </row>
    <row r="106" spans="1:18" ht="12.75">
      <c r="A106" s="1510" t="s">
        <v>2402</v>
      </c>
      <c r="C106" s="1498" t="s">
        <v>2493</v>
      </c>
      <c r="D106" s="574">
        <v>234.2</v>
      </c>
      <c r="E106" s="574">
        <v>603</v>
      </c>
      <c r="F106" s="574">
        <v>320</v>
      </c>
      <c r="G106" s="574">
        <v>20</v>
      </c>
      <c r="H106" s="574">
        <v>28.5</v>
      </c>
      <c r="I106" s="574">
        <v>28</v>
      </c>
      <c r="K106" s="574">
        <v>298.33999999999997</v>
      </c>
      <c r="L106" s="1508">
        <v>182499.9688</v>
      </c>
      <c r="M106" s="574">
        <v>6054.9994999999999</v>
      </c>
      <c r="N106" s="574">
        <v>3454.9998000000001</v>
      </c>
      <c r="O106" s="574">
        <v>247.3</v>
      </c>
      <c r="P106" s="574">
        <v>15619.998</v>
      </c>
      <c r="Q106" s="1509">
        <v>975.99990000000003</v>
      </c>
      <c r="R106" s="574">
        <v>72.3</v>
      </c>
    </row>
    <row r="107" spans="1:18" ht="12.75">
      <c r="A107" s="1510" t="s">
        <v>2402</v>
      </c>
      <c r="C107" s="1498" t="s">
        <v>2494</v>
      </c>
      <c r="D107" s="574">
        <v>169.9</v>
      </c>
      <c r="E107" s="574">
        <v>683</v>
      </c>
      <c r="F107" s="574">
        <v>320</v>
      </c>
      <c r="G107" s="574">
        <v>13.5</v>
      </c>
      <c r="H107" s="574">
        <v>19</v>
      </c>
      <c r="I107" s="574">
        <v>30</v>
      </c>
      <c r="K107" s="574">
        <v>216.4</v>
      </c>
      <c r="L107" s="1508">
        <v>171999.98439999999</v>
      </c>
      <c r="M107" s="574">
        <v>5035.9994999999999</v>
      </c>
      <c r="N107" s="574">
        <v>2842.9998000000001</v>
      </c>
      <c r="O107" s="574">
        <v>281.89999999999998</v>
      </c>
      <c r="P107" s="574">
        <v>10399.999</v>
      </c>
      <c r="Q107" s="1509">
        <v>649.99990000000003</v>
      </c>
      <c r="R107" s="574">
        <v>69.3</v>
      </c>
    </row>
    <row r="108" spans="1:18" ht="12.75">
      <c r="A108" s="1510" t="s">
        <v>2402</v>
      </c>
      <c r="C108" s="1498" t="s">
        <v>2495</v>
      </c>
      <c r="D108" s="574">
        <v>197.6</v>
      </c>
      <c r="E108" s="574">
        <v>691</v>
      </c>
      <c r="F108" s="574">
        <v>320</v>
      </c>
      <c r="G108" s="574">
        <v>15</v>
      </c>
      <c r="H108" s="574">
        <v>23</v>
      </c>
      <c r="I108" s="574">
        <v>30</v>
      </c>
      <c r="K108" s="574">
        <v>251.7</v>
      </c>
      <c r="L108" s="1508">
        <v>205499.9688</v>
      </c>
      <c r="M108" s="574">
        <v>5948.9994999999999</v>
      </c>
      <c r="N108" s="574">
        <v>3359.9998000000001</v>
      </c>
      <c r="O108" s="574">
        <v>285.8</v>
      </c>
      <c r="P108" s="574">
        <v>12589.999</v>
      </c>
      <c r="Q108" s="1509">
        <v>786.99990000000003</v>
      </c>
      <c r="R108" s="574">
        <v>70.7</v>
      </c>
    </row>
    <row r="109" spans="1:18" ht="12.75">
      <c r="A109" s="1510" t="s">
        <v>2402</v>
      </c>
      <c r="C109" s="1498" t="s">
        <v>2496</v>
      </c>
      <c r="D109" s="574">
        <v>235.4</v>
      </c>
      <c r="E109" s="574">
        <v>700</v>
      </c>
      <c r="F109" s="574">
        <v>320</v>
      </c>
      <c r="G109" s="574">
        <v>18</v>
      </c>
      <c r="H109" s="574">
        <v>27.5</v>
      </c>
      <c r="I109" s="574">
        <v>30</v>
      </c>
      <c r="K109" s="574">
        <v>299.8</v>
      </c>
      <c r="L109" s="1508">
        <v>247099.98439999999</v>
      </c>
      <c r="M109" s="574">
        <v>7058.9994999999999</v>
      </c>
      <c r="N109" s="574">
        <v>4016.9998000000001</v>
      </c>
      <c r="O109" s="574">
        <v>287.2</v>
      </c>
      <c r="P109" s="574">
        <v>15069.998</v>
      </c>
      <c r="Q109" s="1509">
        <v>941.99990000000003</v>
      </c>
      <c r="R109" s="574">
        <v>70.900000000000006</v>
      </c>
    </row>
    <row r="110" spans="1:18" ht="12.75">
      <c r="A110" s="1510" t="s">
        <v>2402</v>
      </c>
      <c r="C110" s="1498" t="s">
        <v>2497</v>
      </c>
      <c r="D110" s="574">
        <v>268.10000000000002</v>
      </c>
      <c r="E110" s="574">
        <v>708</v>
      </c>
      <c r="F110" s="574">
        <v>320</v>
      </c>
      <c r="G110" s="574">
        <v>20.5</v>
      </c>
      <c r="H110" s="574">
        <v>31.5</v>
      </c>
      <c r="I110" s="574">
        <v>30</v>
      </c>
      <c r="K110" s="574">
        <v>341.6</v>
      </c>
      <c r="L110" s="1508">
        <v>284399.96879999997</v>
      </c>
      <c r="M110" s="574">
        <v>8032.9994999999999</v>
      </c>
      <c r="N110" s="574">
        <v>4597.9994999999999</v>
      </c>
      <c r="O110" s="574">
        <v>288.5</v>
      </c>
      <c r="P110" s="574">
        <v>17269.998</v>
      </c>
      <c r="Q110" s="574">
        <v>1078.9999</v>
      </c>
      <c r="R110" s="574">
        <v>71.099999999999994</v>
      </c>
    </row>
    <row r="111" spans="1:18" ht="12.75">
      <c r="A111" s="1510" t="s">
        <v>2402</v>
      </c>
      <c r="C111" s="1498" t="s">
        <v>2498</v>
      </c>
      <c r="D111" s="574">
        <v>305.89999999999998</v>
      </c>
      <c r="E111" s="574">
        <v>718</v>
      </c>
      <c r="F111" s="574">
        <v>320</v>
      </c>
      <c r="G111" s="574">
        <v>23</v>
      </c>
      <c r="H111" s="574">
        <v>36.5</v>
      </c>
      <c r="I111" s="574">
        <v>30</v>
      </c>
      <c r="K111" s="574">
        <v>389.7</v>
      </c>
      <c r="L111" s="1508">
        <v>330599.96879999997</v>
      </c>
      <c r="M111" s="1509">
        <v>9209.9989999999998</v>
      </c>
      <c r="N111" s="574">
        <v>5297.9994999999999</v>
      </c>
      <c r="O111" s="574">
        <v>291.3</v>
      </c>
      <c r="P111" s="574">
        <v>20019.998</v>
      </c>
      <c r="Q111" s="574">
        <v>1250.9999</v>
      </c>
      <c r="R111" s="574">
        <v>71.7</v>
      </c>
    </row>
    <row r="119" spans="1:18" ht="12.75">
      <c r="A119" s="1824"/>
      <c r="B119" s="1827" t="s">
        <v>2395</v>
      </c>
      <c r="C119" s="1826" t="s">
        <v>1700</v>
      </c>
      <c r="D119" s="1692" t="s">
        <v>183</v>
      </c>
      <c r="E119" s="1692" t="s">
        <v>573</v>
      </c>
      <c r="F119" s="1692" t="s">
        <v>574</v>
      </c>
      <c r="G119" s="1692" t="s">
        <v>2010</v>
      </c>
      <c r="H119" s="1692" t="s">
        <v>1507</v>
      </c>
      <c r="I119" s="1692" t="s">
        <v>2396</v>
      </c>
      <c r="J119" s="1692" t="s">
        <v>2397</v>
      </c>
      <c r="K119" s="1692" t="s">
        <v>578</v>
      </c>
      <c r="L119" s="1692" t="s">
        <v>106</v>
      </c>
      <c r="M119" s="1692" t="s">
        <v>0</v>
      </c>
      <c r="N119" s="1692" t="s">
        <v>2398</v>
      </c>
      <c r="O119" s="1692" t="s">
        <v>107</v>
      </c>
      <c r="P119" s="1692" t="s">
        <v>2399</v>
      </c>
      <c r="Q119" s="1692" t="s">
        <v>2400</v>
      </c>
      <c r="R119" s="1692" t="s">
        <v>2401</v>
      </c>
    </row>
    <row r="120" spans="1:18" ht="12.75">
      <c r="A120" s="1824"/>
      <c r="B120" s="1827"/>
      <c r="C120" s="1826"/>
      <c r="D120" s="1692" t="s">
        <v>599</v>
      </c>
      <c r="E120" s="1692" t="s">
        <v>601</v>
      </c>
      <c r="F120" s="1692" t="s">
        <v>601</v>
      </c>
      <c r="G120" s="1692" t="s">
        <v>601</v>
      </c>
      <c r="H120" s="1692" t="s">
        <v>601</v>
      </c>
      <c r="I120" s="1692" t="s">
        <v>601</v>
      </c>
      <c r="J120" s="1692" t="s">
        <v>601</v>
      </c>
      <c r="K120" s="1692" t="s">
        <v>110</v>
      </c>
      <c r="L120" s="1692" t="s">
        <v>111</v>
      </c>
      <c r="M120" s="1692" t="s">
        <v>72</v>
      </c>
      <c r="N120" s="1692" t="s">
        <v>72</v>
      </c>
      <c r="O120" s="1692" t="s">
        <v>601</v>
      </c>
      <c r="P120" s="1692" t="s">
        <v>111</v>
      </c>
      <c r="Q120" s="1692" t="s">
        <v>72</v>
      </c>
      <c r="R120" s="1692" t="s">
        <v>601</v>
      </c>
    </row>
    <row r="121" spans="1:18" ht="12.75">
      <c r="B121" s="1691" t="s">
        <v>2402</v>
      </c>
      <c r="C121" s="1692" t="s">
        <v>2441</v>
      </c>
      <c r="D121" s="568">
        <v>22.4</v>
      </c>
      <c r="E121" s="568">
        <v>200</v>
      </c>
      <c r="F121" s="568">
        <v>100</v>
      </c>
      <c r="G121" s="568">
        <v>5.6</v>
      </c>
      <c r="H121" s="568">
        <v>8.5</v>
      </c>
      <c r="I121" s="568">
        <v>12</v>
      </c>
      <c r="J121" s="568"/>
      <c r="K121" s="568">
        <v>28.49</v>
      </c>
      <c r="L121" s="1693">
        <v>1942.9998000000001</v>
      </c>
      <c r="M121" s="568">
        <v>194.3</v>
      </c>
      <c r="N121" s="568">
        <v>110.3</v>
      </c>
      <c r="O121" s="568">
        <v>82.6</v>
      </c>
      <c r="P121" s="568">
        <v>142.30000000000001</v>
      </c>
      <c r="Q121" s="568">
        <v>28.5</v>
      </c>
      <c r="R121" s="568">
        <v>22.3</v>
      </c>
    </row>
  </sheetData>
  <mergeCells count="6">
    <mergeCell ref="A1:R1"/>
    <mergeCell ref="A2:A3"/>
    <mergeCell ref="C2:C3"/>
    <mergeCell ref="A119:A120"/>
    <mergeCell ref="C119:C120"/>
    <mergeCell ref="B119:B120"/>
  </mergeCells>
  <pageMargins left="0.75" right="0.75" top="1" bottom="1" header="0.5" footer="0.5"/>
  <pageSetup paperSize="9" orientation="portrait" r:id="rId1"/>
  <headerFooter alignWithMargins="0"/>
  <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B3:D16"/>
  <sheetViews>
    <sheetView workbookViewId="0">
      <selection activeCell="D13" sqref="D13"/>
    </sheetView>
  </sheetViews>
  <sheetFormatPr defaultRowHeight="12"/>
  <sheetData>
    <row r="3" spans="2:4">
      <c r="B3" t="s">
        <v>20</v>
      </c>
      <c r="C3" t="s">
        <v>11</v>
      </c>
      <c r="D3" t="s">
        <v>12</v>
      </c>
    </row>
    <row r="4" spans="2:4">
      <c r="B4" t="s">
        <v>21</v>
      </c>
      <c r="C4">
        <v>0.1</v>
      </c>
      <c r="D4">
        <v>0.3</v>
      </c>
    </row>
    <row r="5" spans="2:4">
      <c r="B5" t="s">
        <v>22</v>
      </c>
      <c r="C5">
        <v>0.15</v>
      </c>
      <c r="D5">
        <v>0.4</v>
      </c>
    </row>
    <row r="6" spans="2:4">
      <c r="B6" t="s">
        <v>23</v>
      </c>
      <c r="C6">
        <v>0.15</v>
      </c>
      <c r="D6">
        <v>0.6</v>
      </c>
    </row>
    <row r="7" spans="2:4">
      <c r="B7" t="s">
        <v>24</v>
      </c>
      <c r="C7">
        <v>0.2</v>
      </c>
      <c r="D7">
        <v>0.9</v>
      </c>
    </row>
    <row r="10" spans="2:4">
      <c r="B10" t="s">
        <v>25</v>
      </c>
      <c r="C10" t="s">
        <v>571</v>
      </c>
    </row>
    <row r="11" spans="2:4">
      <c r="B11" t="s">
        <v>26</v>
      </c>
      <c r="C11">
        <v>1.5</v>
      </c>
    </row>
    <row r="12" spans="2:4">
      <c r="B12" t="s">
        <v>27</v>
      </c>
      <c r="C12">
        <v>1.4</v>
      </c>
    </row>
    <row r="13" spans="2:4">
      <c r="B13" t="s">
        <v>28</v>
      </c>
      <c r="C13">
        <v>1.2</v>
      </c>
    </row>
    <row r="14" spans="2:4">
      <c r="B14" t="s">
        <v>29</v>
      </c>
      <c r="C14">
        <v>1</v>
      </c>
    </row>
    <row r="16" spans="2:4">
      <c r="B16" t="s">
        <v>30</v>
      </c>
      <c r="C16" t="s">
        <v>614</v>
      </c>
    </row>
  </sheetData>
  <phoneticPr fontId="69" type="noConversion"/>
  <pageMargins left="0.75" right="0.75" top="1" bottom="1" header="0.5" footer="0.5"/>
  <headerFooter alignWithMargins="0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CW190"/>
  <sheetViews>
    <sheetView topLeftCell="A22" workbookViewId="0"/>
  </sheetViews>
  <sheetFormatPr defaultColWidth="0" defaultRowHeight="11.25" zeroHeight="1"/>
  <cols>
    <col min="1" max="1" width="19.42578125" style="303" customWidth="1"/>
    <col min="2" max="5" width="6.7109375" style="13" customWidth="1"/>
    <col min="6" max="6" width="2" style="13" customWidth="1"/>
    <col min="7" max="7" width="19.42578125" style="303" customWidth="1"/>
    <col min="8" max="8" width="9.42578125" style="303" customWidth="1"/>
    <col min="9" max="11" width="6.7109375" style="303" customWidth="1"/>
    <col min="12" max="12" width="2" style="13" customWidth="1"/>
    <col min="13" max="13" width="19.42578125" style="303" customWidth="1"/>
    <col min="14" max="17" width="6.7109375" style="303" customWidth="1"/>
    <col min="18" max="18" width="2" style="13" customWidth="1"/>
    <col min="19" max="19" width="19.42578125" style="303" customWidth="1"/>
    <col min="20" max="23" width="6.7109375" style="303" customWidth="1"/>
    <col min="24" max="24" width="2" style="13" customWidth="1"/>
    <col min="25" max="25" width="19.42578125" style="303" customWidth="1"/>
    <col min="26" max="29" width="6.7109375" style="303" customWidth="1"/>
    <col min="30" max="30" width="2" style="13" customWidth="1"/>
    <col min="31" max="31" width="19.42578125" style="303" customWidth="1"/>
    <col min="32" max="35" width="6.7109375" style="303" customWidth="1"/>
    <col min="36" max="36" width="2" style="13" customWidth="1"/>
    <col min="37" max="37" width="19.42578125" style="303" customWidth="1"/>
    <col min="38" max="41" width="6.7109375" style="303" customWidth="1"/>
    <col min="42" max="42" width="2" style="13" customWidth="1"/>
    <col min="43" max="43" width="19.42578125" style="303" customWidth="1"/>
    <col min="44" max="47" width="6.7109375" style="303" customWidth="1"/>
    <col min="48" max="48" width="2" style="13" customWidth="1"/>
    <col min="49" max="49" width="19.42578125" style="303" customWidth="1"/>
    <col min="50" max="53" width="6.7109375" style="303" customWidth="1"/>
    <col min="54" max="54" width="2" style="13" customWidth="1"/>
    <col min="55" max="55" width="19.42578125" style="303" customWidth="1"/>
    <col min="56" max="59" width="6.7109375" style="303" customWidth="1"/>
    <col min="60" max="60" width="2" style="13" customWidth="1"/>
    <col min="61" max="61" width="19.42578125" style="303" customWidth="1"/>
    <col min="62" max="65" width="6.7109375" style="303" customWidth="1"/>
    <col min="66" max="66" width="2" style="13" customWidth="1"/>
    <col min="67" max="67" width="19.42578125" style="303" customWidth="1"/>
    <col min="68" max="71" width="6.7109375" style="303" customWidth="1"/>
    <col min="72" max="72" width="2" style="13" customWidth="1"/>
    <col min="73" max="73" width="19.42578125" style="303" customWidth="1"/>
    <col min="74" max="77" width="6.7109375" style="303" customWidth="1"/>
    <col min="78" max="78" width="2" style="13" customWidth="1"/>
    <col min="79" max="79" width="19.42578125" style="303" customWidth="1"/>
    <col min="80" max="83" width="6.7109375" style="303" customWidth="1"/>
    <col min="84" max="84" width="2" style="13" customWidth="1"/>
    <col min="85" max="85" width="19.42578125" style="303" hidden="1" customWidth="1"/>
    <col min="86" max="89" width="6.7109375" style="303" hidden="1" customWidth="1"/>
    <col min="90" max="90" width="2" style="13" hidden="1" customWidth="1"/>
    <col min="91" max="91" width="19.42578125" style="303" hidden="1" customWidth="1"/>
    <col min="92" max="95" width="6.7109375" style="303" hidden="1" customWidth="1"/>
    <col min="96" max="96" width="2" style="13" hidden="1" customWidth="1"/>
    <col min="97" max="97" width="19.42578125" style="303" hidden="1" customWidth="1"/>
    <col min="98" max="101" width="6.7109375" style="303" hidden="1" customWidth="1"/>
    <col min="102" max="16384" width="10.85546875" style="305" hidden="1"/>
  </cols>
  <sheetData>
    <row r="1" spans="1:101">
      <c r="A1" s="553"/>
      <c r="B1" s="554"/>
      <c r="C1" s="554"/>
      <c r="D1" s="554"/>
      <c r="E1" s="554"/>
      <c r="F1" s="554"/>
      <c r="G1" s="553"/>
      <c r="H1" s="553"/>
      <c r="I1" s="553"/>
      <c r="J1" s="553"/>
      <c r="K1" s="553"/>
      <c r="L1" s="554"/>
      <c r="M1" s="553"/>
      <c r="N1" s="553"/>
      <c r="O1" s="553"/>
      <c r="P1" s="553"/>
      <c r="Q1" s="553"/>
      <c r="R1" s="554"/>
      <c r="S1" s="553"/>
      <c r="T1" s="553"/>
      <c r="U1" s="553"/>
      <c r="V1" s="553"/>
      <c r="W1" s="553"/>
      <c r="X1" s="554"/>
      <c r="Y1" s="553"/>
      <c r="Z1" s="553"/>
      <c r="AA1" s="553"/>
      <c r="AB1" s="553"/>
      <c r="AC1" s="553"/>
      <c r="AD1" s="554"/>
      <c r="AE1" s="553"/>
      <c r="AF1" s="553"/>
      <c r="AG1" s="553"/>
      <c r="AH1" s="553"/>
      <c r="AI1" s="553"/>
      <c r="AJ1" s="554"/>
      <c r="AK1" s="553"/>
      <c r="AL1" s="553"/>
      <c r="AM1" s="553"/>
      <c r="AN1" s="553"/>
      <c r="AO1" s="553"/>
      <c r="AP1" s="554"/>
      <c r="AQ1" s="553"/>
      <c r="AR1" s="553"/>
      <c r="AS1" s="553"/>
      <c r="AT1" s="553"/>
      <c r="AU1" s="553"/>
      <c r="AV1" s="554"/>
      <c r="AW1" s="553"/>
      <c r="AX1" s="553"/>
      <c r="AY1" s="553"/>
      <c r="AZ1" s="553"/>
      <c r="BA1" s="553"/>
      <c r="BB1" s="554"/>
      <c r="BC1" s="553"/>
      <c r="BD1" s="553"/>
      <c r="BE1" s="553"/>
      <c r="BF1" s="553"/>
      <c r="BG1" s="553"/>
      <c r="BH1" s="554"/>
      <c r="BI1" s="553"/>
      <c r="BJ1" s="553"/>
      <c r="BK1" s="553"/>
      <c r="BL1" s="553"/>
      <c r="BM1" s="553"/>
      <c r="BN1" s="554"/>
      <c r="BO1" s="553"/>
      <c r="BP1" s="553"/>
      <c r="BQ1" s="553"/>
      <c r="BR1" s="553"/>
      <c r="BS1" s="553"/>
      <c r="BT1" s="554"/>
      <c r="BU1" s="553"/>
      <c r="BV1" s="553"/>
      <c r="BW1" s="553"/>
      <c r="BX1" s="553"/>
      <c r="BY1" s="553"/>
      <c r="BZ1" s="554"/>
      <c r="CA1" s="553"/>
      <c r="CB1" s="553"/>
      <c r="CC1" s="553"/>
      <c r="CD1" s="553"/>
      <c r="CE1" s="553"/>
      <c r="CF1" s="554"/>
    </row>
    <row r="2" spans="1:101" ht="33">
      <c r="A2" s="559" t="s">
        <v>1866</v>
      </c>
      <c r="B2" s="554"/>
      <c r="C2" s="18"/>
      <c r="D2" s="554"/>
      <c r="E2" s="558"/>
      <c r="F2" s="554"/>
      <c r="G2" s="553"/>
      <c r="H2" s="553"/>
      <c r="I2" s="553"/>
      <c r="J2" s="553"/>
      <c r="K2" s="553"/>
      <c r="L2" s="554"/>
      <c r="M2" s="553"/>
      <c r="N2" s="553"/>
      <c r="O2" s="553"/>
      <c r="P2" s="553"/>
      <c r="Q2" s="553"/>
      <c r="R2" s="554"/>
      <c r="S2" s="553"/>
      <c r="T2" s="553"/>
      <c r="U2" s="553"/>
      <c r="V2" s="553"/>
      <c r="W2" s="553"/>
      <c r="X2" s="554"/>
      <c r="Y2" s="553"/>
      <c r="Z2" s="553"/>
      <c r="AA2" s="553"/>
      <c r="AB2" s="553"/>
      <c r="AC2" s="553"/>
      <c r="AD2" s="554"/>
      <c r="AE2" s="553"/>
      <c r="AF2" s="553"/>
      <c r="AG2" s="553"/>
      <c r="AH2" s="553"/>
      <c r="AI2" s="553"/>
      <c r="AJ2" s="554"/>
      <c r="AK2" s="553"/>
      <c r="AL2" s="553"/>
      <c r="AM2" s="553"/>
      <c r="AN2" s="553"/>
      <c r="AO2" s="553"/>
      <c r="AP2" s="554"/>
      <c r="AQ2" s="553"/>
      <c r="AR2" s="553"/>
      <c r="AS2" s="553"/>
      <c r="AT2" s="553"/>
      <c r="AU2" s="553"/>
      <c r="AV2" s="554"/>
      <c r="AW2" s="553"/>
      <c r="AX2" s="553"/>
      <c r="AY2" s="553"/>
      <c r="AZ2" s="553"/>
      <c r="BA2" s="553"/>
      <c r="BB2" s="554"/>
      <c r="BC2" s="553"/>
      <c r="BD2" s="553"/>
      <c r="BE2" s="553"/>
      <c r="BF2" s="553"/>
      <c r="BG2" s="553"/>
      <c r="BH2" s="554"/>
      <c r="BI2" s="553"/>
      <c r="BJ2" s="553"/>
      <c r="BK2" s="553"/>
      <c r="BL2" s="553"/>
      <c r="BM2" s="553"/>
      <c r="BN2" s="554"/>
      <c r="BO2" s="553"/>
      <c r="BP2" s="553"/>
      <c r="BQ2" s="553"/>
      <c r="BR2" s="553"/>
      <c r="BS2" s="553"/>
      <c r="BT2" s="554"/>
      <c r="BU2" s="553"/>
      <c r="BV2" s="553"/>
      <c r="BW2" s="553"/>
      <c r="BX2" s="553"/>
      <c r="BY2" s="553"/>
      <c r="BZ2" s="554"/>
      <c r="CA2" s="553"/>
      <c r="CB2" s="553"/>
      <c r="CC2" s="553"/>
      <c r="CD2" s="553"/>
      <c r="CE2" s="553"/>
      <c r="CF2" s="554"/>
    </row>
    <row r="3" spans="1:101" s="557" customFormat="1" ht="12" thickBot="1">
      <c r="A3" s="555" t="s">
        <v>1858</v>
      </c>
      <c r="B3" s="556"/>
      <c r="C3" s="556"/>
      <c r="D3" s="556"/>
      <c r="E3" s="556"/>
      <c r="F3" s="556"/>
      <c r="G3" s="555"/>
      <c r="H3" s="555"/>
      <c r="I3" s="555"/>
      <c r="J3" s="555"/>
      <c r="K3" s="555"/>
      <c r="L3" s="556"/>
      <c r="M3" s="555"/>
      <c r="N3" s="555"/>
      <c r="O3" s="555"/>
      <c r="P3" s="555"/>
      <c r="Q3" s="555"/>
      <c r="R3" s="556"/>
      <c r="S3" s="555"/>
      <c r="T3" s="555"/>
      <c r="U3" s="555"/>
      <c r="V3" s="555"/>
      <c r="W3" s="555"/>
      <c r="X3" s="556"/>
      <c r="Y3" s="555"/>
      <c r="Z3" s="555"/>
      <c r="AA3" s="555"/>
      <c r="AB3" s="555"/>
      <c r="AC3" s="555"/>
      <c r="AD3" s="556"/>
      <c r="AE3" s="555"/>
      <c r="AF3" s="555"/>
      <c r="AG3" s="555"/>
      <c r="AH3" s="555"/>
      <c r="AI3" s="555"/>
      <c r="AJ3" s="556"/>
      <c r="AK3" s="555"/>
      <c r="AL3" s="555"/>
      <c r="AM3" s="555"/>
      <c r="AN3" s="555"/>
      <c r="AO3" s="555"/>
      <c r="AP3" s="556"/>
      <c r="AQ3" s="555"/>
      <c r="AR3" s="555"/>
      <c r="AS3" s="555"/>
      <c r="AT3" s="555"/>
      <c r="AU3" s="555"/>
      <c r="AV3" s="556"/>
      <c r="AW3" s="555"/>
      <c r="AX3" s="555"/>
      <c r="AY3" s="555"/>
      <c r="AZ3" s="555"/>
      <c r="BA3" s="555"/>
      <c r="BB3" s="556"/>
      <c r="BC3" s="555"/>
      <c r="BD3" s="555"/>
      <c r="BE3" s="555"/>
      <c r="BF3" s="555"/>
      <c r="BG3" s="555"/>
      <c r="BH3" s="556"/>
      <c r="BI3" s="555"/>
      <c r="BJ3" s="555"/>
      <c r="BK3" s="555"/>
      <c r="BL3" s="555"/>
      <c r="BM3" s="555"/>
      <c r="BN3" s="556"/>
      <c r="BO3" s="555"/>
      <c r="BP3" s="555"/>
      <c r="BQ3" s="555"/>
      <c r="BR3" s="555"/>
      <c r="BS3" s="555"/>
      <c r="BT3" s="556"/>
      <c r="BU3" s="555"/>
      <c r="BV3" s="555"/>
      <c r="BW3" s="555"/>
      <c r="BX3" s="555"/>
      <c r="BY3" s="555"/>
      <c r="BZ3" s="556"/>
      <c r="CA3" s="555"/>
      <c r="CB3" s="555"/>
      <c r="CC3" s="555"/>
      <c r="CD3" s="555"/>
      <c r="CE3" s="555"/>
      <c r="CF3" s="556"/>
      <c r="CL3" s="24"/>
      <c r="CR3" s="24"/>
    </row>
    <row r="4" spans="1:101" ht="12.75" thickTop="1" thickBot="1">
      <c r="A4" s="302" t="s">
        <v>1775</v>
      </c>
      <c r="B4" s="13">
        <v>1</v>
      </c>
      <c r="C4" s="13">
        <v>2</v>
      </c>
      <c r="D4" s="13">
        <v>3</v>
      </c>
      <c r="E4" s="13">
        <v>4</v>
      </c>
      <c r="G4" s="302" t="s">
        <v>1776</v>
      </c>
      <c r="H4" s="13">
        <v>1</v>
      </c>
      <c r="I4" s="13">
        <v>2</v>
      </c>
      <c r="J4" s="13">
        <v>3</v>
      </c>
      <c r="K4" s="13">
        <v>4</v>
      </c>
      <c r="M4" s="302" t="s">
        <v>1777</v>
      </c>
      <c r="N4" s="13">
        <v>1</v>
      </c>
      <c r="O4" s="13">
        <v>2</v>
      </c>
      <c r="P4" s="13">
        <v>3</v>
      </c>
      <c r="Q4" s="13">
        <v>4</v>
      </c>
      <c r="S4" s="302" t="s">
        <v>1778</v>
      </c>
      <c r="T4" s="13">
        <v>1</v>
      </c>
      <c r="U4" s="13">
        <v>2</v>
      </c>
      <c r="V4" s="13">
        <v>3</v>
      </c>
      <c r="W4" s="13">
        <v>4</v>
      </c>
      <c r="Y4" s="302" t="s">
        <v>1779</v>
      </c>
      <c r="Z4" s="13">
        <v>1</v>
      </c>
      <c r="AA4" s="13">
        <v>2</v>
      </c>
      <c r="AB4" s="13">
        <v>3</v>
      </c>
      <c r="AC4" s="13">
        <v>4</v>
      </c>
      <c r="AE4" s="302" t="s">
        <v>1780</v>
      </c>
      <c r="AF4" s="13">
        <v>1</v>
      </c>
      <c r="AG4" s="13">
        <v>2</v>
      </c>
      <c r="AH4" s="13">
        <v>3</v>
      </c>
      <c r="AI4" s="13">
        <v>4</v>
      </c>
      <c r="AK4" s="302" t="s">
        <v>1781</v>
      </c>
      <c r="AL4" s="13">
        <v>1</v>
      </c>
      <c r="AM4" s="13">
        <v>2</v>
      </c>
      <c r="AN4" s="13">
        <v>3</v>
      </c>
      <c r="AO4" s="13">
        <v>4</v>
      </c>
      <c r="AQ4" s="302" t="s">
        <v>1782</v>
      </c>
      <c r="AR4" s="13">
        <v>1</v>
      </c>
      <c r="AS4" s="13">
        <v>2</v>
      </c>
      <c r="AT4" s="13">
        <v>3</v>
      </c>
      <c r="AU4" s="13">
        <v>4</v>
      </c>
      <c r="AW4" s="302" t="s">
        <v>1783</v>
      </c>
      <c r="AX4" s="13">
        <v>1</v>
      </c>
      <c r="AY4" s="13">
        <v>2</v>
      </c>
      <c r="AZ4" s="13">
        <v>3</v>
      </c>
      <c r="BA4" s="13">
        <v>4</v>
      </c>
      <c r="BC4" s="302" t="s">
        <v>1784</v>
      </c>
      <c r="BD4" s="13">
        <v>1</v>
      </c>
      <c r="BE4" s="13">
        <v>2</v>
      </c>
      <c r="BF4" s="13">
        <v>3</v>
      </c>
      <c r="BG4" s="13">
        <v>4</v>
      </c>
      <c r="BI4" s="302" t="s">
        <v>1785</v>
      </c>
      <c r="BJ4" s="13">
        <v>1</v>
      </c>
      <c r="BK4" s="13">
        <v>2</v>
      </c>
      <c r="BL4" s="13">
        <v>3</v>
      </c>
      <c r="BM4" s="13">
        <v>4</v>
      </c>
      <c r="BO4" s="302" t="s">
        <v>1786</v>
      </c>
      <c r="BP4" s="13">
        <v>1</v>
      </c>
      <c r="BQ4" s="13">
        <v>2</v>
      </c>
      <c r="BR4" s="13">
        <v>3</v>
      </c>
      <c r="BS4" s="13">
        <v>4</v>
      </c>
      <c r="BU4" s="302" t="s">
        <v>1787</v>
      </c>
      <c r="BV4" s="13">
        <v>1</v>
      </c>
      <c r="BW4" s="13">
        <v>2</v>
      </c>
      <c r="BX4" s="13">
        <v>3</v>
      </c>
      <c r="BY4" s="13">
        <v>4</v>
      </c>
      <c r="CA4" s="302" t="s">
        <v>1788</v>
      </c>
      <c r="CB4" s="13">
        <v>1</v>
      </c>
      <c r="CC4" s="13">
        <v>2</v>
      </c>
      <c r="CD4" s="13">
        <v>3</v>
      </c>
      <c r="CE4" s="13">
        <v>4</v>
      </c>
      <c r="CG4" s="304"/>
      <c r="CM4" s="304"/>
      <c r="CS4" s="304"/>
    </row>
    <row r="5" spans="1:101" ht="12" thickBot="1">
      <c r="A5" s="306" t="s">
        <v>615</v>
      </c>
      <c r="B5" s="307">
        <v>389</v>
      </c>
      <c r="C5" s="307">
        <v>452</v>
      </c>
      <c r="D5" s="307">
        <v>286</v>
      </c>
      <c r="E5" s="308">
        <v>349</v>
      </c>
      <c r="F5" s="14"/>
      <c r="G5" s="306" t="s">
        <v>676</v>
      </c>
      <c r="H5" s="307">
        <v>290</v>
      </c>
      <c r="I5" s="307">
        <v>355</v>
      </c>
      <c r="J5" s="307">
        <v>181</v>
      </c>
      <c r="K5" s="308">
        <v>245</v>
      </c>
      <c r="L5" s="14"/>
      <c r="M5" s="306" t="s">
        <v>1789</v>
      </c>
      <c r="N5" s="307">
        <v>176</v>
      </c>
      <c r="O5" s="307">
        <v>214</v>
      </c>
      <c r="P5" s="307">
        <v>108</v>
      </c>
      <c r="Q5" s="308">
        <v>146</v>
      </c>
      <c r="R5" s="14"/>
      <c r="S5" s="306" t="s">
        <v>886</v>
      </c>
      <c r="T5" s="307">
        <v>181</v>
      </c>
      <c r="U5" s="307">
        <v>219</v>
      </c>
      <c r="V5" s="307">
        <v>112</v>
      </c>
      <c r="W5" s="308">
        <v>150</v>
      </c>
      <c r="X5" s="14"/>
      <c r="Y5" s="306" t="s">
        <v>929</v>
      </c>
      <c r="Z5" s="307">
        <v>268</v>
      </c>
      <c r="AA5" s="307">
        <v>309</v>
      </c>
      <c r="AB5" s="307">
        <v>210</v>
      </c>
      <c r="AC5" s="308">
        <v>251</v>
      </c>
      <c r="AD5" s="14"/>
      <c r="AE5" s="309" t="s">
        <v>951</v>
      </c>
      <c r="AF5" s="310">
        <v>201</v>
      </c>
      <c r="AG5" s="310">
        <v>243</v>
      </c>
      <c r="AH5" s="310">
        <v>127</v>
      </c>
      <c r="AI5" s="311">
        <v>169</v>
      </c>
      <c r="AJ5" s="14"/>
      <c r="AK5" s="306" t="s">
        <v>886</v>
      </c>
      <c r="AL5" s="307">
        <v>181</v>
      </c>
      <c r="AM5" s="307">
        <v>219</v>
      </c>
      <c r="AN5" s="307">
        <v>112</v>
      </c>
      <c r="AO5" s="308">
        <v>150</v>
      </c>
      <c r="AP5" s="14"/>
      <c r="AQ5" s="309" t="s">
        <v>1356</v>
      </c>
      <c r="AR5" s="310">
        <v>270</v>
      </c>
      <c r="AS5" s="310">
        <v>314</v>
      </c>
      <c r="AT5" s="310">
        <v>194</v>
      </c>
      <c r="AU5" s="311">
        <v>237</v>
      </c>
      <c r="AV5" s="14"/>
      <c r="AW5" s="306" t="s">
        <v>1423</v>
      </c>
      <c r="AX5" s="307">
        <v>172</v>
      </c>
      <c r="AY5" s="307">
        <v>208</v>
      </c>
      <c r="AZ5" s="307">
        <v>106</v>
      </c>
      <c r="BA5" s="308">
        <v>142</v>
      </c>
      <c r="BB5" s="14"/>
      <c r="BC5" s="306" t="s">
        <v>1441</v>
      </c>
      <c r="BD5" s="307">
        <v>252</v>
      </c>
      <c r="BE5" s="307">
        <v>304</v>
      </c>
      <c r="BF5" s="307">
        <v>156</v>
      </c>
      <c r="BG5" s="308">
        <v>208</v>
      </c>
      <c r="BH5" s="14"/>
      <c r="BI5" s="309" t="s">
        <v>1481</v>
      </c>
      <c r="BJ5" s="310">
        <v>261</v>
      </c>
      <c r="BK5" s="310">
        <v>303</v>
      </c>
      <c r="BL5" s="310">
        <v>192</v>
      </c>
      <c r="BM5" s="311">
        <v>234</v>
      </c>
      <c r="BN5" s="14"/>
      <c r="BO5" s="306" t="s">
        <v>1790</v>
      </c>
      <c r="BP5" s="307"/>
      <c r="BQ5" s="307"/>
      <c r="BR5" s="307"/>
      <c r="BS5" s="308"/>
      <c r="BT5" s="14"/>
      <c r="BU5" s="306" t="s">
        <v>1621</v>
      </c>
      <c r="BV5" s="307">
        <v>234</v>
      </c>
      <c r="BW5" s="307">
        <v>260</v>
      </c>
      <c r="BX5" s="307">
        <v>213</v>
      </c>
      <c r="BY5" s="308">
        <v>240</v>
      </c>
      <c r="BZ5" s="14"/>
      <c r="CA5" s="309" t="s">
        <v>1649</v>
      </c>
      <c r="CB5" s="310">
        <v>219</v>
      </c>
      <c r="CC5" s="310">
        <v>265</v>
      </c>
      <c r="CD5" s="310">
        <v>139</v>
      </c>
      <c r="CE5" s="311">
        <v>185</v>
      </c>
      <c r="CF5" s="14"/>
      <c r="CH5" s="14"/>
      <c r="CI5" s="14"/>
      <c r="CJ5" s="14"/>
      <c r="CK5" s="14"/>
      <c r="CL5" s="14"/>
      <c r="CN5" s="14"/>
      <c r="CO5" s="14"/>
      <c r="CP5" s="14"/>
      <c r="CQ5" s="14"/>
      <c r="CR5" s="14"/>
      <c r="CT5" s="14"/>
      <c r="CU5" s="14"/>
      <c r="CV5" s="14"/>
      <c r="CW5" s="14"/>
    </row>
    <row r="6" spans="1:101" ht="12" thickBot="1">
      <c r="A6" s="312" t="s">
        <v>617</v>
      </c>
      <c r="B6" s="313">
        <v>334</v>
      </c>
      <c r="C6" s="313">
        <v>387</v>
      </c>
      <c r="D6" s="313">
        <v>247</v>
      </c>
      <c r="E6" s="314">
        <v>300</v>
      </c>
      <c r="F6" s="14"/>
      <c r="G6" s="315" t="s">
        <v>677</v>
      </c>
      <c r="H6" s="316">
        <v>217</v>
      </c>
      <c r="I6" s="316">
        <v>264</v>
      </c>
      <c r="J6" s="316">
        <v>138</v>
      </c>
      <c r="K6" s="317">
        <v>185</v>
      </c>
      <c r="L6" s="14"/>
      <c r="M6" s="315" t="s">
        <v>1791</v>
      </c>
      <c r="N6" s="316">
        <v>141</v>
      </c>
      <c r="O6" s="316">
        <v>171</v>
      </c>
      <c r="P6" s="316">
        <v>88</v>
      </c>
      <c r="Q6" s="317">
        <v>117</v>
      </c>
      <c r="R6" s="14"/>
      <c r="S6" s="312" t="s">
        <v>887</v>
      </c>
      <c r="T6" s="313">
        <v>145</v>
      </c>
      <c r="U6" s="313">
        <v>176</v>
      </c>
      <c r="V6" s="313">
        <v>90</v>
      </c>
      <c r="W6" s="314">
        <v>121</v>
      </c>
      <c r="X6" s="14"/>
      <c r="Y6" s="315" t="s">
        <v>930</v>
      </c>
      <c r="Z6" s="316">
        <v>238</v>
      </c>
      <c r="AA6" s="316">
        <v>274</v>
      </c>
      <c r="AB6" s="316">
        <v>189</v>
      </c>
      <c r="AC6" s="317">
        <v>225</v>
      </c>
      <c r="AD6" s="14"/>
      <c r="AE6" s="306" t="s">
        <v>953</v>
      </c>
      <c r="AF6" s="307">
        <v>201</v>
      </c>
      <c r="AG6" s="307">
        <v>243</v>
      </c>
      <c r="AH6" s="307">
        <v>126</v>
      </c>
      <c r="AI6" s="308">
        <v>168</v>
      </c>
      <c r="AJ6" s="14"/>
      <c r="AK6" s="312" t="s">
        <v>887</v>
      </c>
      <c r="AL6" s="313">
        <v>145</v>
      </c>
      <c r="AM6" s="313">
        <v>176</v>
      </c>
      <c r="AN6" s="313">
        <v>90</v>
      </c>
      <c r="AO6" s="314">
        <v>121</v>
      </c>
      <c r="AP6" s="14"/>
      <c r="AQ6" s="309" t="s">
        <v>1357</v>
      </c>
      <c r="AR6" s="310">
        <v>262</v>
      </c>
      <c r="AS6" s="310">
        <v>304</v>
      </c>
      <c r="AT6" s="310">
        <v>188</v>
      </c>
      <c r="AU6" s="311">
        <v>230</v>
      </c>
      <c r="AV6" s="14"/>
      <c r="AW6" s="312" t="s">
        <v>1424</v>
      </c>
      <c r="AX6" s="313">
        <v>144</v>
      </c>
      <c r="AY6" s="313">
        <v>174</v>
      </c>
      <c r="AZ6" s="313">
        <v>90</v>
      </c>
      <c r="BA6" s="314">
        <v>120</v>
      </c>
      <c r="BB6" s="14"/>
      <c r="BC6" s="315" t="s">
        <v>1442</v>
      </c>
      <c r="BD6" s="316">
        <v>195</v>
      </c>
      <c r="BE6" s="316">
        <v>235</v>
      </c>
      <c r="BF6" s="316">
        <v>122</v>
      </c>
      <c r="BG6" s="317">
        <v>162</v>
      </c>
      <c r="BH6" s="14"/>
      <c r="BI6" s="306" t="s">
        <v>1482</v>
      </c>
      <c r="BJ6" s="307">
        <v>248</v>
      </c>
      <c r="BK6" s="307">
        <v>285</v>
      </c>
      <c r="BL6" s="307">
        <v>187</v>
      </c>
      <c r="BM6" s="308">
        <v>224</v>
      </c>
      <c r="BN6" s="14"/>
      <c r="BO6" s="315" t="s">
        <v>1491</v>
      </c>
      <c r="BP6" s="316">
        <v>239</v>
      </c>
      <c r="BQ6" s="316">
        <v>276</v>
      </c>
      <c r="BR6" s="316">
        <v>185</v>
      </c>
      <c r="BS6" s="317">
        <v>222</v>
      </c>
      <c r="BT6" s="14"/>
      <c r="BU6" s="315" t="s">
        <v>1623</v>
      </c>
      <c r="BV6" s="316">
        <v>199</v>
      </c>
      <c r="BW6" s="316">
        <v>222</v>
      </c>
      <c r="BX6" s="316">
        <v>179</v>
      </c>
      <c r="BY6" s="317">
        <v>202</v>
      </c>
      <c r="BZ6" s="14"/>
      <c r="CA6" s="309" t="s">
        <v>1650</v>
      </c>
      <c r="CB6" s="310">
        <v>199</v>
      </c>
      <c r="CC6" s="310">
        <v>241</v>
      </c>
      <c r="CD6" s="310">
        <v>125</v>
      </c>
      <c r="CE6" s="311">
        <v>167</v>
      </c>
      <c r="CF6" s="14"/>
      <c r="CH6" s="14"/>
      <c r="CI6" s="14"/>
      <c r="CJ6" s="14"/>
      <c r="CK6" s="14"/>
      <c r="CL6" s="14"/>
      <c r="CN6" s="14"/>
      <c r="CO6" s="14"/>
      <c r="CP6" s="14"/>
      <c r="CQ6" s="14"/>
      <c r="CR6" s="14"/>
      <c r="CT6" s="14"/>
      <c r="CU6" s="14"/>
      <c r="CV6" s="14"/>
      <c r="CW6" s="14"/>
    </row>
    <row r="7" spans="1:101" ht="12" thickBot="1">
      <c r="A7" s="306" t="s">
        <v>618</v>
      </c>
      <c r="B7" s="307">
        <v>370</v>
      </c>
      <c r="C7" s="307">
        <v>428</v>
      </c>
      <c r="D7" s="307">
        <v>271</v>
      </c>
      <c r="E7" s="308">
        <v>329</v>
      </c>
      <c r="F7" s="14"/>
      <c r="G7" s="315" t="s">
        <v>678</v>
      </c>
      <c r="H7" s="316">
        <v>180</v>
      </c>
      <c r="I7" s="316">
        <v>218</v>
      </c>
      <c r="J7" s="316">
        <v>115</v>
      </c>
      <c r="K7" s="317">
        <v>154</v>
      </c>
      <c r="L7" s="14"/>
      <c r="M7" s="315" t="s">
        <v>1792</v>
      </c>
      <c r="N7" s="316">
        <v>105</v>
      </c>
      <c r="O7" s="316">
        <v>127</v>
      </c>
      <c r="P7" s="316">
        <v>66</v>
      </c>
      <c r="Q7" s="317">
        <v>88</v>
      </c>
      <c r="R7" s="14"/>
      <c r="S7" s="309" t="s">
        <v>1793</v>
      </c>
      <c r="T7" s="310">
        <v>143</v>
      </c>
      <c r="U7" s="310">
        <v>174</v>
      </c>
      <c r="V7" s="310">
        <v>88</v>
      </c>
      <c r="W7" s="311">
        <v>119</v>
      </c>
      <c r="X7" s="14"/>
      <c r="Y7" s="315" t="s">
        <v>931</v>
      </c>
      <c r="Z7" s="316">
        <v>220</v>
      </c>
      <c r="AA7" s="316">
        <v>252</v>
      </c>
      <c r="AB7" s="316">
        <v>173</v>
      </c>
      <c r="AC7" s="317">
        <v>205</v>
      </c>
      <c r="AD7" s="14"/>
      <c r="AE7" s="312" t="s">
        <v>955</v>
      </c>
      <c r="AF7" s="313">
        <v>172</v>
      </c>
      <c r="AG7" s="313">
        <v>208</v>
      </c>
      <c r="AH7" s="313">
        <v>109</v>
      </c>
      <c r="AI7" s="314">
        <v>144</v>
      </c>
      <c r="AJ7" s="14"/>
      <c r="AK7" s="306" t="s">
        <v>1336</v>
      </c>
      <c r="AL7" s="307">
        <v>152</v>
      </c>
      <c r="AM7" s="307">
        <v>185</v>
      </c>
      <c r="AN7" s="307">
        <v>94</v>
      </c>
      <c r="AO7" s="308">
        <v>126</v>
      </c>
      <c r="AP7" s="14"/>
      <c r="AQ7" s="309" t="s">
        <v>1358</v>
      </c>
      <c r="AR7" s="310">
        <v>234</v>
      </c>
      <c r="AS7" s="310">
        <v>269</v>
      </c>
      <c r="AT7" s="310">
        <v>173</v>
      </c>
      <c r="AU7" s="311">
        <v>207</v>
      </c>
      <c r="AV7" s="14"/>
      <c r="AW7" s="306" t="s">
        <v>1425</v>
      </c>
      <c r="AX7" s="307">
        <v>152</v>
      </c>
      <c r="AY7" s="307">
        <v>184</v>
      </c>
      <c r="AZ7" s="307">
        <v>94</v>
      </c>
      <c r="BA7" s="308">
        <v>126</v>
      </c>
      <c r="BB7" s="14"/>
      <c r="BC7" s="312" t="s">
        <v>1443</v>
      </c>
      <c r="BD7" s="313">
        <v>161</v>
      </c>
      <c r="BE7" s="313">
        <v>194</v>
      </c>
      <c r="BF7" s="313">
        <v>101</v>
      </c>
      <c r="BG7" s="314">
        <v>134</v>
      </c>
      <c r="BH7" s="14"/>
      <c r="BI7" s="315" t="s">
        <v>1483</v>
      </c>
      <c r="BJ7" s="316">
        <v>231</v>
      </c>
      <c r="BK7" s="316">
        <v>263</v>
      </c>
      <c r="BL7" s="316">
        <v>180</v>
      </c>
      <c r="BM7" s="317">
        <v>211</v>
      </c>
      <c r="BN7" s="14"/>
      <c r="BO7" s="315" t="s">
        <v>1492</v>
      </c>
      <c r="BP7" s="316">
        <v>223</v>
      </c>
      <c r="BQ7" s="316">
        <v>255</v>
      </c>
      <c r="BR7" s="316">
        <v>174</v>
      </c>
      <c r="BS7" s="317">
        <v>206</v>
      </c>
      <c r="BT7" s="14"/>
      <c r="BU7" s="312" t="s">
        <v>1625</v>
      </c>
      <c r="BV7" s="313">
        <v>146</v>
      </c>
      <c r="BW7" s="313">
        <v>164</v>
      </c>
      <c r="BX7" s="313">
        <v>132</v>
      </c>
      <c r="BY7" s="314">
        <v>150</v>
      </c>
      <c r="BZ7" s="14"/>
      <c r="CA7" s="306" t="s">
        <v>1651</v>
      </c>
      <c r="CB7" s="307">
        <v>281</v>
      </c>
      <c r="CC7" s="307">
        <v>323</v>
      </c>
      <c r="CD7" s="307">
        <v>210</v>
      </c>
      <c r="CE7" s="308">
        <v>252</v>
      </c>
      <c r="CF7" s="14"/>
      <c r="CH7" s="14"/>
      <c r="CI7" s="14"/>
      <c r="CJ7" s="14"/>
      <c r="CK7" s="14"/>
      <c r="CL7" s="14"/>
      <c r="CN7" s="14"/>
      <c r="CO7" s="14"/>
      <c r="CP7" s="14"/>
      <c r="CQ7" s="14"/>
      <c r="CR7" s="14"/>
      <c r="CT7" s="14"/>
      <c r="CU7" s="14"/>
      <c r="CV7" s="14"/>
      <c r="CW7" s="14"/>
    </row>
    <row r="8" spans="1:101" ht="12" thickBot="1">
      <c r="A8" s="312" t="s">
        <v>619</v>
      </c>
      <c r="B8" s="313">
        <v>311</v>
      </c>
      <c r="C8" s="313">
        <v>360</v>
      </c>
      <c r="D8" s="313">
        <v>230</v>
      </c>
      <c r="E8" s="314">
        <v>279</v>
      </c>
      <c r="F8" s="14"/>
      <c r="G8" s="312" t="s">
        <v>679</v>
      </c>
      <c r="H8" s="313">
        <v>96</v>
      </c>
      <c r="I8" s="313">
        <v>116</v>
      </c>
      <c r="J8" s="313">
        <v>65</v>
      </c>
      <c r="K8" s="314">
        <v>85</v>
      </c>
      <c r="L8" s="14"/>
      <c r="M8" s="315" t="s">
        <v>830</v>
      </c>
      <c r="N8" s="316">
        <v>86</v>
      </c>
      <c r="O8" s="316">
        <v>104</v>
      </c>
      <c r="P8" s="316">
        <v>55</v>
      </c>
      <c r="Q8" s="317">
        <v>73</v>
      </c>
      <c r="R8" s="14"/>
      <c r="S8" s="306" t="s">
        <v>889</v>
      </c>
      <c r="T8" s="307">
        <v>129</v>
      </c>
      <c r="U8" s="307">
        <v>156</v>
      </c>
      <c r="V8" s="307">
        <v>80</v>
      </c>
      <c r="W8" s="308">
        <v>108</v>
      </c>
      <c r="X8" s="14"/>
      <c r="Y8" s="312" t="s">
        <v>932</v>
      </c>
      <c r="Z8" s="313">
        <v>200</v>
      </c>
      <c r="AA8" s="313">
        <v>229</v>
      </c>
      <c r="AB8" s="313">
        <v>158</v>
      </c>
      <c r="AC8" s="314">
        <v>188</v>
      </c>
      <c r="AD8" s="14"/>
      <c r="AE8" s="306" t="s">
        <v>957</v>
      </c>
      <c r="AF8" s="307">
        <v>336</v>
      </c>
      <c r="AG8" s="307">
        <v>393</v>
      </c>
      <c r="AH8" s="307">
        <v>231</v>
      </c>
      <c r="AI8" s="308">
        <v>289</v>
      </c>
      <c r="AJ8" s="14"/>
      <c r="AK8" s="312" t="s">
        <v>1338</v>
      </c>
      <c r="AL8" s="313">
        <v>114</v>
      </c>
      <c r="AM8" s="313">
        <v>138</v>
      </c>
      <c r="AN8" s="313">
        <v>71</v>
      </c>
      <c r="AO8" s="314">
        <v>95</v>
      </c>
      <c r="AP8" s="14"/>
      <c r="AQ8" s="306" t="s">
        <v>1359</v>
      </c>
      <c r="AR8" s="307">
        <v>244</v>
      </c>
      <c r="AS8" s="307">
        <v>286</v>
      </c>
      <c r="AT8" s="307">
        <v>169</v>
      </c>
      <c r="AU8" s="308">
        <v>210</v>
      </c>
      <c r="AV8" s="14"/>
      <c r="AW8" s="315" t="s">
        <v>1426</v>
      </c>
      <c r="AX8" s="316">
        <v>136</v>
      </c>
      <c r="AY8" s="316">
        <v>164</v>
      </c>
      <c r="AZ8" s="316">
        <v>84</v>
      </c>
      <c r="BA8" s="317">
        <v>112</v>
      </c>
      <c r="BB8" s="14"/>
      <c r="BC8" s="306" t="s">
        <v>1444</v>
      </c>
      <c r="BD8" s="307">
        <v>168</v>
      </c>
      <c r="BE8" s="307">
        <v>202</v>
      </c>
      <c r="BF8" s="307">
        <v>104</v>
      </c>
      <c r="BG8" s="308">
        <v>139</v>
      </c>
      <c r="BH8" s="14"/>
      <c r="BI8" s="315" t="s">
        <v>1484</v>
      </c>
      <c r="BJ8" s="316">
        <v>207</v>
      </c>
      <c r="BK8" s="316">
        <v>235</v>
      </c>
      <c r="BL8" s="316">
        <v>160</v>
      </c>
      <c r="BM8" s="317">
        <v>188</v>
      </c>
      <c r="BN8" s="14"/>
      <c r="BO8" s="315" t="s">
        <v>1493</v>
      </c>
      <c r="BP8" s="316">
        <v>210</v>
      </c>
      <c r="BQ8" s="316">
        <v>240</v>
      </c>
      <c r="BR8" s="316">
        <v>167</v>
      </c>
      <c r="BS8" s="317">
        <v>196</v>
      </c>
      <c r="BT8" s="14"/>
      <c r="BU8" s="306" t="s">
        <v>1627</v>
      </c>
      <c r="BV8" s="307">
        <v>218</v>
      </c>
      <c r="BW8" s="307">
        <v>240</v>
      </c>
      <c r="BX8" s="307">
        <v>199</v>
      </c>
      <c r="BY8" s="308">
        <v>222</v>
      </c>
      <c r="BZ8" s="14"/>
      <c r="CA8" s="312" t="s">
        <v>1652</v>
      </c>
      <c r="CB8" s="313">
        <v>182</v>
      </c>
      <c r="CC8" s="313">
        <v>220</v>
      </c>
      <c r="CD8" s="313">
        <v>113</v>
      </c>
      <c r="CE8" s="314">
        <v>151</v>
      </c>
      <c r="CF8" s="14"/>
      <c r="CH8" s="14"/>
      <c r="CI8" s="14"/>
      <c r="CJ8" s="14"/>
      <c r="CK8" s="14"/>
      <c r="CL8" s="14"/>
      <c r="CN8" s="14"/>
      <c r="CO8" s="14"/>
      <c r="CP8" s="14"/>
      <c r="CQ8" s="14"/>
      <c r="CR8" s="14"/>
      <c r="CT8" s="14"/>
      <c r="CU8" s="14"/>
      <c r="CV8" s="14"/>
      <c r="CW8" s="14"/>
    </row>
    <row r="9" spans="1:101" ht="12" thickBot="1">
      <c r="A9" s="306" t="s">
        <v>620</v>
      </c>
      <c r="B9" s="307">
        <v>354</v>
      </c>
      <c r="C9" s="307">
        <v>409</v>
      </c>
      <c r="D9" s="307">
        <v>260</v>
      </c>
      <c r="E9" s="308">
        <v>314</v>
      </c>
      <c r="F9" s="14"/>
      <c r="G9" s="306" t="s">
        <v>680</v>
      </c>
      <c r="H9" s="307">
        <v>296</v>
      </c>
      <c r="I9" s="307">
        <v>361</v>
      </c>
      <c r="J9" s="307">
        <v>182</v>
      </c>
      <c r="K9" s="308">
        <v>247</v>
      </c>
      <c r="L9" s="14"/>
      <c r="M9" s="315" t="s">
        <v>831</v>
      </c>
      <c r="N9" s="316">
        <v>71</v>
      </c>
      <c r="O9" s="316">
        <v>86</v>
      </c>
      <c r="P9" s="316">
        <v>46</v>
      </c>
      <c r="Q9" s="317">
        <v>60</v>
      </c>
      <c r="R9" s="14"/>
      <c r="S9" s="312" t="s">
        <v>1794</v>
      </c>
      <c r="T9" s="313">
        <v>111</v>
      </c>
      <c r="U9" s="313">
        <v>135</v>
      </c>
      <c r="V9" s="313">
        <v>70</v>
      </c>
      <c r="W9" s="314">
        <v>94</v>
      </c>
      <c r="X9" s="14"/>
      <c r="Y9" s="306" t="s">
        <v>933</v>
      </c>
      <c r="Z9" s="307">
        <v>185</v>
      </c>
      <c r="AA9" s="307">
        <v>212</v>
      </c>
      <c r="AB9" s="307">
        <v>147</v>
      </c>
      <c r="AC9" s="308">
        <v>174</v>
      </c>
      <c r="AD9" s="14"/>
      <c r="AE9" s="315" t="s">
        <v>959</v>
      </c>
      <c r="AF9" s="316">
        <v>253</v>
      </c>
      <c r="AG9" s="316">
        <v>297</v>
      </c>
      <c r="AH9" s="316">
        <v>175</v>
      </c>
      <c r="AI9" s="317">
        <v>219</v>
      </c>
      <c r="AJ9" s="14"/>
      <c r="AK9" s="306" t="s">
        <v>1340</v>
      </c>
      <c r="AL9" s="307">
        <v>147</v>
      </c>
      <c r="AM9" s="307">
        <v>178</v>
      </c>
      <c r="AN9" s="307">
        <v>91</v>
      </c>
      <c r="AO9" s="308">
        <v>121</v>
      </c>
      <c r="AP9" s="14"/>
      <c r="AQ9" s="315" t="s">
        <v>1360</v>
      </c>
      <c r="AR9" s="316">
        <v>207</v>
      </c>
      <c r="AS9" s="316">
        <v>242</v>
      </c>
      <c r="AT9" s="316">
        <v>143</v>
      </c>
      <c r="AU9" s="317">
        <v>178</v>
      </c>
      <c r="AV9" s="14"/>
      <c r="AW9" s="312" t="s">
        <v>1427</v>
      </c>
      <c r="AX9" s="313">
        <v>114</v>
      </c>
      <c r="AY9" s="313">
        <v>138</v>
      </c>
      <c r="AZ9" s="313">
        <v>71</v>
      </c>
      <c r="BA9" s="314">
        <v>95</v>
      </c>
      <c r="BB9" s="14"/>
      <c r="BC9" s="315" t="s">
        <v>1445</v>
      </c>
      <c r="BD9" s="316">
        <v>150</v>
      </c>
      <c r="BE9" s="316">
        <v>180</v>
      </c>
      <c r="BF9" s="316">
        <v>93</v>
      </c>
      <c r="BG9" s="317">
        <v>124</v>
      </c>
      <c r="BH9" s="14"/>
      <c r="BI9" s="312" t="s">
        <v>1485</v>
      </c>
      <c r="BJ9" s="313">
        <v>198</v>
      </c>
      <c r="BK9" s="313">
        <v>224</v>
      </c>
      <c r="BL9" s="313">
        <v>155</v>
      </c>
      <c r="BM9" s="314">
        <v>181</v>
      </c>
      <c r="BN9" s="14"/>
      <c r="BO9" s="312" t="s">
        <v>1494</v>
      </c>
      <c r="BP9" s="313">
        <v>200</v>
      </c>
      <c r="BQ9" s="313">
        <v>228</v>
      </c>
      <c r="BR9" s="313">
        <v>160</v>
      </c>
      <c r="BS9" s="314">
        <v>188</v>
      </c>
      <c r="BT9" s="14"/>
      <c r="BU9" s="315" t="s">
        <v>1629</v>
      </c>
      <c r="BV9" s="316">
        <v>167</v>
      </c>
      <c r="BW9" s="316">
        <v>186</v>
      </c>
      <c r="BX9" s="316">
        <v>153</v>
      </c>
      <c r="BY9" s="317">
        <v>171</v>
      </c>
      <c r="BZ9" s="14"/>
      <c r="CA9" s="309" t="s">
        <v>1653</v>
      </c>
      <c r="CB9" s="310">
        <v>163</v>
      </c>
      <c r="CC9" s="310">
        <v>197</v>
      </c>
      <c r="CD9" s="310">
        <v>102</v>
      </c>
      <c r="CE9" s="311">
        <v>136</v>
      </c>
      <c r="CF9" s="14"/>
      <c r="CH9" s="14"/>
      <c r="CI9" s="14"/>
      <c r="CJ9" s="14"/>
      <c r="CK9" s="14"/>
      <c r="CL9" s="14"/>
      <c r="CN9" s="14"/>
      <c r="CO9" s="14"/>
      <c r="CP9" s="14"/>
      <c r="CQ9" s="14"/>
      <c r="CR9" s="14"/>
      <c r="CT9" s="14"/>
      <c r="CU9" s="14"/>
      <c r="CV9" s="14"/>
      <c r="CW9" s="14"/>
    </row>
    <row r="10" spans="1:101" ht="12" thickBot="1">
      <c r="A10" s="312" t="s">
        <v>621</v>
      </c>
      <c r="B10" s="313">
        <v>291</v>
      </c>
      <c r="C10" s="313">
        <v>335</v>
      </c>
      <c r="D10" s="313">
        <v>215</v>
      </c>
      <c r="E10" s="314">
        <v>259</v>
      </c>
      <c r="F10" s="14"/>
      <c r="G10" s="315" t="s">
        <v>681</v>
      </c>
      <c r="H10" s="316">
        <v>220</v>
      </c>
      <c r="I10" s="316">
        <v>267</v>
      </c>
      <c r="J10" s="316">
        <v>137</v>
      </c>
      <c r="K10" s="317">
        <v>185</v>
      </c>
      <c r="L10" s="14"/>
      <c r="M10" s="312" t="s">
        <v>832</v>
      </c>
      <c r="N10" s="313">
        <v>59</v>
      </c>
      <c r="O10" s="313">
        <v>72</v>
      </c>
      <c r="P10" s="313">
        <v>39</v>
      </c>
      <c r="Q10" s="314">
        <v>51</v>
      </c>
      <c r="R10" s="14"/>
      <c r="S10" s="306" t="s">
        <v>891</v>
      </c>
      <c r="T10" s="307">
        <v>147</v>
      </c>
      <c r="U10" s="307">
        <v>178</v>
      </c>
      <c r="V10" s="307">
        <v>91</v>
      </c>
      <c r="W10" s="308">
        <v>121</v>
      </c>
      <c r="X10" s="14"/>
      <c r="Y10" s="315" t="s">
        <v>934</v>
      </c>
      <c r="Z10" s="316">
        <v>171</v>
      </c>
      <c r="AA10" s="316">
        <v>196</v>
      </c>
      <c r="AB10" s="316">
        <v>136</v>
      </c>
      <c r="AC10" s="317">
        <v>161</v>
      </c>
      <c r="AD10" s="14"/>
      <c r="AE10" s="315" t="s">
        <v>961</v>
      </c>
      <c r="AF10" s="316">
        <v>197</v>
      </c>
      <c r="AG10" s="316">
        <v>231</v>
      </c>
      <c r="AH10" s="316">
        <v>138</v>
      </c>
      <c r="AI10" s="317">
        <v>172</v>
      </c>
      <c r="AJ10" s="14"/>
      <c r="AK10" s="315" t="s">
        <v>1342</v>
      </c>
      <c r="AL10" s="316">
        <v>124</v>
      </c>
      <c r="AM10" s="316">
        <v>150</v>
      </c>
      <c r="AN10" s="316">
        <v>77</v>
      </c>
      <c r="AO10" s="317">
        <v>103</v>
      </c>
      <c r="AP10" s="14"/>
      <c r="AQ10" s="312" t="s">
        <v>1361</v>
      </c>
      <c r="AR10" s="313">
        <v>281</v>
      </c>
      <c r="AS10" s="313">
        <v>318</v>
      </c>
      <c r="AT10" s="313">
        <v>218</v>
      </c>
      <c r="AU10" s="314">
        <v>254</v>
      </c>
      <c r="AV10" s="14"/>
      <c r="AW10" s="306" t="s">
        <v>1428</v>
      </c>
      <c r="AX10" s="307">
        <v>146</v>
      </c>
      <c r="AY10" s="307">
        <v>177</v>
      </c>
      <c r="AZ10" s="307">
        <v>90</v>
      </c>
      <c r="BA10" s="308">
        <v>121</v>
      </c>
      <c r="BB10" s="14"/>
      <c r="BC10" s="315" t="s">
        <v>1446</v>
      </c>
      <c r="BD10" s="316">
        <v>131</v>
      </c>
      <c r="BE10" s="316">
        <v>158</v>
      </c>
      <c r="BF10" s="316">
        <v>82</v>
      </c>
      <c r="BG10" s="317">
        <v>109</v>
      </c>
      <c r="BH10" s="14"/>
      <c r="BI10" s="306" t="s">
        <v>1486</v>
      </c>
      <c r="BJ10" s="307">
        <v>187</v>
      </c>
      <c r="BK10" s="307">
        <v>211</v>
      </c>
      <c r="BL10" s="307">
        <v>149</v>
      </c>
      <c r="BM10" s="308">
        <v>172</v>
      </c>
      <c r="BN10" s="14"/>
      <c r="BO10" s="306" t="s">
        <v>1495</v>
      </c>
      <c r="BP10" s="307">
        <v>193</v>
      </c>
      <c r="BQ10" s="307">
        <v>218</v>
      </c>
      <c r="BR10" s="307">
        <v>154</v>
      </c>
      <c r="BS10" s="308">
        <v>179</v>
      </c>
      <c r="BT10" s="14"/>
      <c r="BU10" s="315" t="s">
        <v>1631</v>
      </c>
      <c r="BV10" s="316">
        <v>141</v>
      </c>
      <c r="BW10" s="316">
        <v>157</v>
      </c>
      <c r="BX10" s="316">
        <v>128</v>
      </c>
      <c r="BY10" s="317">
        <v>144</v>
      </c>
      <c r="BZ10" s="14"/>
      <c r="CA10" s="315" t="s">
        <v>1654</v>
      </c>
      <c r="CB10" s="316">
        <v>295</v>
      </c>
      <c r="CC10" s="316">
        <v>339</v>
      </c>
      <c r="CD10" s="316">
        <v>218</v>
      </c>
      <c r="CE10" s="317">
        <v>262</v>
      </c>
      <c r="CF10" s="14"/>
      <c r="CH10" s="14"/>
      <c r="CI10" s="14"/>
      <c r="CJ10" s="14"/>
      <c r="CK10" s="14"/>
      <c r="CL10" s="14"/>
      <c r="CN10" s="14"/>
      <c r="CO10" s="14"/>
      <c r="CP10" s="14"/>
      <c r="CQ10" s="14"/>
      <c r="CR10" s="14"/>
      <c r="CT10" s="14"/>
      <c r="CU10" s="14"/>
      <c r="CV10" s="14"/>
      <c r="CW10" s="14"/>
    </row>
    <row r="11" spans="1:101" ht="12" thickBot="1">
      <c r="A11" s="306" t="s">
        <v>622</v>
      </c>
      <c r="B11" s="307">
        <v>332</v>
      </c>
      <c r="C11" s="307">
        <v>382</v>
      </c>
      <c r="D11" s="307">
        <v>245</v>
      </c>
      <c r="E11" s="308">
        <v>295</v>
      </c>
      <c r="F11" s="14"/>
      <c r="G11" s="315" t="s">
        <v>682</v>
      </c>
      <c r="H11" s="316">
        <v>167</v>
      </c>
      <c r="I11" s="316">
        <v>202</v>
      </c>
      <c r="J11" s="316">
        <v>106</v>
      </c>
      <c r="K11" s="317">
        <v>141</v>
      </c>
      <c r="L11" s="14"/>
      <c r="M11" s="306" t="s">
        <v>1795</v>
      </c>
      <c r="N11" s="307">
        <v>152</v>
      </c>
      <c r="O11" s="307">
        <v>184</v>
      </c>
      <c r="P11" s="307">
        <v>95</v>
      </c>
      <c r="Q11" s="308">
        <v>127</v>
      </c>
      <c r="R11" s="14"/>
      <c r="S11" s="315" t="s">
        <v>892</v>
      </c>
      <c r="T11" s="316">
        <v>132</v>
      </c>
      <c r="U11" s="316">
        <v>159</v>
      </c>
      <c r="V11" s="316">
        <v>81</v>
      </c>
      <c r="W11" s="317">
        <v>109</v>
      </c>
      <c r="X11" s="14"/>
      <c r="Y11" s="315" t="s">
        <v>935</v>
      </c>
      <c r="Z11" s="316">
        <v>160</v>
      </c>
      <c r="AA11" s="316">
        <v>183</v>
      </c>
      <c r="AB11" s="316">
        <v>127</v>
      </c>
      <c r="AC11" s="317">
        <v>150</v>
      </c>
      <c r="AD11" s="14"/>
      <c r="AE11" s="315" t="s">
        <v>963</v>
      </c>
      <c r="AF11" s="316">
        <v>259</v>
      </c>
      <c r="AG11" s="316">
        <v>313</v>
      </c>
      <c r="AH11" s="316">
        <v>160</v>
      </c>
      <c r="AI11" s="317">
        <v>213</v>
      </c>
      <c r="AJ11" s="14"/>
      <c r="AK11" s="315" t="s">
        <v>1344</v>
      </c>
      <c r="AL11" s="316">
        <v>106</v>
      </c>
      <c r="AM11" s="316">
        <v>128</v>
      </c>
      <c r="AN11" s="316">
        <v>66</v>
      </c>
      <c r="AO11" s="317">
        <v>88</v>
      </c>
      <c r="AP11" s="14"/>
      <c r="AQ11" s="306" t="s">
        <v>1362</v>
      </c>
      <c r="AR11" s="307">
        <v>248</v>
      </c>
      <c r="AS11" s="307">
        <v>280</v>
      </c>
      <c r="AT11" s="307">
        <v>192</v>
      </c>
      <c r="AU11" s="308">
        <v>224</v>
      </c>
      <c r="AV11" s="14"/>
      <c r="AW11" s="315" t="s">
        <v>1429</v>
      </c>
      <c r="AX11" s="316">
        <v>132</v>
      </c>
      <c r="AY11" s="316">
        <v>159</v>
      </c>
      <c r="AZ11" s="316">
        <v>81</v>
      </c>
      <c r="BA11" s="317">
        <v>109</v>
      </c>
      <c r="BB11" s="14"/>
      <c r="BC11" s="315" t="s">
        <v>1447</v>
      </c>
      <c r="BD11" s="316">
        <v>112</v>
      </c>
      <c r="BE11" s="316">
        <v>135</v>
      </c>
      <c r="BF11" s="316">
        <v>71</v>
      </c>
      <c r="BG11" s="317">
        <v>93</v>
      </c>
      <c r="BH11" s="14"/>
      <c r="BI11" s="315" t="s">
        <v>1487</v>
      </c>
      <c r="BJ11" s="316">
        <v>180</v>
      </c>
      <c r="BK11" s="316">
        <v>202</v>
      </c>
      <c r="BL11" s="316">
        <v>143</v>
      </c>
      <c r="BM11" s="317">
        <v>165</v>
      </c>
      <c r="BN11" s="14"/>
      <c r="BO11" s="315" t="s">
        <v>1496</v>
      </c>
      <c r="BP11" s="316">
        <v>182</v>
      </c>
      <c r="BQ11" s="316">
        <v>205</v>
      </c>
      <c r="BR11" s="316">
        <v>148</v>
      </c>
      <c r="BS11" s="317">
        <v>171</v>
      </c>
      <c r="BT11" s="14"/>
      <c r="BU11" s="312" t="s">
        <v>1633</v>
      </c>
      <c r="BV11" s="313">
        <v>114</v>
      </c>
      <c r="BW11" s="313">
        <v>127</v>
      </c>
      <c r="BX11" s="313">
        <v>103</v>
      </c>
      <c r="BY11" s="314">
        <v>116</v>
      </c>
      <c r="BZ11" s="14"/>
      <c r="CA11" s="315" t="s">
        <v>1655</v>
      </c>
      <c r="CB11" s="316">
        <v>253</v>
      </c>
      <c r="CC11" s="316">
        <v>291</v>
      </c>
      <c r="CD11" s="316">
        <v>187</v>
      </c>
      <c r="CE11" s="317">
        <v>225</v>
      </c>
      <c r="CF11" s="14"/>
      <c r="CH11" s="14"/>
      <c r="CI11" s="14"/>
      <c r="CJ11" s="14"/>
      <c r="CK11" s="14"/>
      <c r="CL11" s="14"/>
      <c r="CN11" s="14"/>
      <c r="CO11" s="14"/>
      <c r="CP11" s="14"/>
      <c r="CQ11" s="14"/>
      <c r="CR11" s="14"/>
      <c r="CT11" s="14"/>
      <c r="CU11" s="14"/>
      <c r="CV11" s="14"/>
      <c r="CW11" s="14"/>
    </row>
    <row r="12" spans="1:101" ht="12" thickBot="1">
      <c r="A12" s="312" t="s">
        <v>623</v>
      </c>
      <c r="B12" s="313">
        <v>269</v>
      </c>
      <c r="C12" s="313">
        <v>310</v>
      </c>
      <c r="D12" s="313">
        <v>200</v>
      </c>
      <c r="E12" s="314">
        <v>241</v>
      </c>
      <c r="F12" s="14"/>
      <c r="G12" s="312" t="s">
        <v>683</v>
      </c>
      <c r="H12" s="313">
        <v>92</v>
      </c>
      <c r="I12" s="313">
        <v>111</v>
      </c>
      <c r="J12" s="313">
        <v>61</v>
      </c>
      <c r="K12" s="314">
        <v>80</v>
      </c>
      <c r="L12" s="14"/>
      <c r="M12" s="315" t="s">
        <v>1796</v>
      </c>
      <c r="N12" s="316">
        <v>117</v>
      </c>
      <c r="O12" s="316">
        <v>141</v>
      </c>
      <c r="P12" s="316">
        <v>74</v>
      </c>
      <c r="Q12" s="317">
        <v>98</v>
      </c>
      <c r="R12" s="14"/>
      <c r="S12" s="315" t="s">
        <v>893</v>
      </c>
      <c r="T12" s="316">
        <v>122</v>
      </c>
      <c r="U12" s="316">
        <v>148</v>
      </c>
      <c r="V12" s="316">
        <v>76</v>
      </c>
      <c r="W12" s="317">
        <v>101</v>
      </c>
      <c r="X12" s="14"/>
      <c r="Y12" s="315" t="s">
        <v>936</v>
      </c>
      <c r="Z12" s="316">
        <v>149</v>
      </c>
      <c r="AA12" s="316">
        <v>170</v>
      </c>
      <c r="AB12" s="316">
        <v>119</v>
      </c>
      <c r="AC12" s="317">
        <v>140</v>
      </c>
      <c r="AD12" s="14"/>
      <c r="AE12" s="315" t="s">
        <v>965</v>
      </c>
      <c r="AF12" s="316">
        <v>198</v>
      </c>
      <c r="AG12" s="316">
        <v>238</v>
      </c>
      <c r="AH12" s="316">
        <v>123</v>
      </c>
      <c r="AI12" s="317">
        <v>164</v>
      </c>
      <c r="AJ12" s="14"/>
      <c r="AK12" s="315" t="s">
        <v>1346</v>
      </c>
      <c r="AL12" s="316">
        <v>94</v>
      </c>
      <c r="AM12" s="316">
        <v>114</v>
      </c>
      <c r="AN12" s="316">
        <v>59</v>
      </c>
      <c r="AO12" s="317">
        <v>79</v>
      </c>
      <c r="AP12" s="14"/>
      <c r="AQ12" s="315" t="s">
        <v>1363</v>
      </c>
      <c r="AR12" s="316">
        <v>222</v>
      </c>
      <c r="AS12" s="316">
        <v>251</v>
      </c>
      <c r="AT12" s="316">
        <v>173</v>
      </c>
      <c r="AU12" s="317">
        <v>201</v>
      </c>
      <c r="AV12" s="14"/>
      <c r="AW12" s="315" t="s">
        <v>1430</v>
      </c>
      <c r="AX12" s="316">
        <v>122</v>
      </c>
      <c r="AY12" s="316">
        <v>148</v>
      </c>
      <c r="AZ12" s="316">
        <v>76</v>
      </c>
      <c r="BA12" s="317">
        <v>101</v>
      </c>
      <c r="BB12" s="14"/>
      <c r="BC12" s="312" t="s">
        <v>1448</v>
      </c>
      <c r="BD12" s="313">
        <v>94</v>
      </c>
      <c r="BE12" s="313">
        <v>113</v>
      </c>
      <c r="BF12" s="313">
        <v>60</v>
      </c>
      <c r="BG12" s="314">
        <v>79</v>
      </c>
      <c r="BH12" s="14"/>
      <c r="BI12" s="312" t="s">
        <v>1488</v>
      </c>
      <c r="BJ12" s="313">
        <v>166</v>
      </c>
      <c r="BK12" s="313">
        <v>185</v>
      </c>
      <c r="BL12" s="313">
        <v>134</v>
      </c>
      <c r="BM12" s="314">
        <v>153</v>
      </c>
      <c r="BN12" s="14"/>
      <c r="BO12" s="315" t="s">
        <v>1497</v>
      </c>
      <c r="BP12" s="316">
        <v>171</v>
      </c>
      <c r="BQ12" s="316">
        <v>192</v>
      </c>
      <c r="BR12" s="316">
        <v>139</v>
      </c>
      <c r="BS12" s="317">
        <v>160</v>
      </c>
      <c r="BT12" s="14"/>
      <c r="BU12" s="306" t="s">
        <v>1635</v>
      </c>
      <c r="BV12" s="307">
        <v>191</v>
      </c>
      <c r="BW12" s="307">
        <v>210</v>
      </c>
      <c r="BX12" s="307">
        <v>174</v>
      </c>
      <c r="BY12" s="308">
        <v>193</v>
      </c>
      <c r="BZ12" s="14"/>
      <c r="CA12" s="315" t="s">
        <v>1656</v>
      </c>
      <c r="CB12" s="316">
        <v>151</v>
      </c>
      <c r="CC12" s="316">
        <v>183</v>
      </c>
      <c r="CD12" s="316">
        <v>94</v>
      </c>
      <c r="CE12" s="317">
        <v>126</v>
      </c>
      <c r="CF12" s="14"/>
      <c r="CH12" s="14"/>
      <c r="CI12" s="14"/>
      <c r="CJ12" s="14"/>
      <c r="CK12" s="14"/>
      <c r="CL12" s="14"/>
      <c r="CN12" s="14"/>
      <c r="CO12" s="14"/>
      <c r="CP12" s="14"/>
      <c r="CQ12" s="14"/>
      <c r="CR12" s="14"/>
      <c r="CT12" s="14"/>
      <c r="CU12" s="14"/>
      <c r="CV12" s="14"/>
      <c r="CW12" s="14"/>
    </row>
    <row r="13" spans="1:101" ht="12" thickBot="1">
      <c r="A13" s="306" t="s">
        <v>624</v>
      </c>
      <c r="B13" s="307">
        <v>308</v>
      </c>
      <c r="C13" s="307">
        <v>354</v>
      </c>
      <c r="D13" s="307">
        <v>227</v>
      </c>
      <c r="E13" s="308">
        <v>274</v>
      </c>
      <c r="F13" s="14"/>
      <c r="G13" s="306" t="s">
        <v>684</v>
      </c>
      <c r="H13" s="307">
        <v>281</v>
      </c>
      <c r="I13" s="307">
        <v>342</v>
      </c>
      <c r="J13" s="307">
        <v>172</v>
      </c>
      <c r="K13" s="308">
        <v>233</v>
      </c>
      <c r="L13" s="14"/>
      <c r="M13" s="315" t="s">
        <v>835</v>
      </c>
      <c r="N13" s="316">
        <v>91</v>
      </c>
      <c r="O13" s="316">
        <v>110</v>
      </c>
      <c r="P13" s="316">
        <v>58</v>
      </c>
      <c r="Q13" s="317">
        <v>77</v>
      </c>
      <c r="R13" s="14"/>
      <c r="S13" s="315" t="s">
        <v>894</v>
      </c>
      <c r="T13" s="316">
        <v>106</v>
      </c>
      <c r="U13" s="316">
        <v>129</v>
      </c>
      <c r="V13" s="316">
        <v>66</v>
      </c>
      <c r="W13" s="317">
        <v>88</v>
      </c>
      <c r="X13" s="14"/>
      <c r="Y13" s="312" t="s">
        <v>937</v>
      </c>
      <c r="Z13" s="313">
        <v>139</v>
      </c>
      <c r="AA13" s="313">
        <v>158</v>
      </c>
      <c r="AB13" s="313">
        <v>111</v>
      </c>
      <c r="AC13" s="314">
        <v>131</v>
      </c>
      <c r="AD13" s="14"/>
      <c r="AE13" s="312" t="s">
        <v>967</v>
      </c>
      <c r="AF13" s="313">
        <v>160</v>
      </c>
      <c r="AG13" s="313">
        <v>193</v>
      </c>
      <c r="AH13" s="313">
        <v>101</v>
      </c>
      <c r="AI13" s="314">
        <v>134</v>
      </c>
      <c r="AJ13" s="14"/>
      <c r="AK13" s="312" t="s">
        <v>1348</v>
      </c>
      <c r="AL13" s="313">
        <v>90</v>
      </c>
      <c r="AM13" s="313">
        <v>109</v>
      </c>
      <c r="AN13" s="313">
        <v>56</v>
      </c>
      <c r="AO13" s="314">
        <v>75</v>
      </c>
      <c r="AP13" s="14"/>
      <c r="AQ13" s="315" t="s">
        <v>1364</v>
      </c>
      <c r="AR13" s="316">
        <v>231</v>
      </c>
      <c r="AS13" s="316">
        <v>268</v>
      </c>
      <c r="AT13" s="316">
        <v>164</v>
      </c>
      <c r="AU13" s="317">
        <v>200</v>
      </c>
      <c r="AV13" s="14"/>
      <c r="AW13" s="315" t="s">
        <v>1431</v>
      </c>
      <c r="AX13" s="316">
        <v>106</v>
      </c>
      <c r="AY13" s="316">
        <v>129</v>
      </c>
      <c r="AZ13" s="316">
        <v>66</v>
      </c>
      <c r="BA13" s="317">
        <v>88</v>
      </c>
      <c r="BB13" s="14"/>
      <c r="BC13" s="306" t="s">
        <v>1449</v>
      </c>
      <c r="BD13" s="307">
        <v>132</v>
      </c>
      <c r="BE13" s="307">
        <v>160</v>
      </c>
      <c r="BF13" s="307">
        <v>82</v>
      </c>
      <c r="BG13" s="308">
        <v>109</v>
      </c>
      <c r="BH13" s="14"/>
      <c r="BI13" s="309" t="s">
        <v>1489</v>
      </c>
      <c r="BJ13" s="310">
        <v>148</v>
      </c>
      <c r="BK13" s="310">
        <v>165</v>
      </c>
      <c r="BL13" s="310">
        <v>120</v>
      </c>
      <c r="BM13" s="311">
        <v>137</v>
      </c>
      <c r="BN13" s="14"/>
      <c r="BO13" s="315" t="s">
        <v>1498</v>
      </c>
      <c r="BP13" s="316">
        <v>163</v>
      </c>
      <c r="BQ13" s="316">
        <v>183</v>
      </c>
      <c r="BR13" s="316">
        <v>134</v>
      </c>
      <c r="BS13" s="317">
        <v>154</v>
      </c>
      <c r="BT13" s="14"/>
      <c r="BU13" s="315" t="s">
        <v>1637</v>
      </c>
      <c r="BV13" s="316">
        <v>162</v>
      </c>
      <c r="BW13" s="316">
        <v>178</v>
      </c>
      <c r="BX13" s="316">
        <v>146</v>
      </c>
      <c r="BY13" s="317">
        <v>162</v>
      </c>
      <c r="BZ13" s="14"/>
      <c r="CA13" s="312" t="s">
        <v>1657</v>
      </c>
      <c r="CB13" s="313">
        <v>135</v>
      </c>
      <c r="CC13" s="313">
        <v>164</v>
      </c>
      <c r="CD13" s="313">
        <v>84</v>
      </c>
      <c r="CE13" s="314">
        <v>113</v>
      </c>
      <c r="CF13" s="14"/>
      <c r="CH13" s="14"/>
      <c r="CI13" s="14"/>
      <c r="CJ13" s="14"/>
      <c r="CK13" s="14"/>
      <c r="CL13" s="14"/>
      <c r="CN13" s="14"/>
      <c r="CO13" s="14"/>
      <c r="CP13" s="14"/>
      <c r="CQ13" s="14"/>
      <c r="CR13" s="14"/>
      <c r="CT13" s="14"/>
      <c r="CU13" s="14"/>
      <c r="CV13" s="14"/>
      <c r="CW13" s="14"/>
    </row>
    <row r="14" spans="1:101" ht="12" thickBot="1">
      <c r="A14" s="315" t="s">
        <v>626</v>
      </c>
      <c r="B14" s="316">
        <v>253</v>
      </c>
      <c r="C14" s="316">
        <v>291</v>
      </c>
      <c r="D14" s="316">
        <v>188</v>
      </c>
      <c r="E14" s="317">
        <v>226</v>
      </c>
      <c r="F14" s="14"/>
      <c r="G14" s="315" t="s">
        <v>685</v>
      </c>
      <c r="H14" s="316">
        <v>208</v>
      </c>
      <c r="I14" s="316">
        <v>253</v>
      </c>
      <c r="J14" s="316">
        <v>129</v>
      </c>
      <c r="K14" s="317">
        <v>174</v>
      </c>
      <c r="L14" s="14"/>
      <c r="M14" s="315" t="s">
        <v>836</v>
      </c>
      <c r="N14" s="316">
        <v>74</v>
      </c>
      <c r="O14" s="316">
        <v>89</v>
      </c>
      <c r="P14" s="316">
        <v>48</v>
      </c>
      <c r="Q14" s="317">
        <v>63</v>
      </c>
      <c r="R14" s="14"/>
      <c r="S14" s="315" t="s">
        <v>895</v>
      </c>
      <c r="T14" s="316">
        <v>94</v>
      </c>
      <c r="U14" s="316">
        <v>113</v>
      </c>
      <c r="V14" s="316">
        <v>58</v>
      </c>
      <c r="W14" s="317">
        <v>78</v>
      </c>
      <c r="X14" s="14"/>
      <c r="Y14" s="306" t="s">
        <v>938</v>
      </c>
      <c r="Z14" s="307">
        <v>131</v>
      </c>
      <c r="AA14" s="307">
        <v>149</v>
      </c>
      <c r="AB14" s="307">
        <v>105</v>
      </c>
      <c r="AC14" s="308">
        <v>123</v>
      </c>
      <c r="AD14" s="14"/>
      <c r="AE14" s="306" t="s">
        <v>969</v>
      </c>
      <c r="AF14" s="307">
        <v>354</v>
      </c>
      <c r="AG14" s="307">
        <v>406</v>
      </c>
      <c r="AH14" s="307">
        <v>261</v>
      </c>
      <c r="AI14" s="308">
        <v>313</v>
      </c>
      <c r="AJ14" s="14"/>
      <c r="AK14" s="315" t="s">
        <v>1350</v>
      </c>
      <c r="AL14" s="316">
        <v>127</v>
      </c>
      <c r="AM14" s="316">
        <v>154</v>
      </c>
      <c r="AN14" s="316">
        <v>77</v>
      </c>
      <c r="AO14" s="317">
        <v>104</v>
      </c>
      <c r="AP14" s="14"/>
      <c r="AQ14" s="315" t="s">
        <v>1365</v>
      </c>
      <c r="AR14" s="316">
        <v>196</v>
      </c>
      <c r="AS14" s="316">
        <v>227</v>
      </c>
      <c r="AT14" s="316">
        <v>140</v>
      </c>
      <c r="AU14" s="317">
        <v>171</v>
      </c>
      <c r="AV14" s="14"/>
      <c r="AW14" s="315" t="s">
        <v>1432</v>
      </c>
      <c r="AX14" s="316">
        <v>94</v>
      </c>
      <c r="AY14" s="316">
        <v>113</v>
      </c>
      <c r="AZ14" s="316">
        <v>58</v>
      </c>
      <c r="BA14" s="317">
        <v>78</v>
      </c>
      <c r="BB14" s="14"/>
      <c r="BC14" s="315" t="s">
        <v>1450</v>
      </c>
      <c r="BD14" s="316">
        <v>110</v>
      </c>
      <c r="BE14" s="316">
        <v>133</v>
      </c>
      <c r="BF14" s="316">
        <v>69</v>
      </c>
      <c r="BG14" s="317">
        <v>91</v>
      </c>
      <c r="BH14" s="14"/>
      <c r="BJ14" s="14"/>
      <c r="BK14" s="14"/>
      <c r="BL14" s="14"/>
      <c r="BM14" s="14"/>
      <c r="BN14" s="14"/>
      <c r="BO14" s="312" t="s">
        <v>1499</v>
      </c>
      <c r="BP14" s="313">
        <v>154</v>
      </c>
      <c r="BQ14" s="313">
        <v>173</v>
      </c>
      <c r="BR14" s="313">
        <v>126</v>
      </c>
      <c r="BS14" s="314">
        <v>145</v>
      </c>
      <c r="BT14" s="14"/>
      <c r="BU14" s="312" t="s">
        <v>1639</v>
      </c>
      <c r="BV14" s="313">
        <v>131</v>
      </c>
      <c r="BW14" s="313">
        <v>145</v>
      </c>
      <c r="BX14" s="313">
        <v>121</v>
      </c>
      <c r="BY14" s="314">
        <v>135</v>
      </c>
      <c r="BZ14" s="14"/>
      <c r="CA14" s="315" t="s">
        <v>1658</v>
      </c>
      <c r="CB14" s="316">
        <v>264</v>
      </c>
      <c r="CC14" s="316">
        <v>303</v>
      </c>
      <c r="CD14" s="316">
        <v>194</v>
      </c>
      <c r="CE14" s="317">
        <v>233</v>
      </c>
      <c r="CF14" s="14"/>
      <c r="CH14" s="14"/>
      <c r="CI14" s="14"/>
      <c r="CJ14" s="14"/>
      <c r="CK14" s="14"/>
      <c r="CL14" s="14"/>
      <c r="CN14" s="14"/>
      <c r="CO14" s="14"/>
      <c r="CP14" s="14"/>
      <c r="CQ14" s="14"/>
      <c r="CR14" s="14"/>
      <c r="CT14" s="14"/>
      <c r="CU14" s="14"/>
      <c r="CV14" s="14"/>
      <c r="CW14" s="14"/>
    </row>
    <row r="15" spans="1:101" ht="12" thickBot="1">
      <c r="A15" s="312" t="s">
        <v>627</v>
      </c>
      <c r="B15" s="313">
        <v>226</v>
      </c>
      <c r="C15" s="313">
        <v>260</v>
      </c>
      <c r="D15" s="313">
        <v>168</v>
      </c>
      <c r="E15" s="314">
        <v>202</v>
      </c>
      <c r="F15" s="14"/>
      <c r="G15" s="315" t="s">
        <v>686</v>
      </c>
      <c r="H15" s="316">
        <v>155</v>
      </c>
      <c r="I15" s="316">
        <v>187</v>
      </c>
      <c r="J15" s="316">
        <v>98</v>
      </c>
      <c r="K15" s="317">
        <v>130</v>
      </c>
      <c r="L15" s="14"/>
      <c r="M15" s="315" t="s">
        <v>837</v>
      </c>
      <c r="N15" s="316">
        <v>60</v>
      </c>
      <c r="O15" s="316">
        <v>72</v>
      </c>
      <c r="P15" s="316">
        <v>39</v>
      </c>
      <c r="Q15" s="317">
        <v>51</v>
      </c>
      <c r="R15" s="14"/>
      <c r="S15" s="315" t="s">
        <v>896</v>
      </c>
      <c r="T15" s="316">
        <v>80</v>
      </c>
      <c r="U15" s="316">
        <v>97</v>
      </c>
      <c r="V15" s="316">
        <v>50</v>
      </c>
      <c r="W15" s="317">
        <v>67</v>
      </c>
      <c r="X15" s="14"/>
      <c r="Y15" s="315" t="s">
        <v>939</v>
      </c>
      <c r="Z15" s="316">
        <v>123</v>
      </c>
      <c r="AA15" s="316">
        <v>140</v>
      </c>
      <c r="AB15" s="316">
        <v>99</v>
      </c>
      <c r="AC15" s="317">
        <v>116</v>
      </c>
      <c r="AD15" s="14"/>
      <c r="AE15" s="315" t="s">
        <v>971</v>
      </c>
      <c r="AF15" s="316">
        <v>276</v>
      </c>
      <c r="AG15" s="316">
        <v>317</v>
      </c>
      <c r="AH15" s="316">
        <v>204</v>
      </c>
      <c r="AI15" s="317">
        <v>245</v>
      </c>
      <c r="AJ15" s="14"/>
      <c r="AK15" s="315" t="s">
        <v>1352</v>
      </c>
      <c r="AL15" s="316">
        <v>105</v>
      </c>
      <c r="AM15" s="316">
        <v>127</v>
      </c>
      <c r="AN15" s="316">
        <v>64</v>
      </c>
      <c r="AO15" s="317">
        <v>86</v>
      </c>
      <c r="AP15" s="14"/>
      <c r="AQ15" s="315" t="s">
        <v>1366</v>
      </c>
      <c r="AR15" s="316">
        <v>170</v>
      </c>
      <c r="AS15" s="316">
        <v>197</v>
      </c>
      <c r="AT15" s="316">
        <v>122</v>
      </c>
      <c r="AU15" s="317">
        <v>149</v>
      </c>
      <c r="AV15" s="14"/>
      <c r="AW15" s="315" t="s">
        <v>1433</v>
      </c>
      <c r="AX15" s="316">
        <v>80</v>
      </c>
      <c r="AY15" s="316">
        <v>97</v>
      </c>
      <c r="AZ15" s="316">
        <v>50</v>
      </c>
      <c r="BA15" s="317">
        <v>67</v>
      </c>
      <c r="BB15" s="14"/>
      <c r="BC15" s="315" t="s">
        <v>1451</v>
      </c>
      <c r="BD15" s="316">
        <v>93</v>
      </c>
      <c r="BE15" s="316">
        <v>112</v>
      </c>
      <c r="BF15" s="316">
        <v>58</v>
      </c>
      <c r="BG15" s="317">
        <v>77</v>
      </c>
      <c r="BH15" s="14"/>
      <c r="BJ15" s="14"/>
      <c r="BK15" s="14"/>
      <c r="BL15" s="14"/>
      <c r="BM15" s="14"/>
      <c r="BN15" s="14"/>
      <c r="BO15" s="306" t="s">
        <v>1500</v>
      </c>
      <c r="BP15" s="307">
        <v>149</v>
      </c>
      <c r="BQ15" s="307">
        <v>167</v>
      </c>
      <c r="BR15" s="307">
        <v>123</v>
      </c>
      <c r="BS15" s="308">
        <v>141</v>
      </c>
      <c r="BT15" s="14"/>
      <c r="BU15" s="306" t="s">
        <v>1641</v>
      </c>
      <c r="BV15" s="307">
        <v>150</v>
      </c>
      <c r="BW15" s="307">
        <v>163</v>
      </c>
      <c r="BX15" s="307">
        <v>132</v>
      </c>
      <c r="BY15" s="308">
        <v>145</v>
      </c>
      <c r="BZ15" s="14"/>
      <c r="CA15" s="315" t="s">
        <v>1659</v>
      </c>
      <c r="CB15" s="316">
        <v>230</v>
      </c>
      <c r="CC15" s="316">
        <v>264</v>
      </c>
      <c r="CD15" s="316">
        <v>169</v>
      </c>
      <c r="CE15" s="317">
        <v>203</v>
      </c>
      <c r="CF15" s="14"/>
      <c r="CH15" s="14"/>
      <c r="CI15" s="14"/>
      <c r="CJ15" s="14"/>
      <c r="CK15" s="14"/>
      <c r="CL15" s="14"/>
      <c r="CN15" s="14"/>
      <c r="CO15" s="14"/>
      <c r="CP15" s="14"/>
      <c r="CQ15" s="14"/>
      <c r="CR15" s="14"/>
      <c r="CT15" s="14"/>
      <c r="CU15" s="14"/>
      <c r="CV15" s="14"/>
      <c r="CW15" s="14"/>
    </row>
    <row r="16" spans="1:101" ht="12" thickBot="1">
      <c r="A16" s="306" t="s">
        <v>628</v>
      </c>
      <c r="B16" s="307">
        <v>283</v>
      </c>
      <c r="C16" s="307">
        <v>326</v>
      </c>
      <c r="D16" s="307">
        <v>210</v>
      </c>
      <c r="E16" s="308">
        <v>253</v>
      </c>
      <c r="F16" s="14"/>
      <c r="G16" s="312" t="s">
        <v>687</v>
      </c>
      <c r="H16" s="313">
        <v>88</v>
      </c>
      <c r="I16" s="313">
        <v>106</v>
      </c>
      <c r="J16" s="313">
        <v>58</v>
      </c>
      <c r="K16" s="314">
        <v>76</v>
      </c>
      <c r="L16" s="14"/>
      <c r="M16" s="315" t="s">
        <v>838</v>
      </c>
      <c r="N16" s="316">
        <v>50</v>
      </c>
      <c r="O16" s="316">
        <v>60</v>
      </c>
      <c r="P16" s="316">
        <v>33</v>
      </c>
      <c r="Q16" s="317">
        <v>43</v>
      </c>
      <c r="R16" s="14"/>
      <c r="S16" s="315" t="s">
        <v>897</v>
      </c>
      <c r="T16" s="316">
        <v>67</v>
      </c>
      <c r="U16" s="316">
        <v>81</v>
      </c>
      <c r="V16" s="316">
        <v>42</v>
      </c>
      <c r="W16" s="317">
        <v>56</v>
      </c>
      <c r="X16" s="14"/>
      <c r="Y16" s="315" t="s">
        <v>940</v>
      </c>
      <c r="Z16" s="316">
        <v>117</v>
      </c>
      <c r="AA16" s="316">
        <v>133</v>
      </c>
      <c r="AB16" s="316">
        <v>94</v>
      </c>
      <c r="AC16" s="317">
        <v>110</v>
      </c>
      <c r="AD16" s="14"/>
      <c r="AE16" s="315" t="s">
        <v>973</v>
      </c>
      <c r="AF16" s="316">
        <v>241</v>
      </c>
      <c r="AG16" s="316">
        <v>277</v>
      </c>
      <c r="AH16" s="316">
        <v>179</v>
      </c>
      <c r="AI16" s="317">
        <v>215</v>
      </c>
      <c r="AJ16" s="14"/>
      <c r="AK16" s="315" t="s">
        <v>908</v>
      </c>
      <c r="AL16" s="316">
        <v>92</v>
      </c>
      <c r="AM16" s="316">
        <v>111</v>
      </c>
      <c r="AN16" s="316">
        <v>56</v>
      </c>
      <c r="AO16" s="317">
        <v>76</v>
      </c>
      <c r="AP16" s="14"/>
      <c r="AQ16" s="312" t="s">
        <v>1367</v>
      </c>
      <c r="AR16" s="313">
        <v>282</v>
      </c>
      <c r="AS16" s="313">
        <v>314</v>
      </c>
      <c r="AT16" s="313">
        <v>225</v>
      </c>
      <c r="AU16" s="314">
        <v>257</v>
      </c>
      <c r="AV16" s="14"/>
      <c r="AW16" s="315" t="s">
        <v>1434</v>
      </c>
      <c r="AX16" s="316">
        <v>65</v>
      </c>
      <c r="AY16" s="316">
        <v>79</v>
      </c>
      <c r="AZ16" s="316">
        <v>41</v>
      </c>
      <c r="BA16" s="317">
        <v>55</v>
      </c>
      <c r="BB16" s="14"/>
      <c r="BC16" s="315" t="s">
        <v>1452</v>
      </c>
      <c r="BD16" s="316">
        <v>76</v>
      </c>
      <c r="BE16" s="316">
        <v>92</v>
      </c>
      <c r="BF16" s="316">
        <v>48</v>
      </c>
      <c r="BG16" s="317">
        <v>64</v>
      </c>
      <c r="BH16" s="14"/>
      <c r="BJ16" s="14"/>
      <c r="BK16" s="14"/>
      <c r="BL16" s="14"/>
      <c r="BM16" s="14"/>
      <c r="BN16" s="14"/>
      <c r="BO16" s="315" t="s">
        <v>1501</v>
      </c>
      <c r="BP16" s="316">
        <v>145</v>
      </c>
      <c r="BQ16" s="316">
        <v>162</v>
      </c>
      <c r="BR16" s="316">
        <v>119</v>
      </c>
      <c r="BS16" s="317">
        <v>136</v>
      </c>
      <c r="BT16" s="14"/>
      <c r="BU16" s="315" t="s">
        <v>1643</v>
      </c>
      <c r="BV16" s="316">
        <v>125</v>
      </c>
      <c r="BW16" s="316">
        <v>137</v>
      </c>
      <c r="BX16" s="316">
        <v>112</v>
      </c>
      <c r="BY16" s="317">
        <v>124</v>
      </c>
      <c r="BZ16" s="14"/>
      <c r="CA16" s="315" t="s">
        <v>1660</v>
      </c>
      <c r="CB16" s="316">
        <v>148</v>
      </c>
      <c r="CC16" s="316">
        <v>179</v>
      </c>
      <c r="CD16" s="316">
        <v>91</v>
      </c>
      <c r="CE16" s="317">
        <v>122</v>
      </c>
      <c r="CF16" s="14"/>
      <c r="CH16" s="14"/>
      <c r="CI16" s="14"/>
      <c r="CJ16" s="14"/>
      <c r="CK16" s="14"/>
      <c r="CL16" s="14"/>
      <c r="CN16" s="14"/>
      <c r="CO16" s="14"/>
      <c r="CP16" s="14"/>
      <c r="CQ16" s="14"/>
      <c r="CR16" s="14"/>
      <c r="CT16" s="14"/>
      <c r="CU16" s="14"/>
      <c r="CV16" s="14"/>
      <c r="CW16" s="14"/>
    </row>
    <row r="17" spans="1:101" ht="12" thickBot="1">
      <c r="A17" s="315" t="s">
        <v>629</v>
      </c>
      <c r="B17" s="316">
        <v>235</v>
      </c>
      <c r="C17" s="316">
        <v>270</v>
      </c>
      <c r="D17" s="316">
        <v>176</v>
      </c>
      <c r="E17" s="317">
        <v>211</v>
      </c>
      <c r="F17" s="14"/>
      <c r="G17" s="306" t="s">
        <v>688</v>
      </c>
      <c r="H17" s="307">
        <v>244</v>
      </c>
      <c r="I17" s="307">
        <v>297</v>
      </c>
      <c r="J17" s="307">
        <v>150</v>
      </c>
      <c r="K17" s="308">
        <v>203</v>
      </c>
      <c r="L17" s="14"/>
      <c r="M17" s="312" t="s">
        <v>839</v>
      </c>
      <c r="N17" s="313">
        <v>42</v>
      </c>
      <c r="O17" s="313">
        <v>50</v>
      </c>
      <c r="P17" s="313">
        <v>28</v>
      </c>
      <c r="Q17" s="314">
        <v>36</v>
      </c>
      <c r="R17" s="14"/>
      <c r="S17" s="315" t="s">
        <v>898</v>
      </c>
      <c r="T17" s="316">
        <v>65</v>
      </c>
      <c r="U17" s="316">
        <v>79</v>
      </c>
      <c r="V17" s="316">
        <v>41</v>
      </c>
      <c r="W17" s="317">
        <v>55</v>
      </c>
      <c r="X17" s="14"/>
      <c r="Y17" s="315" t="s">
        <v>941</v>
      </c>
      <c r="Z17" s="316">
        <v>110</v>
      </c>
      <c r="AA17" s="316">
        <v>125</v>
      </c>
      <c r="AB17" s="316">
        <v>89</v>
      </c>
      <c r="AC17" s="317">
        <v>104</v>
      </c>
      <c r="AD17" s="14"/>
      <c r="AE17" s="315" t="s">
        <v>977</v>
      </c>
      <c r="AF17" s="316">
        <v>232</v>
      </c>
      <c r="AG17" s="316">
        <v>271</v>
      </c>
      <c r="AH17" s="316">
        <v>161</v>
      </c>
      <c r="AI17" s="317">
        <v>200</v>
      </c>
      <c r="AJ17" s="14"/>
      <c r="AK17" s="312" t="s">
        <v>909</v>
      </c>
      <c r="AL17" s="313">
        <v>81</v>
      </c>
      <c r="AM17" s="313">
        <v>98</v>
      </c>
      <c r="AN17" s="313">
        <v>50</v>
      </c>
      <c r="AO17" s="314">
        <v>67</v>
      </c>
      <c r="AP17" s="14"/>
      <c r="AQ17" s="306" t="s">
        <v>1368</v>
      </c>
      <c r="AR17" s="307">
        <v>250</v>
      </c>
      <c r="AS17" s="307">
        <v>279</v>
      </c>
      <c r="AT17" s="307">
        <v>200</v>
      </c>
      <c r="AU17" s="308">
        <v>229</v>
      </c>
      <c r="AV17" s="14"/>
      <c r="AW17" s="312" t="s">
        <v>1435</v>
      </c>
      <c r="AX17" s="313">
        <v>55</v>
      </c>
      <c r="AY17" s="313">
        <v>67</v>
      </c>
      <c r="AZ17" s="313">
        <v>35</v>
      </c>
      <c r="BA17" s="314">
        <v>47</v>
      </c>
      <c r="BB17" s="14"/>
      <c r="BC17" s="312" t="s">
        <v>1453</v>
      </c>
      <c r="BD17" s="313">
        <v>62</v>
      </c>
      <c r="BE17" s="313">
        <v>74</v>
      </c>
      <c r="BF17" s="313">
        <v>40</v>
      </c>
      <c r="BG17" s="314">
        <v>52</v>
      </c>
      <c r="BH17" s="14"/>
      <c r="BJ17" s="14"/>
      <c r="BK17" s="14"/>
      <c r="BL17" s="14"/>
      <c r="BM17" s="14"/>
      <c r="BN17" s="14"/>
      <c r="BO17" s="315" t="s">
        <v>1502</v>
      </c>
      <c r="BP17" s="316">
        <v>116</v>
      </c>
      <c r="BQ17" s="316">
        <v>130</v>
      </c>
      <c r="BR17" s="316">
        <v>98</v>
      </c>
      <c r="BS17" s="317">
        <v>111</v>
      </c>
      <c r="BT17" s="14"/>
      <c r="BU17" s="312" t="s">
        <v>1645</v>
      </c>
      <c r="BV17" s="313">
        <v>100</v>
      </c>
      <c r="BW17" s="313">
        <v>110</v>
      </c>
      <c r="BX17" s="313">
        <v>90</v>
      </c>
      <c r="BY17" s="314">
        <v>100</v>
      </c>
      <c r="BZ17" s="14"/>
      <c r="CA17" s="315" t="s">
        <v>1661</v>
      </c>
      <c r="CB17" s="316">
        <v>132</v>
      </c>
      <c r="CC17" s="316">
        <v>160</v>
      </c>
      <c r="CD17" s="316">
        <v>82</v>
      </c>
      <c r="CE17" s="317">
        <v>109</v>
      </c>
      <c r="CF17" s="14"/>
      <c r="CH17" s="14"/>
      <c r="CI17" s="14"/>
      <c r="CJ17" s="14"/>
      <c r="CK17" s="14"/>
      <c r="CL17" s="14"/>
      <c r="CN17" s="14"/>
      <c r="CO17" s="14"/>
      <c r="CP17" s="14"/>
      <c r="CQ17" s="14"/>
      <c r="CR17" s="14"/>
      <c r="CT17" s="14"/>
      <c r="CU17" s="14"/>
      <c r="CV17" s="14"/>
      <c r="CW17" s="14"/>
    </row>
    <row r="18" spans="1:101" ht="12" thickBot="1">
      <c r="A18" s="312" t="s">
        <v>630</v>
      </c>
      <c r="B18" s="313">
        <v>212</v>
      </c>
      <c r="C18" s="313">
        <v>244</v>
      </c>
      <c r="D18" s="313">
        <v>158</v>
      </c>
      <c r="E18" s="314">
        <v>190</v>
      </c>
      <c r="F18" s="14"/>
      <c r="G18" s="315" t="s">
        <v>690</v>
      </c>
      <c r="H18" s="316">
        <v>192</v>
      </c>
      <c r="I18" s="316">
        <v>234</v>
      </c>
      <c r="J18" s="316">
        <v>120</v>
      </c>
      <c r="K18" s="317">
        <v>161</v>
      </c>
      <c r="L18" s="14"/>
      <c r="M18" s="306" t="s">
        <v>840</v>
      </c>
      <c r="N18" s="307">
        <v>104</v>
      </c>
      <c r="O18" s="307">
        <v>125</v>
      </c>
      <c r="P18" s="307">
        <v>63</v>
      </c>
      <c r="Q18" s="308">
        <v>85</v>
      </c>
      <c r="R18" s="14"/>
      <c r="S18" s="312" t="s">
        <v>899</v>
      </c>
      <c r="T18" s="313">
        <v>55</v>
      </c>
      <c r="U18" s="313">
        <v>67</v>
      </c>
      <c r="V18" s="313">
        <v>35</v>
      </c>
      <c r="W18" s="314">
        <v>47</v>
      </c>
      <c r="X18" s="14"/>
      <c r="Y18" s="312" t="s">
        <v>942</v>
      </c>
      <c r="Z18" s="313">
        <v>105</v>
      </c>
      <c r="AA18" s="313">
        <v>119</v>
      </c>
      <c r="AB18" s="313">
        <v>85</v>
      </c>
      <c r="AC18" s="314">
        <v>99</v>
      </c>
      <c r="AD18" s="14"/>
      <c r="AE18" s="315" t="s">
        <v>979</v>
      </c>
      <c r="AF18" s="316">
        <v>199</v>
      </c>
      <c r="AG18" s="316">
        <v>233</v>
      </c>
      <c r="AH18" s="316">
        <v>139</v>
      </c>
      <c r="AI18" s="317">
        <v>172</v>
      </c>
      <c r="AJ18" s="14"/>
      <c r="AL18" s="14"/>
      <c r="AM18" s="14"/>
      <c r="AN18" s="14"/>
      <c r="AO18" s="14"/>
      <c r="AP18" s="14"/>
      <c r="AQ18" s="315" t="s">
        <v>1369</v>
      </c>
      <c r="AR18" s="316">
        <v>217</v>
      </c>
      <c r="AS18" s="316">
        <v>241</v>
      </c>
      <c r="AT18" s="316">
        <v>174</v>
      </c>
      <c r="AU18" s="317">
        <v>198</v>
      </c>
      <c r="AV18" s="14"/>
      <c r="AW18" s="306" t="s">
        <v>1436</v>
      </c>
      <c r="AX18" s="307">
        <v>126</v>
      </c>
      <c r="AY18" s="307">
        <v>153</v>
      </c>
      <c r="AZ18" s="307">
        <v>77</v>
      </c>
      <c r="BA18" s="308">
        <v>103</v>
      </c>
      <c r="BB18" s="14"/>
      <c r="BC18" s="306" t="s">
        <v>1454</v>
      </c>
      <c r="BD18" s="307">
        <v>120</v>
      </c>
      <c r="BE18" s="307">
        <v>145</v>
      </c>
      <c r="BF18" s="307">
        <v>75</v>
      </c>
      <c r="BG18" s="308">
        <v>99</v>
      </c>
      <c r="BH18" s="14"/>
      <c r="BJ18" s="14"/>
      <c r="BK18" s="14"/>
      <c r="BL18" s="14"/>
      <c r="BM18" s="14"/>
      <c r="BN18" s="14"/>
      <c r="BO18" s="312" t="s">
        <v>1503</v>
      </c>
      <c r="BP18" s="313">
        <v>123</v>
      </c>
      <c r="BQ18" s="313">
        <v>135</v>
      </c>
      <c r="BR18" s="313">
        <v>103</v>
      </c>
      <c r="BS18" s="314">
        <v>116</v>
      </c>
      <c r="BT18" s="14"/>
      <c r="BV18" s="14"/>
      <c r="BW18" s="14"/>
      <c r="BX18" s="14"/>
      <c r="BY18" s="14"/>
      <c r="BZ18" s="14"/>
      <c r="CA18" s="312" t="s">
        <v>1662</v>
      </c>
      <c r="CB18" s="313">
        <v>117</v>
      </c>
      <c r="CC18" s="313">
        <v>141</v>
      </c>
      <c r="CD18" s="313">
        <v>73</v>
      </c>
      <c r="CE18" s="314">
        <v>97</v>
      </c>
      <c r="CF18" s="14"/>
      <c r="CH18" s="14"/>
      <c r="CI18" s="14"/>
      <c r="CJ18" s="14"/>
      <c r="CK18" s="14"/>
      <c r="CL18" s="14"/>
      <c r="CN18" s="14"/>
      <c r="CO18" s="14"/>
      <c r="CP18" s="14"/>
      <c r="CQ18" s="14"/>
      <c r="CR18" s="14"/>
      <c r="CT18" s="14"/>
      <c r="CU18" s="14"/>
      <c r="CV18" s="14"/>
      <c r="CW18" s="14"/>
    </row>
    <row r="19" spans="1:101" ht="12" thickBot="1">
      <c r="A19" s="306" t="s">
        <v>631</v>
      </c>
      <c r="B19" s="307">
        <v>260</v>
      </c>
      <c r="C19" s="307">
        <v>298</v>
      </c>
      <c r="D19" s="307">
        <v>193</v>
      </c>
      <c r="E19" s="308">
        <v>231</v>
      </c>
      <c r="F19" s="14"/>
      <c r="G19" s="315" t="s">
        <v>691</v>
      </c>
      <c r="H19" s="316">
        <v>140</v>
      </c>
      <c r="I19" s="316">
        <v>169</v>
      </c>
      <c r="J19" s="316">
        <v>88</v>
      </c>
      <c r="K19" s="317">
        <v>118</v>
      </c>
      <c r="L19" s="14"/>
      <c r="M19" s="315" t="s">
        <v>841</v>
      </c>
      <c r="N19" s="316">
        <v>95</v>
      </c>
      <c r="O19" s="316">
        <v>114</v>
      </c>
      <c r="P19" s="316">
        <v>58</v>
      </c>
      <c r="Q19" s="317">
        <v>78</v>
      </c>
      <c r="R19" s="14"/>
      <c r="S19" s="306" t="s">
        <v>1797</v>
      </c>
      <c r="T19" s="307">
        <v>128</v>
      </c>
      <c r="U19" s="307">
        <v>155</v>
      </c>
      <c r="V19" s="307">
        <v>81</v>
      </c>
      <c r="W19" s="308">
        <v>108</v>
      </c>
      <c r="X19" s="14"/>
      <c r="Y19" s="306" t="s">
        <v>943</v>
      </c>
      <c r="Z19" s="307">
        <v>100</v>
      </c>
      <c r="AA19" s="307">
        <v>113</v>
      </c>
      <c r="AB19" s="307">
        <v>81</v>
      </c>
      <c r="AC19" s="308">
        <v>94</v>
      </c>
      <c r="AD19" s="14"/>
      <c r="AE19" s="315" t="s">
        <v>981</v>
      </c>
      <c r="AF19" s="316">
        <v>190</v>
      </c>
      <c r="AG19" s="316">
        <v>226</v>
      </c>
      <c r="AH19" s="316">
        <v>124</v>
      </c>
      <c r="AI19" s="317">
        <v>160</v>
      </c>
      <c r="AJ19" s="14"/>
      <c r="AL19" s="14"/>
      <c r="AM19" s="14"/>
      <c r="AN19" s="14"/>
      <c r="AO19" s="14"/>
      <c r="AP19" s="14"/>
      <c r="AQ19" s="315" t="s">
        <v>1370</v>
      </c>
      <c r="AR19" s="316">
        <v>209</v>
      </c>
      <c r="AS19" s="316">
        <v>242</v>
      </c>
      <c r="AT19" s="316">
        <v>150</v>
      </c>
      <c r="AU19" s="317">
        <v>183</v>
      </c>
      <c r="AV19" s="14"/>
      <c r="AW19" s="315" t="s">
        <v>1437</v>
      </c>
      <c r="AX19" s="316">
        <v>104</v>
      </c>
      <c r="AY19" s="316">
        <v>126</v>
      </c>
      <c r="AZ19" s="316">
        <v>64</v>
      </c>
      <c r="BA19" s="317">
        <v>86</v>
      </c>
      <c r="BB19" s="14"/>
      <c r="BC19" s="315" t="s">
        <v>1455</v>
      </c>
      <c r="BD19" s="316">
        <v>100</v>
      </c>
      <c r="BE19" s="316">
        <v>120</v>
      </c>
      <c r="BF19" s="316">
        <v>62</v>
      </c>
      <c r="BG19" s="317">
        <v>83</v>
      </c>
      <c r="BH19" s="14"/>
      <c r="BJ19" s="14"/>
      <c r="BK19" s="14"/>
      <c r="BL19" s="14"/>
      <c r="BM19" s="14"/>
      <c r="BN19" s="14"/>
      <c r="BO19" s="309" t="s">
        <v>1504</v>
      </c>
      <c r="BP19" s="310">
        <v>125</v>
      </c>
      <c r="BQ19" s="310">
        <v>138</v>
      </c>
      <c r="BR19" s="310">
        <v>107</v>
      </c>
      <c r="BS19" s="311">
        <v>120</v>
      </c>
      <c r="BT19" s="14"/>
      <c r="BV19" s="14"/>
      <c r="BW19" s="14"/>
      <c r="BX19" s="14"/>
      <c r="BY19" s="14"/>
      <c r="BZ19" s="14"/>
      <c r="CA19" s="315" t="s">
        <v>1663</v>
      </c>
      <c r="CB19" s="316">
        <v>247</v>
      </c>
      <c r="CC19" s="316">
        <v>284</v>
      </c>
      <c r="CD19" s="316">
        <v>183</v>
      </c>
      <c r="CE19" s="317">
        <v>219</v>
      </c>
      <c r="CF19" s="14"/>
      <c r="CH19" s="14"/>
      <c r="CI19" s="14"/>
      <c r="CJ19" s="14"/>
      <c r="CK19" s="14"/>
      <c r="CL19" s="14"/>
      <c r="CN19" s="14"/>
      <c r="CO19" s="14"/>
      <c r="CP19" s="14"/>
      <c r="CQ19" s="14"/>
      <c r="CR19" s="14"/>
      <c r="CT19" s="14"/>
      <c r="CU19" s="14"/>
      <c r="CV19" s="14"/>
      <c r="CW19" s="14"/>
    </row>
    <row r="20" spans="1:101" ht="12" thickBot="1">
      <c r="A20" s="315" t="s">
        <v>633</v>
      </c>
      <c r="B20" s="316">
        <v>221</v>
      </c>
      <c r="C20" s="316">
        <v>254</v>
      </c>
      <c r="D20" s="316">
        <v>165</v>
      </c>
      <c r="E20" s="317">
        <v>198</v>
      </c>
      <c r="F20" s="14"/>
      <c r="G20" s="312" t="s">
        <v>692</v>
      </c>
      <c r="H20" s="313">
        <v>83</v>
      </c>
      <c r="I20" s="313">
        <v>100</v>
      </c>
      <c r="J20" s="313">
        <v>54</v>
      </c>
      <c r="K20" s="314">
        <v>71</v>
      </c>
      <c r="L20" s="14"/>
      <c r="M20" s="315" t="s">
        <v>842</v>
      </c>
      <c r="N20" s="316">
        <v>87</v>
      </c>
      <c r="O20" s="316">
        <v>105</v>
      </c>
      <c r="P20" s="316">
        <v>53</v>
      </c>
      <c r="Q20" s="317">
        <v>71</v>
      </c>
      <c r="R20" s="14"/>
      <c r="S20" s="315" t="s">
        <v>901</v>
      </c>
      <c r="T20" s="316">
        <v>111</v>
      </c>
      <c r="U20" s="316">
        <v>135</v>
      </c>
      <c r="V20" s="316">
        <v>70</v>
      </c>
      <c r="W20" s="317">
        <v>94</v>
      </c>
      <c r="X20" s="14"/>
      <c r="Y20" s="312" t="s">
        <v>944</v>
      </c>
      <c r="Z20" s="313">
        <v>89</v>
      </c>
      <c r="AA20" s="313">
        <v>101</v>
      </c>
      <c r="AB20" s="313">
        <v>73</v>
      </c>
      <c r="AC20" s="314">
        <v>84</v>
      </c>
      <c r="AD20" s="14"/>
      <c r="AE20" s="315" t="s">
        <v>983</v>
      </c>
      <c r="AF20" s="316">
        <v>165</v>
      </c>
      <c r="AG20" s="316">
        <v>196</v>
      </c>
      <c r="AH20" s="316">
        <v>108</v>
      </c>
      <c r="AI20" s="317">
        <v>140</v>
      </c>
      <c r="AJ20" s="14"/>
      <c r="AL20" s="14"/>
      <c r="AM20" s="14"/>
      <c r="AN20" s="14"/>
      <c r="AO20" s="14"/>
      <c r="AP20" s="14"/>
      <c r="AQ20" s="315" t="s">
        <v>1371</v>
      </c>
      <c r="AR20" s="316">
        <v>184</v>
      </c>
      <c r="AS20" s="316">
        <v>212</v>
      </c>
      <c r="AT20" s="316">
        <v>133</v>
      </c>
      <c r="AU20" s="317">
        <v>161</v>
      </c>
      <c r="AV20" s="14"/>
      <c r="AW20" s="315" t="s">
        <v>1438</v>
      </c>
      <c r="AX20" s="316">
        <v>92</v>
      </c>
      <c r="AY20" s="316">
        <v>111</v>
      </c>
      <c r="AZ20" s="316">
        <v>56</v>
      </c>
      <c r="BA20" s="317">
        <v>76</v>
      </c>
      <c r="BB20" s="14"/>
      <c r="BC20" s="315" t="s">
        <v>1456</v>
      </c>
      <c r="BD20" s="316">
        <v>87</v>
      </c>
      <c r="BE20" s="316">
        <v>105</v>
      </c>
      <c r="BF20" s="316">
        <v>54</v>
      </c>
      <c r="BG20" s="317">
        <v>72</v>
      </c>
      <c r="BH20" s="14"/>
      <c r="BJ20" s="14"/>
      <c r="BK20" s="14"/>
      <c r="BL20" s="14"/>
      <c r="BM20" s="14"/>
      <c r="BN20" s="14"/>
      <c r="BO20" s="318" t="s">
        <v>1505</v>
      </c>
      <c r="BP20" s="319">
        <v>117</v>
      </c>
      <c r="BQ20" s="320">
        <v>129</v>
      </c>
      <c r="BR20" s="319">
        <v>99</v>
      </c>
      <c r="BS20" s="319">
        <v>111</v>
      </c>
      <c r="BT20" s="14"/>
      <c r="BV20" s="14"/>
      <c r="BW20" s="14"/>
      <c r="BX20" s="14"/>
      <c r="BY20" s="14"/>
      <c r="BZ20" s="14"/>
      <c r="CA20" s="315" t="s">
        <v>1664</v>
      </c>
      <c r="CB20" s="316">
        <v>217</v>
      </c>
      <c r="CC20" s="316">
        <v>249</v>
      </c>
      <c r="CD20" s="316">
        <v>160</v>
      </c>
      <c r="CE20" s="317">
        <v>192</v>
      </c>
      <c r="CF20" s="14"/>
      <c r="CH20" s="14"/>
      <c r="CI20" s="14"/>
      <c r="CJ20" s="14"/>
      <c r="CK20" s="14"/>
      <c r="CL20" s="14"/>
      <c r="CN20" s="14"/>
      <c r="CO20" s="14"/>
      <c r="CP20" s="14"/>
      <c r="CQ20" s="14"/>
      <c r="CR20" s="14"/>
      <c r="CT20" s="14"/>
      <c r="CU20" s="14"/>
      <c r="CV20" s="14"/>
      <c r="CW20" s="14"/>
    </row>
    <row r="21" spans="1:101" ht="12" thickBot="1">
      <c r="A21" s="312" t="s">
        <v>634</v>
      </c>
      <c r="B21" s="313">
        <v>200</v>
      </c>
      <c r="C21" s="313">
        <v>230</v>
      </c>
      <c r="D21" s="313">
        <v>149</v>
      </c>
      <c r="E21" s="314">
        <v>179</v>
      </c>
      <c r="F21" s="14"/>
      <c r="G21" s="306" t="s">
        <v>693</v>
      </c>
      <c r="H21" s="307">
        <v>229</v>
      </c>
      <c r="I21" s="307">
        <v>279</v>
      </c>
      <c r="J21" s="307">
        <v>141</v>
      </c>
      <c r="K21" s="308">
        <v>190</v>
      </c>
      <c r="L21" s="14"/>
      <c r="M21" s="315" t="s">
        <v>843</v>
      </c>
      <c r="N21" s="316">
        <v>79</v>
      </c>
      <c r="O21" s="316">
        <v>95</v>
      </c>
      <c r="P21" s="316">
        <v>49</v>
      </c>
      <c r="Q21" s="317">
        <v>65</v>
      </c>
      <c r="R21" s="14"/>
      <c r="S21" s="315" t="s">
        <v>902</v>
      </c>
      <c r="T21" s="316">
        <v>98</v>
      </c>
      <c r="U21" s="316">
        <v>119</v>
      </c>
      <c r="V21" s="316">
        <v>62</v>
      </c>
      <c r="W21" s="317">
        <v>83</v>
      </c>
      <c r="X21" s="14"/>
      <c r="Y21" s="306" t="s">
        <v>945</v>
      </c>
      <c r="Z21" s="307">
        <v>81</v>
      </c>
      <c r="AA21" s="307">
        <v>91</v>
      </c>
      <c r="AB21" s="307">
        <v>66</v>
      </c>
      <c r="AC21" s="308">
        <v>77</v>
      </c>
      <c r="AD21" s="14"/>
      <c r="AE21" s="315" t="s">
        <v>985</v>
      </c>
      <c r="AF21" s="316">
        <v>168</v>
      </c>
      <c r="AG21" s="316">
        <v>202</v>
      </c>
      <c r="AH21" s="316">
        <v>104</v>
      </c>
      <c r="AI21" s="317">
        <v>139</v>
      </c>
      <c r="AJ21" s="14"/>
      <c r="AL21" s="14"/>
      <c r="AM21" s="14"/>
      <c r="AN21" s="14"/>
      <c r="AO21" s="14"/>
      <c r="AP21" s="14"/>
      <c r="AQ21" s="315" t="s">
        <v>1372</v>
      </c>
      <c r="AR21" s="316">
        <v>159</v>
      </c>
      <c r="AS21" s="316">
        <v>183</v>
      </c>
      <c r="AT21" s="316">
        <v>115</v>
      </c>
      <c r="AU21" s="317">
        <v>139</v>
      </c>
      <c r="AV21" s="14"/>
      <c r="AW21" s="312" t="s">
        <v>1439</v>
      </c>
      <c r="AX21" s="313">
        <v>81</v>
      </c>
      <c r="AY21" s="313">
        <v>98</v>
      </c>
      <c r="AZ21" s="313">
        <v>50</v>
      </c>
      <c r="BA21" s="314">
        <v>67</v>
      </c>
      <c r="BB21" s="14"/>
      <c r="BC21" s="315" t="s">
        <v>1457</v>
      </c>
      <c r="BD21" s="316">
        <v>76</v>
      </c>
      <c r="BE21" s="316">
        <v>91</v>
      </c>
      <c r="BF21" s="316">
        <v>48</v>
      </c>
      <c r="BG21" s="317">
        <v>63</v>
      </c>
      <c r="BH21" s="14"/>
      <c r="BJ21" s="14"/>
      <c r="BK21" s="14"/>
      <c r="BL21" s="14"/>
      <c r="BM21" s="14"/>
      <c r="BN21" s="14"/>
      <c r="BP21" s="14"/>
      <c r="BQ21" s="14"/>
      <c r="BR21" s="14"/>
      <c r="BS21" s="14"/>
      <c r="BT21" s="14"/>
      <c r="BV21" s="14"/>
      <c r="BW21" s="14"/>
      <c r="BX21" s="14"/>
      <c r="BY21" s="14"/>
      <c r="BZ21" s="14"/>
      <c r="CA21" s="315" t="s">
        <v>1665</v>
      </c>
      <c r="CB21" s="316">
        <v>136</v>
      </c>
      <c r="CC21" s="316">
        <v>165</v>
      </c>
      <c r="CD21" s="316">
        <v>84</v>
      </c>
      <c r="CE21" s="317">
        <v>112</v>
      </c>
      <c r="CF21" s="14"/>
      <c r="CH21" s="14"/>
      <c r="CI21" s="14"/>
      <c r="CJ21" s="14"/>
      <c r="CK21" s="14"/>
      <c r="CL21" s="14"/>
      <c r="CN21" s="14"/>
      <c r="CO21" s="14"/>
      <c r="CP21" s="14"/>
      <c r="CQ21" s="14"/>
      <c r="CR21" s="14"/>
      <c r="CT21" s="14"/>
      <c r="CU21" s="14"/>
      <c r="CV21" s="14"/>
      <c r="CW21" s="14"/>
    </row>
    <row r="22" spans="1:101" ht="12" thickBot="1">
      <c r="A22" s="306" t="s">
        <v>635</v>
      </c>
      <c r="B22" s="307">
        <v>240</v>
      </c>
      <c r="C22" s="307">
        <v>276</v>
      </c>
      <c r="D22" s="307">
        <v>178</v>
      </c>
      <c r="E22" s="308">
        <v>214</v>
      </c>
      <c r="F22" s="14"/>
      <c r="G22" s="315" t="s">
        <v>694</v>
      </c>
      <c r="H22" s="316">
        <v>187</v>
      </c>
      <c r="I22" s="316">
        <v>226</v>
      </c>
      <c r="J22" s="316">
        <v>115</v>
      </c>
      <c r="K22" s="317">
        <v>155</v>
      </c>
      <c r="L22" s="14"/>
      <c r="M22" s="312" t="s">
        <v>844</v>
      </c>
      <c r="N22" s="313">
        <v>72</v>
      </c>
      <c r="O22" s="313">
        <v>87</v>
      </c>
      <c r="P22" s="313">
        <v>45</v>
      </c>
      <c r="Q22" s="314">
        <v>60</v>
      </c>
      <c r="R22" s="14"/>
      <c r="S22" s="315" t="s">
        <v>903</v>
      </c>
      <c r="T22" s="316">
        <v>80</v>
      </c>
      <c r="U22" s="316">
        <v>96</v>
      </c>
      <c r="V22" s="316">
        <v>51</v>
      </c>
      <c r="W22" s="317">
        <v>68</v>
      </c>
      <c r="X22" s="14"/>
      <c r="Y22" s="312" t="s">
        <v>946</v>
      </c>
      <c r="Z22" s="313">
        <v>75</v>
      </c>
      <c r="AA22" s="313">
        <v>85</v>
      </c>
      <c r="AB22" s="313">
        <v>61</v>
      </c>
      <c r="AC22" s="314">
        <v>71</v>
      </c>
      <c r="AD22" s="14"/>
      <c r="AE22" s="315" t="s">
        <v>987</v>
      </c>
      <c r="AF22" s="316">
        <v>149</v>
      </c>
      <c r="AG22" s="316">
        <v>180</v>
      </c>
      <c r="AH22" s="316">
        <v>93</v>
      </c>
      <c r="AI22" s="317">
        <v>123</v>
      </c>
      <c r="AJ22" s="14"/>
      <c r="AL22" s="14"/>
      <c r="AM22" s="14"/>
      <c r="AN22" s="14"/>
      <c r="AO22" s="14"/>
      <c r="AP22" s="14"/>
      <c r="AQ22" s="315" t="s">
        <v>1373</v>
      </c>
      <c r="AR22" s="316">
        <v>248</v>
      </c>
      <c r="AS22" s="316">
        <v>278</v>
      </c>
      <c r="AT22" s="316">
        <v>195</v>
      </c>
      <c r="AU22" s="317">
        <v>225</v>
      </c>
      <c r="AV22" s="14"/>
      <c r="AX22" s="14"/>
      <c r="AY22" s="14"/>
      <c r="AZ22" s="14"/>
      <c r="BA22" s="14"/>
      <c r="BB22" s="14"/>
      <c r="BC22" s="315" t="s">
        <v>1458</v>
      </c>
      <c r="BD22" s="316">
        <v>62</v>
      </c>
      <c r="BE22" s="316">
        <v>74</v>
      </c>
      <c r="BF22" s="316">
        <v>39</v>
      </c>
      <c r="BG22" s="317">
        <v>52</v>
      </c>
      <c r="BH22" s="14"/>
      <c r="BJ22" s="14"/>
      <c r="BK22" s="14"/>
      <c r="BL22" s="14"/>
      <c r="BM22" s="14"/>
      <c r="BN22" s="14"/>
      <c r="BP22" s="14"/>
      <c r="BQ22" s="14"/>
      <c r="BR22" s="14"/>
      <c r="BS22" s="14"/>
      <c r="BT22" s="14"/>
      <c r="BV22" s="14"/>
      <c r="BW22" s="14"/>
      <c r="BX22" s="14"/>
      <c r="BY22" s="14"/>
      <c r="BZ22" s="14"/>
      <c r="CA22" s="315" t="s">
        <v>1666</v>
      </c>
      <c r="CB22" s="316">
        <v>123</v>
      </c>
      <c r="CC22" s="316">
        <v>148</v>
      </c>
      <c r="CD22" s="316">
        <v>76</v>
      </c>
      <c r="CE22" s="317">
        <v>101</v>
      </c>
      <c r="CF22" s="14"/>
      <c r="CH22" s="14"/>
      <c r="CI22" s="14"/>
      <c r="CJ22" s="14"/>
      <c r="CK22" s="14"/>
      <c r="CL22" s="14"/>
      <c r="CN22" s="14"/>
      <c r="CO22" s="14"/>
      <c r="CP22" s="14"/>
      <c r="CQ22" s="14"/>
      <c r="CR22" s="14"/>
      <c r="CT22" s="14"/>
      <c r="CU22" s="14"/>
      <c r="CV22" s="14"/>
      <c r="CW22" s="14"/>
    </row>
    <row r="23" spans="1:101" ht="12" thickBot="1">
      <c r="A23" s="315" t="s">
        <v>636</v>
      </c>
      <c r="B23" s="316">
        <v>205</v>
      </c>
      <c r="C23" s="316">
        <v>236</v>
      </c>
      <c r="D23" s="316">
        <v>153</v>
      </c>
      <c r="E23" s="317">
        <v>184</v>
      </c>
      <c r="F23" s="14"/>
      <c r="G23" s="315" t="s">
        <v>695</v>
      </c>
      <c r="H23" s="316">
        <v>131</v>
      </c>
      <c r="I23" s="316">
        <v>159</v>
      </c>
      <c r="J23" s="316">
        <v>83</v>
      </c>
      <c r="K23" s="317">
        <v>110</v>
      </c>
      <c r="L23" s="14"/>
      <c r="M23" s="306" t="s">
        <v>845</v>
      </c>
      <c r="N23" s="307">
        <v>78</v>
      </c>
      <c r="O23" s="307">
        <v>94</v>
      </c>
      <c r="P23" s="307">
        <v>47</v>
      </c>
      <c r="Q23" s="308">
        <v>64</v>
      </c>
      <c r="R23" s="14"/>
      <c r="S23" s="312" t="s">
        <v>904</v>
      </c>
      <c r="T23" s="313">
        <v>65</v>
      </c>
      <c r="U23" s="313">
        <v>78</v>
      </c>
      <c r="V23" s="313">
        <v>42</v>
      </c>
      <c r="W23" s="314">
        <v>55</v>
      </c>
      <c r="X23" s="14"/>
      <c r="Z23" s="14"/>
      <c r="AA23" s="14"/>
      <c r="AB23" s="14"/>
      <c r="AC23" s="14"/>
      <c r="AD23" s="14"/>
      <c r="AE23" s="315" t="s">
        <v>989</v>
      </c>
      <c r="AF23" s="316">
        <v>132</v>
      </c>
      <c r="AG23" s="316">
        <v>159</v>
      </c>
      <c r="AH23" s="316">
        <v>83</v>
      </c>
      <c r="AI23" s="317">
        <v>110</v>
      </c>
      <c r="AJ23" s="14"/>
      <c r="AL23" s="14"/>
      <c r="AM23" s="14"/>
      <c r="AN23" s="14"/>
      <c r="AO23" s="14"/>
      <c r="AP23" s="14"/>
      <c r="AQ23" s="315" t="s">
        <v>1374</v>
      </c>
      <c r="AR23" s="316">
        <v>212</v>
      </c>
      <c r="AS23" s="316">
        <v>237</v>
      </c>
      <c r="AT23" s="316">
        <v>167</v>
      </c>
      <c r="AU23" s="317">
        <v>193</v>
      </c>
      <c r="AV23" s="14"/>
      <c r="AX23" s="14"/>
      <c r="AY23" s="14"/>
      <c r="AZ23" s="14"/>
      <c r="BA23" s="14"/>
      <c r="BB23" s="14"/>
      <c r="BC23" s="315" t="s">
        <v>1459</v>
      </c>
      <c r="BD23" s="316">
        <v>52</v>
      </c>
      <c r="BE23" s="316">
        <v>62</v>
      </c>
      <c r="BF23" s="316">
        <v>33</v>
      </c>
      <c r="BG23" s="317">
        <v>44</v>
      </c>
      <c r="BH23" s="14"/>
      <c r="BJ23" s="14"/>
      <c r="BK23" s="14"/>
      <c r="BL23" s="14"/>
      <c r="BM23" s="14"/>
      <c r="BN23" s="14"/>
      <c r="BP23" s="14"/>
      <c r="BQ23" s="14"/>
      <c r="BR23" s="14"/>
      <c r="BS23" s="14"/>
      <c r="BT23" s="14"/>
      <c r="BV23" s="14"/>
      <c r="BW23" s="14"/>
      <c r="BX23" s="14"/>
      <c r="BY23" s="14"/>
      <c r="BZ23" s="14"/>
      <c r="CA23" s="312" t="s">
        <v>1667</v>
      </c>
      <c r="CB23" s="313">
        <v>110</v>
      </c>
      <c r="CC23" s="313">
        <v>132</v>
      </c>
      <c r="CD23" s="313">
        <v>68</v>
      </c>
      <c r="CE23" s="314">
        <v>91</v>
      </c>
      <c r="CF23" s="14"/>
      <c r="CH23" s="14"/>
      <c r="CI23" s="14"/>
      <c r="CJ23" s="14"/>
      <c r="CK23" s="14"/>
      <c r="CL23" s="14"/>
      <c r="CN23" s="14"/>
      <c r="CO23" s="14"/>
      <c r="CP23" s="14"/>
      <c r="CQ23" s="14"/>
      <c r="CR23" s="14"/>
      <c r="CT23" s="14"/>
      <c r="CU23" s="14"/>
      <c r="CV23" s="14"/>
      <c r="CW23" s="14"/>
    </row>
    <row r="24" spans="1:101" ht="12" thickBot="1">
      <c r="A24" s="312" t="s">
        <v>637</v>
      </c>
      <c r="B24" s="313">
        <v>185</v>
      </c>
      <c r="C24" s="313">
        <v>213</v>
      </c>
      <c r="D24" s="313">
        <v>139</v>
      </c>
      <c r="E24" s="314">
        <v>167</v>
      </c>
      <c r="F24" s="14"/>
      <c r="G24" s="312" t="s">
        <v>696</v>
      </c>
      <c r="H24" s="313">
        <v>80</v>
      </c>
      <c r="I24" s="313">
        <v>96</v>
      </c>
      <c r="J24" s="313">
        <v>52</v>
      </c>
      <c r="K24" s="314">
        <v>68</v>
      </c>
      <c r="L24" s="14"/>
      <c r="M24" s="315" t="s">
        <v>846</v>
      </c>
      <c r="N24" s="316">
        <v>68</v>
      </c>
      <c r="O24" s="316">
        <v>82</v>
      </c>
      <c r="P24" s="316">
        <v>42</v>
      </c>
      <c r="Q24" s="317">
        <v>56</v>
      </c>
      <c r="R24" s="14"/>
      <c r="S24" s="306" t="s">
        <v>1798</v>
      </c>
      <c r="T24" s="307">
        <v>162</v>
      </c>
      <c r="U24" s="307">
        <v>196</v>
      </c>
      <c r="V24" s="307">
        <v>98</v>
      </c>
      <c r="W24" s="308">
        <v>132</v>
      </c>
      <c r="X24" s="14"/>
      <c r="Z24" s="14"/>
      <c r="AA24" s="14"/>
      <c r="AB24" s="14"/>
      <c r="AC24" s="14"/>
      <c r="AD24" s="14"/>
      <c r="AE24" s="315" t="s">
        <v>991</v>
      </c>
      <c r="AF24" s="316">
        <v>111</v>
      </c>
      <c r="AG24" s="316">
        <v>134</v>
      </c>
      <c r="AH24" s="316">
        <v>70</v>
      </c>
      <c r="AI24" s="317">
        <v>93</v>
      </c>
      <c r="AJ24" s="14"/>
      <c r="AL24" s="14"/>
      <c r="AM24" s="14"/>
      <c r="AN24" s="14"/>
      <c r="AO24" s="14"/>
      <c r="AP24" s="14"/>
      <c r="AQ24" s="315" t="s">
        <v>1375</v>
      </c>
      <c r="AR24" s="316">
        <v>207</v>
      </c>
      <c r="AS24" s="316">
        <v>236</v>
      </c>
      <c r="AT24" s="316">
        <v>152</v>
      </c>
      <c r="AU24" s="317">
        <v>182</v>
      </c>
      <c r="AV24" s="14"/>
      <c r="AX24" s="14"/>
      <c r="AY24" s="14"/>
      <c r="AZ24" s="14"/>
      <c r="BA24" s="14"/>
      <c r="BB24" s="14"/>
      <c r="BC24" s="312" t="s">
        <v>1460</v>
      </c>
      <c r="BD24" s="313">
        <v>45</v>
      </c>
      <c r="BE24" s="313">
        <v>54</v>
      </c>
      <c r="BF24" s="313">
        <v>29</v>
      </c>
      <c r="BG24" s="314">
        <v>38</v>
      </c>
      <c r="BH24" s="14"/>
      <c r="BJ24" s="14"/>
      <c r="BK24" s="14"/>
      <c r="BL24" s="14"/>
      <c r="BM24" s="14"/>
      <c r="BN24" s="14"/>
      <c r="BP24" s="14"/>
      <c r="BQ24" s="14"/>
      <c r="BR24" s="14"/>
      <c r="BS24" s="14"/>
      <c r="BT24" s="14"/>
      <c r="BV24" s="14"/>
      <c r="BW24" s="14"/>
      <c r="BX24" s="14"/>
      <c r="BY24" s="14"/>
      <c r="BZ24" s="14"/>
      <c r="CA24" s="315" t="s">
        <v>1668</v>
      </c>
      <c r="CB24" s="316">
        <v>225</v>
      </c>
      <c r="CC24" s="316">
        <v>258</v>
      </c>
      <c r="CD24" s="316">
        <v>165</v>
      </c>
      <c r="CE24" s="317">
        <v>198</v>
      </c>
      <c r="CF24" s="14"/>
      <c r="CH24" s="14"/>
      <c r="CI24" s="14"/>
      <c r="CJ24" s="14"/>
      <c r="CK24" s="14"/>
      <c r="CL24" s="14"/>
      <c r="CN24" s="14"/>
      <c r="CO24" s="14"/>
      <c r="CP24" s="14"/>
      <c r="CQ24" s="14"/>
      <c r="CR24" s="14"/>
      <c r="CT24" s="14"/>
      <c r="CU24" s="14"/>
      <c r="CV24" s="14"/>
      <c r="CW24" s="14"/>
    </row>
    <row r="25" spans="1:101" ht="12" thickBot="1">
      <c r="A25" s="306" t="s">
        <v>638</v>
      </c>
      <c r="B25" s="307">
        <v>230</v>
      </c>
      <c r="C25" s="307">
        <v>265</v>
      </c>
      <c r="D25" s="307">
        <v>171</v>
      </c>
      <c r="E25" s="308">
        <v>205</v>
      </c>
      <c r="F25" s="14"/>
      <c r="G25" s="306" t="s">
        <v>697</v>
      </c>
      <c r="H25" s="307">
        <v>211</v>
      </c>
      <c r="I25" s="307">
        <v>256</v>
      </c>
      <c r="J25" s="307">
        <v>130</v>
      </c>
      <c r="K25" s="308">
        <v>175</v>
      </c>
      <c r="L25" s="14"/>
      <c r="M25" s="315" t="s">
        <v>847</v>
      </c>
      <c r="N25" s="316">
        <v>63</v>
      </c>
      <c r="O25" s="316">
        <v>76</v>
      </c>
      <c r="P25" s="316">
        <v>38</v>
      </c>
      <c r="Q25" s="317">
        <v>52</v>
      </c>
      <c r="R25" s="14"/>
      <c r="S25" s="315" t="s">
        <v>906</v>
      </c>
      <c r="T25" s="316">
        <v>126</v>
      </c>
      <c r="U25" s="316">
        <v>153</v>
      </c>
      <c r="V25" s="316">
        <v>77</v>
      </c>
      <c r="W25" s="317">
        <v>103</v>
      </c>
      <c r="X25" s="14"/>
      <c r="Z25" s="14"/>
      <c r="AA25" s="14"/>
      <c r="AB25" s="14"/>
      <c r="AC25" s="14"/>
      <c r="AD25" s="14"/>
      <c r="AE25" s="315" t="s">
        <v>993</v>
      </c>
      <c r="AF25" s="316">
        <v>93</v>
      </c>
      <c r="AG25" s="316">
        <v>112</v>
      </c>
      <c r="AH25" s="316">
        <v>59</v>
      </c>
      <c r="AI25" s="317">
        <v>78</v>
      </c>
      <c r="AJ25" s="14"/>
      <c r="AL25" s="14"/>
      <c r="AM25" s="14"/>
      <c r="AN25" s="14"/>
      <c r="AO25" s="14"/>
      <c r="AP25" s="14"/>
      <c r="AQ25" s="312" t="s">
        <v>1376</v>
      </c>
      <c r="AR25" s="313">
        <v>184</v>
      </c>
      <c r="AS25" s="313">
        <v>210</v>
      </c>
      <c r="AT25" s="313">
        <v>136</v>
      </c>
      <c r="AU25" s="314">
        <v>162</v>
      </c>
      <c r="AV25" s="14"/>
      <c r="AX25" s="14"/>
      <c r="AY25" s="14"/>
      <c r="AZ25" s="14"/>
      <c r="BA25" s="14"/>
      <c r="BB25" s="14"/>
      <c r="BC25" s="306" t="s">
        <v>1461</v>
      </c>
      <c r="BD25" s="307">
        <v>108</v>
      </c>
      <c r="BE25" s="307">
        <v>130</v>
      </c>
      <c r="BF25" s="307">
        <v>66</v>
      </c>
      <c r="BG25" s="308">
        <v>88</v>
      </c>
      <c r="BH25" s="14"/>
      <c r="BJ25" s="14"/>
      <c r="BK25" s="14"/>
      <c r="BL25" s="14"/>
      <c r="BM25" s="14"/>
      <c r="BN25" s="14"/>
      <c r="BP25" s="14"/>
      <c r="BQ25" s="14"/>
      <c r="BR25" s="14"/>
      <c r="BS25" s="14"/>
      <c r="BT25" s="14"/>
      <c r="BV25" s="14"/>
      <c r="BW25" s="14"/>
      <c r="BX25" s="14"/>
      <c r="BY25" s="14"/>
      <c r="BZ25" s="14"/>
      <c r="CA25" s="312" t="s">
        <v>1669</v>
      </c>
      <c r="CB25" s="313">
        <v>189</v>
      </c>
      <c r="CC25" s="313">
        <v>217</v>
      </c>
      <c r="CD25" s="313">
        <v>139</v>
      </c>
      <c r="CE25" s="314">
        <v>167</v>
      </c>
      <c r="CF25" s="14"/>
      <c r="CH25" s="14"/>
      <c r="CI25" s="14"/>
      <c r="CJ25" s="14"/>
      <c r="CK25" s="14"/>
      <c r="CL25" s="14"/>
      <c r="CN25" s="14"/>
      <c r="CO25" s="14"/>
      <c r="CP25" s="14"/>
      <c r="CQ25" s="14"/>
      <c r="CR25" s="14"/>
      <c r="CT25" s="14"/>
      <c r="CU25" s="14"/>
      <c r="CV25" s="14"/>
      <c r="CW25" s="14"/>
    </row>
    <row r="26" spans="1:101" ht="12" thickBot="1">
      <c r="A26" s="315" t="s">
        <v>640</v>
      </c>
      <c r="B26" s="316">
        <v>197</v>
      </c>
      <c r="C26" s="316">
        <v>227</v>
      </c>
      <c r="D26" s="316">
        <v>147</v>
      </c>
      <c r="E26" s="317">
        <v>176</v>
      </c>
      <c r="F26" s="14"/>
      <c r="G26" s="315" t="s">
        <v>698</v>
      </c>
      <c r="H26" s="316">
        <v>174</v>
      </c>
      <c r="I26" s="316">
        <v>211</v>
      </c>
      <c r="J26" s="316">
        <v>108</v>
      </c>
      <c r="K26" s="317">
        <v>145</v>
      </c>
      <c r="L26" s="14"/>
      <c r="M26" s="315" t="s">
        <v>848</v>
      </c>
      <c r="N26" s="316">
        <v>57</v>
      </c>
      <c r="O26" s="316">
        <v>69</v>
      </c>
      <c r="P26" s="316">
        <v>35</v>
      </c>
      <c r="Q26" s="317">
        <v>47</v>
      </c>
      <c r="R26" s="14"/>
      <c r="S26" s="315" t="s">
        <v>907</v>
      </c>
      <c r="T26" s="316">
        <v>104</v>
      </c>
      <c r="U26" s="316">
        <v>126</v>
      </c>
      <c r="V26" s="316">
        <v>64</v>
      </c>
      <c r="W26" s="317">
        <v>86</v>
      </c>
      <c r="X26" s="14"/>
      <c r="Z26" s="14"/>
      <c r="AA26" s="14"/>
      <c r="AB26" s="14"/>
      <c r="AC26" s="14"/>
      <c r="AD26" s="14"/>
      <c r="AE26" s="312" t="s">
        <v>995</v>
      </c>
      <c r="AF26" s="313">
        <v>82</v>
      </c>
      <c r="AG26" s="313">
        <v>99</v>
      </c>
      <c r="AH26" s="313">
        <v>53</v>
      </c>
      <c r="AI26" s="314">
        <v>69</v>
      </c>
      <c r="AJ26" s="14"/>
      <c r="AL26" s="14"/>
      <c r="AM26" s="14"/>
      <c r="AN26" s="14"/>
      <c r="AO26" s="14"/>
      <c r="AP26" s="14"/>
      <c r="AQ26" s="306" t="s">
        <v>1377</v>
      </c>
      <c r="AR26" s="307">
        <v>165</v>
      </c>
      <c r="AS26" s="307">
        <v>189</v>
      </c>
      <c r="AT26" s="307">
        <v>122</v>
      </c>
      <c r="AU26" s="308">
        <v>146</v>
      </c>
      <c r="AV26" s="14"/>
      <c r="AX26" s="14"/>
      <c r="AY26" s="14"/>
      <c r="AZ26" s="14"/>
      <c r="BA26" s="14"/>
      <c r="BB26" s="14"/>
      <c r="BC26" s="315" t="s">
        <v>1462</v>
      </c>
      <c r="BD26" s="316">
        <v>92</v>
      </c>
      <c r="BE26" s="316">
        <v>111</v>
      </c>
      <c r="BF26" s="316">
        <v>56</v>
      </c>
      <c r="BG26" s="317">
        <v>75</v>
      </c>
      <c r="BH26" s="14"/>
      <c r="BJ26" s="14"/>
      <c r="BK26" s="14"/>
      <c r="BL26" s="14"/>
      <c r="BM26" s="14"/>
      <c r="BN26" s="14"/>
      <c r="BP26" s="14"/>
      <c r="BQ26" s="14"/>
      <c r="BR26" s="14"/>
      <c r="BS26" s="14"/>
      <c r="BT26" s="14"/>
      <c r="BV26" s="14"/>
      <c r="BW26" s="14"/>
      <c r="BX26" s="14"/>
      <c r="BY26" s="14"/>
      <c r="BZ26" s="14"/>
      <c r="CA26" s="315" t="s">
        <v>1670</v>
      </c>
      <c r="CB26" s="316">
        <v>126</v>
      </c>
      <c r="CC26" s="316">
        <v>152</v>
      </c>
      <c r="CD26" s="316">
        <v>77</v>
      </c>
      <c r="CE26" s="317">
        <v>103</v>
      </c>
      <c r="CF26" s="14"/>
      <c r="CH26" s="14"/>
      <c r="CI26" s="14"/>
      <c r="CJ26" s="14"/>
      <c r="CK26" s="14"/>
      <c r="CL26" s="14"/>
      <c r="CN26" s="14"/>
      <c r="CO26" s="14"/>
      <c r="CP26" s="14"/>
      <c r="CQ26" s="14"/>
      <c r="CR26" s="14"/>
      <c r="CT26" s="14"/>
      <c r="CU26" s="14"/>
      <c r="CV26" s="14"/>
      <c r="CW26" s="14"/>
    </row>
    <row r="27" spans="1:101" ht="12" thickBot="1">
      <c r="A27" s="312" t="s">
        <v>641</v>
      </c>
      <c r="B27" s="313">
        <v>170</v>
      </c>
      <c r="C27" s="313">
        <v>195</v>
      </c>
      <c r="D27" s="313">
        <v>127</v>
      </c>
      <c r="E27" s="314">
        <v>152</v>
      </c>
      <c r="F27" s="14"/>
      <c r="G27" s="315" t="s">
        <v>699</v>
      </c>
      <c r="H27" s="316">
        <v>122</v>
      </c>
      <c r="I27" s="316">
        <v>147</v>
      </c>
      <c r="J27" s="316">
        <v>77</v>
      </c>
      <c r="K27" s="317">
        <v>102</v>
      </c>
      <c r="L27" s="14"/>
      <c r="M27" s="315" t="s">
        <v>849</v>
      </c>
      <c r="N27" s="316">
        <v>52</v>
      </c>
      <c r="O27" s="316">
        <v>63</v>
      </c>
      <c r="P27" s="316">
        <v>32</v>
      </c>
      <c r="Q27" s="317">
        <v>43</v>
      </c>
      <c r="R27" s="14"/>
      <c r="S27" s="315" t="s">
        <v>908</v>
      </c>
      <c r="T27" s="316">
        <v>92</v>
      </c>
      <c r="U27" s="316">
        <v>111</v>
      </c>
      <c r="V27" s="316">
        <v>56</v>
      </c>
      <c r="W27" s="317">
        <v>76</v>
      </c>
      <c r="X27" s="14"/>
      <c r="Z27" s="14"/>
      <c r="AA27" s="14"/>
      <c r="AB27" s="14"/>
      <c r="AC27" s="14"/>
      <c r="AD27" s="14"/>
      <c r="AE27" s="306" t="s">
        <v>997</v>
      </c>
      <c r="AF27" s="307">
        <v>342</v>
      </c>
      <c r="AG27" s="307">
        <v>386</v>
      </c>
      <c r="AH27" s="307">
        <v>264</v>
      </c>
      <c r="AI27" s="308">
        <v>308</v>
      </c>
      <c r="AJ27" s="14"/>
      <c r="AL27" s="14"/>
      <c r="AM27" s="14"/>
      <c r="AN27" s="14"/>
      <c r="AO27" s="14"/>
      <c r="AP27" s="14"/>
      <c r="AQ27" s="315" t="s">
        <v>1378</v>
      </c>
      <c r="AR27" s="316">
        <v>142</v>
      </c>
      <c r="AS27" s="316">
        <v>162</v>
      </c>
      <c r="AT27" s="316">
        <v>105</v>
      </c>
      <c r="AU27" s="317">
        <v>126</v>
      </c>
      <c r="AV27" s="14"/>
      <c r="AX27" s="14"/>
      <c r="AY27" s="14"/>
      <c r="AZ27" s="14"/>
      <c r="BA27" s="14"/>
      <c r="BB27" s="14"/>
      <c r="BC27" s="315" t="s">
        <v>1463</v>
      </c>
      <c r="BD27" s="316">
        <v>80</v>
      </c>
      <c r="BE27" s="316">
        <v>96</v>
      </c>
      <c r="BF27" s="316">
        <v>49</v>
      </c>
      <c r="BG27" s="317">
        <v>66</v>
      </c>
      <c r="BH27" s="14"/>
      <c r="BJ27" s="14"/>
      <c r="BK27" s="14"/>
      <c r="BL27" s="14"/>
      <c r="BM27" s="14"/>
      <c r="BN27" s="14"/>
      <c r="BP27" s="14"/>
      <c r="BQ27" s="14"/>
      <c r="BR27" s="14"/>
      <c r="BS27" s="14"/>
      <c r="BT27" s="14"/>
      <c r="BV27" s="14"/>
      <c r="BW27" s="14"/>
      <c r="BX27" s="14"/>
      <c r="BY27" s="14"/>
      <c r="BZ27" s="14"/>
      <c r="CA27" s="315" t="s">
        <v>1671</v>
      </c>
      <c r="CB27" s="316">
        <v>117</v>
      </c>
      <c r="CC27" s="316">
        <v>141</v>
      </c>
      <c r="CD27" s="316">
        <v>72</v>
      </c>
      <c r="CE27" s="317">
        <v>96</v>
      </c>
      <c r="CF27" s="14"/>
      <c r="CH27" s="14"/>
      <c r="CI27" s="14"/>
      <c r="CJ27" s="14"/>
      <c r="CK27" s="14"/>
      <c r="CL27" s="14"/>
      <c r="CN27" s="14"/>
      <c r="CO27" s="14"/>
      <c r="CP27" s="14"/>
      <c r="CQ27" s="14"/>
      <c r="CR27" s="14"/>
      <c r="CT27" s="14"/>
      <c r="CU27" s="14"/>
      <c r="CV27" s="14"/>
      <c r="CW27" s="14"/>
    </row>
    <row r="28" spans="1:101" ht="12" thickBot="1">
      <c r="A28" s="306" t="s">
        <v>642</v>
      </c>
      <c r="B28" s="307">
        <v>216</v>
      </c>
      <c r="C28" s="307">
        <v>248</v>
      </c>
      <c r="D28" s="307">
        <v>160</v>
      </c>
      <c r="E28" s="308">
        <v>192</v>
      </c>
      <c r="F28" s="14"/>
      <c r="G28" s="312" t="s">
        <v>700</v>
      </c>
      <c r="H28" s="313">
        <v>76</v>
      </c>
      <c r="I28" s="313">
        <v>92</v>
      </c>
      <c r="J28" s="313">
        <v>49</v>
      </c>
      <c r="K28" s="314">
        <v>65</v>
      </c>
      <c r="L28" s="14"/>
      <c r="M28" s="315" t="s">
        <v>850</v>
      </c>
      <c r="N28" s="316">
        <v>48</v>
      </c>
      <c r="O28" s="316">
        <v>58</v>
      </c>
      <c r="P28" s="316">
        <v>30</v>
      </c>
      <c r="Q28" s="317">
        <v>40</v>
      </c>
      <c r="R28" s="14"/>
      <c r="S28" s="315" t="s">
        <v>909</v>
      </c>
      <c r="T28" s="316">
        <v>81</v>
      </c>
      <c r="U28" s="316">
        <v>98</v>
      </c>
      <c r="V28" s="316">
        <v>50</v>
      </c>
      <c r="W28" s="317">
        <v>67</v>
      </c>
      <c r="X28" s="14"/>
      <c r="Z28" s="14"/>
      <c r="AA28" s="14"/>
      <c r="AB28" s="14"/>
      <c r="AC28" s="14"/>
      <c r="AD28" s="14"/>
      <c r="AE28" s="315" t="s">
        <v>999</v>
      </c>
      <c r="AF28" s="316">
        <v>275</v>
      </c>
      <c r="AG28" s="316">
        <v>311</v>
      </c>
      <c r="AH28" s="316">
        <v>213</v>
      </c>
      <c r="AI28" s="317">
        <v>248</v>
      </c>
      <c r="AJ28" s="14"/>
      <c r="AL28" s="14"/>
      <c r="AM28" s="14"/>
      <c r="AN28" s="14"/>
      <c r="AO28" s="14"/>
      <c r="AP28" s="14"/>
      <c r="AQ28" s="315" t="s">
        <v>1379</v>
      </c>
      <c r="AR28" s="316">
        <v>240</v>
      </c>
      <c r="AS28" s="316">
        <v>268</v>
      </c>
      <c r="AT28" s="316">
        <v>189</v>
      </c>
      <c r="AU28" s="317">
        <v>217</v>
      </c>
      <c r="AV28" s="14"/>
      <c r="AX28" s="14"/>
      <c r="AY28" s="14"/>
      <c r="AZ28" s="14"/>
      <c r="BA28" s="14"/>
      <c r="BB28" s="14"/>
      <c r="BC28" s="312" t="s">
        <v>1464</v>
      </c>
      <c r="BD28" s="313">
        <v>71</v>
      </c>
      <c r="BE28" s="313">
        <v>85</v>
      </c>
      <c r="BF28" s="313">
        <v>44</v>
      </c>
      <c r="BG28" s="314">
        <v>58</v>
      </c>
      <c r="BH28" s="14"/>
      <c r="BJ28" s="14"/>
      <c r="BK28" s="14"/>
      <c r="BL28" s="14"/>
      <c r="BM28" s="14"/>
      <c r="BN28" s="14"/>
      <c r="BP28" s="14"/>
      <c r="BQ28" s="14"/>
      <c r="BR28" s="14"/>
      <c r="BS28" s="14"/>
      <c r="BT28" s="14"/>
      <c r="BV28" s="14"/>
      <c r="BW28" s="14"/>
      <c r="BX28" s="14"/>
      <c r="BY28" s="14"/>
      <c r="BZ28" s="14"/>
      <c r="CA28" s="315" t="s">
        <v>1672</v>
      </c>
      <c r="CB28" s="316">
        <v>103</v>
      </c>
      <c r="CC28" s="316">
        <v>124</v>
      </c>
      <c r="CD28" s="316">
        <v>63</v>
      </c>
      <c r="CE28" s="317">
        <v>85</v>
      </c>
      <c r="CF28" s="14"/>
      <c r="CH28" s="14"/>
      <c r="CI28" s="14"/>
      <c r="CJ28" s="14"/>
      <c r="CK28" s="14"/>
      <c r="CL28" s="14"/>
      <c r="CN28" s="14"/>
      <c r="CO28" s="14"/>
      <c r="CP28" s="14"/>
      <c r="CQ28" s="14"/>
      <c r="CR28" s="14"/>
      <c r="CT28" s="14"/>
      <c r="CU28" s="14"/>
      <c r="CV28" s="14"/>
      <c r="CW28" s="14"/>
    </row>
    <row r="29" spans="1:101" ht="12" thickBot="1">
      <c r="A29" s="315" t="s">
        <v>643</v>
      </c>
      <c r="B29" s="316">
        <v>188</v>
      </c>
      <c r="C29" s="316">
        <v>216</v>
      </c>
      <c r="D29" s="316">
        <v>139</v>
      </c>
      <c r="E29" s="317">
        <v>167</v>
      </c>
      <c r="F29" s="14"/>
      <c r="G29" s="306" t="s">
        <v>701</v>
      </c>
      <c r="H29" s="307">
        <v>200</v>
      </c>
      <c r="I29" s="307">
        <v>242</v>
      </c>
      <c r="J29" s="307">
        <v>122</v>
      </c>
      <c r="K29" s="308">
        <v>165</v>
      </c>
      <c r="L29" s="14"/>
      <c r="M29" s="315" t="s">
        <v>851</v>
      </c>
      <c r="N29" s="316">
        <v>44</v>
      </c>
      <c r="O29" s="316">
        <v>53</v>
      </c>
      <c r="P29" s="316">
        <v>28</v>
      </c>
      <c r="Q29" s="317">
        <v>37</v>
      </c>
      <c r="R29" s="14"/>
      <c r="S29" s="312" t="s">
        <v>910</v>
      </c>
      <c r="T29" s="313">
        <v>78</v>
      </c>
      <c r="U29" s="313">
        <v>95</v>
      </c>
      <c r="V29" s="313">
        <v>48</v>
      </c>
      <c r="W29" s="314">
        <v>65</v>
      </c>
      <c r="X29" s="14"/>
      <c r="Z29" s="14"/>
      <c r="AA29" s="14"/>
      <c r="AB29" s="14"/>
      <c r="AC29" s="14"/>
      <c r="AD29" s="14"/>
      <c r="AE29" s="315" t="s">
        <v>1001</v>
      </c>
      <c r="AF29" s="316">
        <v>246</v>
      </c>
      <c r="AG29" s="316">
        <v>277</v>
      </c>
      <c r="AH29" s="316">
        <v>190</v>
      </c>
      <c r="AI29" s="317">
        <v>222</v>
      </c>
      <c r="AJ29" s="14"/>
      <c r="AL29" s="14"/>
      <c r="AM29" s="14"/>
      <c r="AN29" s="14"/>
      <c r="AO29" s="14"/>
      <c r="AP29" s="14"/>
      <c r="AQ29" s="315" t="s">
        <v>1380</v>
      </c>
      <c r="AR29" s="316">
        <v>205</v>
      </c>
      <c r="AS29" s="316">
        <v>229</v>
      </c>
      <c r="AT29" s="316">
        <v>162</v>
      </c>
      <c r="AU29" s="317">
        <v>186</v>
      </c>
      <c r="AV29" s="14"/>
      <c r="AX29" s="14"/>
      <c r="AY29" s="14"/>
      <c r="AZ29" s="14"/>
      <c r="BA29" s="14"/>
      <c r="BB29" s="14"/>
      <c r="BC29" s="306" t="s">
        <v>1465</v>
      </c>
      <c r="BD29" s="307">
        <v>63</v>
      </c>
      <c r="BE29" s="307">
        <v>76</v>
      </c>
      <c r="BF29" s="307">
        <v>39</v>
      </c>
      <c r="BG29" s="308">
        <v>52</v>
      </c>
      <c r="BH29" s="14"/>
      <c r="BJ29" s="14"/>
      <c r="BK29" s="14"/>
      <c r="BL29" s="14"/>
      <c r="BM29" s="14"/>
      <c r="BN29" s="14"/>
      <c r="BP29" s="14"/>
      <c r="BQ29" s="14"/>
      <c r="BR29" s="14"/>
      <c r="BS29" s="14"/>
      <c r="BT29" s="14"/>
      <c r="BV29" s="14"/>
      <c r="BW29" s="14"/>
      <c r="BX29" s="14"/>
      <c r="BY29" s="14"/>
      <c r="BZ29" s="14"/>
      <c r="CA29" s="315" t="s">
        <v>1673</v>
      </c>
      <c r="CB29" s="316">
        <v>99</v>
      </c>
      <c r="CC29" s="316">
        <v>119</v>
      </c>
      <c r="CD29" s="316">
        <v>61</v>
      </c>
      <c r="CE29" s="317">
        <v>81</v>
      </c>
      <c r="CF29" s="14"/>
      <c r="CH29" s="14"/>
      <c r="CI29" s="14"/>
      <c r="CJ29" s="14"/>
      <c r="CK29" s="14"/>
      <c r="CL29" s="14"/>
      <c r="CN29" s="14"/>
      <c r="CO29" s="14"/>
      <c r="CP29" s="14"/>
      <c r="CQ29" s="14"/>
      <c r="CR29" s="14"/>
      <c r="CT29" s="14"/>
      <c r="CU29" s="14"/>
      <c r="CV29" s="14"/>
      <c r="CW29" s="14"/>
    </row>
    <row r="30" spans="1:101" ht="12" thickBot="1">
      <c r="A30" s="312" t="s">
        <v>644</v>
      </c>
      <c r="B30" s="313">
        <v>163</v>
      </c>
      <c r="C30" s="313">
        <v>187</v>
      </c>
      <c r="D30" s="313">
        <v>121</v>
      </c>
      <c r="E30" s="314">
        <v>145</v>
      </c>
      <c r="F30" s="14"/>
      <c r="G30" s="315" t="s">
        <v>702</v>
      </c>
      <c r="H30" s="316">
        <v>161</v>
      </c>
      <c r="I30" s="316">
        <v>195</v>
      </c>
      <c r="J30" s="316">
        <v>99</v>
      </c>
      <c r="K30" s="317">
        <v>134</v>
      </c>
      <c r="L30" s="14"/>
      <c r="M30" s="315" t="s">
        <v>852</v>
      </c>
      <c r="N30" s="316">
        <v>40</v>
      </c>
      <c r="O30" s="316">
        <v>49</v>
      </c>
      <c r="P30" s="316">
        <v>25</v>
      </c>
      <c r="Q30" s="317">
        <v>34</v>
      </c>
      <c r="R30" s="14"/>
      <c r="S30" s="306" t="s">
        <v>911</v>
      </c>
      <c r="T30" s="307">
        <v>116</v>
      </c>
      <c r="U30" s="307">
        <v>141</v>
      </c>
      <c r="V30" s="307">
        <v>70</v>
      </c>
      <c r="W30" s="308">
        <v>95</v>
      </c>
      <c r="X30" s="14"/>
      <c r="Z30" s="14"/>
      <c r="AA30" s="14"/>
      <c r="AB30" s="14"/>
      <c r="AC30" s="14"/>
      <c r="AD30" s="14"/>
      <c r="AE30" s="315" t="s">
        <v>1003</v>
      </c>
      <c r="AF30" s="316">
        <v>221</v>
      </c>
      <c r="AG30" s="316">
        <v>249</v>
      </c>
      <c r="AH30" s="316">
        <v>172</v>
      </c>
      <c r="AI30" s="317">
        <v>200</v>
      </c>
      <c r="AJ30" s="14"/>
      <c r="AL30" s="14"/>
      <c r="AM30" s="14"/>
      <c r="AN30" s="14"/>
      <c r="AO30" s="14"/>
      <c r="AP30" s="14"/>
      <c r="AQ30" s="315" t="s">
        <v>1381</v>
      </c>
      <c r="AR30" s="316">
        <v>189</v>
      </c>
      <c r="AS30" s="316">
        <v>215</v>
      </c>
      <c r="AT30" s="316">
        <v>143</v>
      </c>
      <c r="AU30" s="317">
        <v>168</v>
      </c>
      <c r="AV30" s="14"/>
      <c r="AX30" s="14"/>
      <c r="AY30" s="14"/>
      <c r="AZ30" s="14"/>
      <c r="BA30" s="14"/>
      <c r="BB30" s="14"/>
      <c r="BC30" s="315" t="s">
        <v>1466</v>
      </c>
      <c r="BD30" s="316">
        <v>52</v>
      </c>
      <c r="BE30" s="316">
        <v>63</v>
      </c>
      <c r="BF30" s="316">
        <v>32</v>
      </c>
      <c r="BG30" s="317">
        <v>43</v>
      </c>
      <c r="BH30" s="14"/>
      <c r="BJ30" s="14"/>
      <c r="BK30" s="14"/>
      <c r="BL30" s="14"/>
      <c r="BM30" s="14"/>
      <c r="BN30" s="14"/>
      <c r="BP30" s="14"/>
      <c r="BQ30" s="14"/>
      <c r="BR30" s="14"/>
      <c r="BS30" s="14"/>
      <c r="BT30" s="14"/>
      <c r="BV30" s="14"/>
      <c r="BW30" s="14"/>
      <c r="BX30" s="14"/>
      <c r="BY30" s="14"/>
      <c r="BZ30" s="14"/>
      <c r="CA30" s="315" t="s">
        <v>1674</v>
      </c>
      <c r="CB30" s="316">
        <v>87</v>
      </c>
      <c r="CC30" s="316">
        <v>105</v>
      </c>
      <c r="CD30" s="316">
        <v>54</v>
      </c>
      <c r="CE30" s="317">
        <v>72</v>
      </c>
      <c r="CF30" s="14"/>
      <c r="CH30" s="14"/>
      <c r="CI30" s="14"/>
      <c r="CJ30" s="14"/>
      <c r="CK30" s="14"/>
      <c r="CL30" s="14"/>
      <c r="CN30" s="14"/>
      <c r="CO30" s="14"/>
      <c r="CP30" s="14"/>
      <c r="CQ30" s="14"/>
      <c r="CR30" s="14"/>
      <c r="CT30" s="14"/>
      <c r="CU30" s="14"/>
      <c r="CV30" s="14"/>
      <c r="CW30" s="14"/>
    </row>
    <row r="31" spans="1:101" ht="12" thickBot="1">
      <c r="A31" s="306" t="s">
        <v>645</v>
      </c>
      <c r="B31" s="307">
        <v>199</v>
      </c>
      <c r="C31" s="307">
        <v>228</v>
      </c>
      <c r="D31" s="307">
        <v>149</v>
      </c>
      <c r="E31" s="308">
        <v>178</v>
      </c>
      <c r="F31" s="14"/>
      <c r="G31" s="315" t="s">
        <v>703</v>
      </c>
      <c r="H31" s="316">
        <v>115</v>
      </c>
      <c r="I31" s="316">
        <v>140</v>
      </c>
      <c r="J31" s="316">
        <v>72</v>
      </c>
      <c r="K31" s="317">
        <v>97</v>
      </c>
      <c r="L31" s="14"/>
      <c r="M31" s="315" t="s">
        <v>853</v>
      </c>
      <c r="N31" s="316">
        <v>37</v>
      </c>
      <c r="O31" s="316">
        <v>45</v>
      </c>
      <c r="P31" s="316">
        <v>23</v>
      </c>
      <c r="Q31" s="317">
        <v>31</v>
      </c>
      <c r="R31" s="14"/>
      <c r="S31" s="315" t="s">
        <v>912</v>
      </c>
      <c r="T31" s="316">
        <v>102</v>
      </c>
      <c r="U31" s="316">
        <v>124</v>
      </c>
      <c r="V31" s="316">
        <v>61</v>
      </c>
      <c r="W31" s="317">
        <v>83</v>
      </c>
      <c r="X31" s="14"/>
      <c r="Z31" s="14"/>
      <c r="AA31" s="14"/>
      <c r="AB31" s="14"/>
      <c r="AC31" s="14"/>
      <c r="AD31" s="14"/>
      <c r="AE31" s="315" t="s">
        <v>1007</v>
      </c>
      <c r="AF31" s="316">
        <v>222</v>
      </c>
      <c r="AG31" s="316">
        <v>257</v>
      </c>
      <c r="AH31" s="316">
        <v>159</v>
      </c>
      <c r="AI31" s="317">
        <v>194</v>
      </c>
      <c r="AJ31" s="14"/>
      <c r="AL31" s="14"/>
      <c r="AM31" s="14"/>
      <c r="AN31" s="14"/>
      <c r="AO31" s="14"/>
      <c r="AP31" s="14"/>
      <c r="AQ31" s="312" t="s">
        <v>1382</v>
      </c>
      <c r="AR31" s="313">
        <v>172</v>
      </c>
      <c r="AS31" s="313">
        <v>195</v>
      </c>
      <c r="AT31" s="313">
        <v>129</v>
      </c>
      <c r="AU31" s="314">
        <v>153</v>
      </c>
      <c r="AV31" s="14"/>
      <c r="AX31" s="14"/>
      <c r="AY31" s="14"/>
      <c r="AZ31" s="14"/>
      <c r="BA31" s="14"/>
      <c r="BB31" s="14"/>
      <c r="BC31" s="315" t="s">
        <v>1467</v>
      </c>
      <c r="BD31" s="316">
        <v>45</v>
      </c>
      <c r="BE31" s="316">
        <v>54</v>
      </c>
      <c r="BF31" s="316">
        <v>28</v>
      </c>
      <c r="BG31" s="317">
        <v>37</v>
      </c>
      <c r="BH31" s="14"/>
      <c r="BJ31" s="14"/>
      <c r="BK31" s="14"/>
      <c r="BL31" s="14"/>
      <c r="BM31" s="14"/>
      <c r="BN31" s="14"/>
      <c r="BP31" s="14"/>
      <c r="BQ31" s="14"/>
      <c r="BR31" s="14"/>
      <c r="BS31" s="14"/>
      <c r="BT31" s="14"/>
      <c r="BV31" s="14"/>
      <c r="BW31" s="14"/>
      <c r="BX31" s="14"/>
      <c r="BY31" s="14"/>
      <c r="BZ31" s="14"/>
      <c r="CA31" s="306" t="s">
        <v>1675</v>
      </c>
      <c r="CB31" s="307">
        <v>123</v>
      </c>
      <c r="CC31" s="307">
        <v>145</v>
      </c>
      <c r="CD31" s="307">
        <v>81</v>
      </c>
      <c r="CE31" s="308">
        <v>104</v>
      </c>
      <c r="CF31" s="14"/>
      <c r="CH31" s="14"/>
      <c r="CI31" s="14"/>
      <c r="CJ31" s="14"/>
      <c r="CK31" s="14"/>
      <c r="CL31" s="14"/>
      <c r="CN31" s="14"/>
      <c r="CO31" s="14"/>
      <c r="CP31" s="14"/>
      <c r="CQ31" s="14"/>
      <c r="CR31" s="14"/>
      <c r="CT31" s="14"/>
      <c r="CU31" s="14"/>
      <c r="CV31" s="14"/>
      <c r="CW31" s="14"/>
    </row>
    <row r="32" spans="1:101" ht="12" thickBot="1">
      <c r="A32" s="315" t="s">
        <v>646</v>
      </c>
      <c r="B32" s="316">
        <v>175</v>
      </c>
      <c r="C32" s="316">
        <v>200</v>
      </c>
      <c r="D32" s="316">
        <v>131</v>
      </c>
      <c r="E32" s="317">
        <v>157</v>
      </c>
      <c r="F32" s="14"/>
      <c r="G32" s="312" t="s">
        <v>704</v>
      </c>
      <c r="H32" s="313">
        <v>73</v>
      </c>
      <c r="I32" s="313">
        <v>88</v>
      </c>
      <c r="J32" s="313">
        <v>47</v>
      </c>
      <c r="K32" s="314">
        <v>62</v>
      </c>
      <c r="L32" s="14"/>
      <c r="M32" s="315" t="s">
        <v>854</v>
      </c>
      <c r="N32" s="316">
        <v>34</v>
      </c>
      <c r="O32" s="316">
        <v>41</v>
      </c>
      <c r="P32" s="316">
        <v>22</v>
      </c>
      <c r="Q32" s="317">
        <v>29</v>
      </c>
      <c r="R32" s="14"/>
      <c r="S32" s="315" t="s">
        <v>913</v>
      </c>
      <c r="T32" s="316">
        <v>91</v>
      </c>
      <c r="U32" s="316">
        <v>111</v>
      </c>
      <c r="V32" s="316">
        <v>55</v>
      </c>
      <c r="W32" s="317">
        <v>74</v>
      </c>
      <c r="X32" s="14"/>
      <c r="Z32" s="14"/>
      <c r="AA32" s="14"/>
      <c r="AB32" s="14"/>
      <c r="AC32" s="14"/>
      <c r="AD32" s="14"/>
      <c r="AE32" s="315" t="s">
        <v>1009</v>
      </c>
      <c r="AF32" s="316">
        <v>190</v>
      </c>
      <c r="AG32" s="316">
        <v>220</v>
      </c>
      <c r="AH32" s="316">
        <v>136</v>
      </c>
      <c r="AI32" s="317">
        <v>166</v>
      </c>
      <c r="AJ32" s="14"/>
      <c r="AL32" s="14"/>
      <c r="AM32" s="14"/>
      <c r="AN32" s="14"/>
      <c r="AO32" s="14"/>
      <c r="AP32" s="14"/>
      <c r="AQ32" s="306" t="s">
        <v>1383</v>
      </c>
      <c r="AR32" s="307">
        <v>154</v>
      </c>
      <c r="AS32" s="307">
        <v>175</v>
      </c>
      <c r="AT32" s="307">
        <v>117</v>
      </c>
      <c r="AU32" s="308">
        <v>138</v>
      </c>
      <c r="AV32" s="14"/>
      <c r="AX32" s="14"/>
      <c r="AY32" s="14"/>
      <c r="AZ32" s="14"/>
      <c r="BA32" s="14"/>
      <c r="BB32" s="14"/>
      <c r="BC32" s="315" t="s">
        <v>1468</v>
      </c>
      <c r="BD32" s="316">
        <v>39</v>
      </c>
      <c r="BE32" s="316">
        <v>48</v>
      </c>
      <c r="BF32" s="316">
        <v>25</v>
      </c>
      <c r="BG32" s="317">
        <v>33</v>
      </c>
      <c r="BH32" s="14"/>
      <c r="BJ32" s="14"/>
      <c r="BK32" s="14"/>
      <c r="BL32" s="14"/>
      <c r="BM32" s="14"/>
      <c r="BN32" s="14"/>
      <c r="BP32" s="14"/>
      <c r="BQ32" s="14"/>
      <c r="BR32" s="14"/>
      <c r="BS32" s="14"/>
      <c r="BT32" s="14"/>
      <c r="BV32" s="14"/>
      <c r="BW32" s="14"/>
      <c r="BX32" s="14"/>
      <c r="BY32" s="14"/>
      <c r="BZ32" s="14"/>
      <c r="CA32" s="315" t="s">
        <v>1676</v>
      </c>
      <c r="CB32" s="316">
        <v>107</v>
      </c>
      <c r="CC32" s="316">
        <v>130</v>
      </c>
      <c r="CD32" s="316">
        <v>66</v>
      </c>
      <c r="CE32" s="317">
        <v>89</v>
      </c>
      <c r="CF32" s="14"/>
      <c r="CH32" s="14"/>
      <c r="CI32" s="14"/>
      <c r="CJ32" s="14"/>
      <c r="CK32" s="14"/>
      <c r="CL32" s="14"/>
      <c r="CN32" s="14"/>
      <c r="CO32" s="14"/>
      <c r="CP32" s="14"/>
      <c r="CQ32" s="14"/>
      <c r="CR32" s="14"/>
      <c r="CT32" s="14"/>
      <c r="CU32" s="14"/>
      <c r="CV32" s="14"/>
      <c r="CW32" s="14"/>
    </row>
    <row r="33" spans="1:101" ht="12" thickBot="1">
      <c r="A33" s="312" t="s">
        <v>647</v>
      </c>
      <c r="B33" s="313">
        <v>152</v>
      </c>
      <c r="C33" s="313">
        <v>175</v>
      </c>
      <c r="D33" s="313">
        <v>114</v>
      </c>
      <c r="E33" s="314">
        <v>137</v>
      </c>
      <c r="F33" s="14"/>
      <c r="G33" s="306" t="s">
        <v>705</v>
      </c>
      <c r="H33" s="307">
        <v>185</v>
      </c>
      <c r="I33" s="307">
        <v>225</v>
      </c>
      <c r="J33" s="307">
        <v>114</v>
      </c>
      <c r="K33" s="308">
        <v>154</v>
      </c>
      <c r="L33" s="14"/>
      <c r="M33" s="315" t="s">
        <v>855</v>
      </c>
      <c r="N33" s="316">
        <v>31</v>
      </c>
      <c r="O33" s="316">
        <v>38</v>
      </c>
      <c r="P33" s="316">
        <v>20</v>
      </c>
      <c r="Q33" s="317">
        <v>27</v>
      </c>
      <c r="R33" s="14"/>
      <c r="S33" s="315" t="s">
        <v>914</v>
      </c>
      <c r="T33" s="316">
        <v>82</v>
      </c>
      <c r="U33" s="316">
        <v>100</v>
      </c>
      <c r="V33" s="316">
        <v>50</v>
      </c>
      <c r="W33" s="317">
        <v>67</v>
      </c>
      <c r="X33" s="14"/>
      <c r="Z33" s="14"/>
      <c r="AA33" s="14"/>
      <c r="AB33" s="14"/>
      <c r="AC33" s="14"/>
      <c r="AD33" s="14"/>
      <c r="AE33" s="315" t="s">
        <v>1011</v>
      </c>
      <c r="AF33" s="316">
        <v>165</v>
      </c>
      <c r="AG33" s="316">
        <v>191</v>
      </c>
      <c r="AH33" s="316">
        <v>119</v>
      </c>
      <c r="AI33" s="317">
        <v>144</v>
      </c>
      <c r="AJ33" s="14"/>
      <c r="AL33" s="14"/>
      <c r="AM33" s="14"/>
      <c r="AN33" s="14"/>
      <c r="AO33" s="14"/>
      <c r="AP33" s="14"/>
      <c r="AQ33" s="315" t="s">
        <v>1384</v>
      </c>
      <c r="AR33" s="316">
        <v>140</v>
      </c>
      <c r="AS33" s="316">
        <v>159</v>
      </c>
      <c r="AT33" s="316">
        <v>106</v>
      </c>
      <c r="AU33" s="317">
        <v>125</v>
      </c>
      <c r="AV33" s="14"/>
      <c r="AX33" s="14"/>
      <c r="AY33" s="14"/>
      <c r="AZ33" s="14"/>
      <c r="BA33" s="14"/>
      <c r="BB33" s="14"/>
      <c r="BC33" s="315" t="s">
        <v>1469</v>
      </c>
      <c r="BD33" s="316">
        <v>34</v>
      </c>
      <c r="BE33" s="316">
        <v>41</v>
      </c>
      <c r="BF33" s="316">
        <v>22</v>
      </c>
      <c r="BG33" s="317">
        <v>29</v>
      </c>
      <c r="BH33" s="14"/>
      <c r="BJ33" s="14"/>
      <c r="BK33" s="14"/>
      <c r="BL33" s="14"/>
      <c r="BM33" s="14"/>
      <c r="BN33" s="14"/>
      <c r="BP33" s="14"/>
      <c r="BQ33" s="14"/>
      <c r="BR33" s="14"/>
      <c r="BS33" s="14"/>
      <c r="BT33" s="14"/>
      <c r="BV33" s="14"/>
      <c r="BW33" s="14"/>
      <c r="BX33" s="14"/>
      <c r="BY33" s="14"/>
      <c r="BZ33" s="14"/>
      <c r="CA33" s="315" t="s">
        <v>1677</v>
      </c>
      <c r="CB33" s="316">
        <v>103</v>
      </c>
      <c r="CC33" s="316">
        <v>124</v>
      </c>
      <c r="CD33" s="316">
        <v>63</v>
      </c>
      <c r="CE33" s="317">
        <v>85</v>
      </c>
      <c r="CF33" s="14"/>
      <c r="CH33" s="14"/>
      <c r="CI33" s="14"/>
      <c r="CJ33" s="14"/>
      <c r="CK33" s="14"/>
      <c r="CL33" s="14"/>
      <c r="CN33" s="14"/>
      <c r="CO33" s="14"/>
      <c r="CP33" s="14"/>
      <c r="CQ33" s="14"/>
      <c r="CR33" s="14"/>
      <c r="CT33" s="14"/>
      <c r="CU33" s="14"/>
      <c r="CV33" s="14"/>
      <c r="CW33" s="14"/>
    </row>
    <row r="34" spans="1:101">
      <c r="A34" s="306" t="s">
        <v>648</v>
      </c>
      <c r="B34" s="307">
        <v>185</v>
      </c>
      <c r="C34" s="307">
        <v>211</v>
      </c>
      <c r="D34" s="307">
        <v>138</v>
      </c>
      <c r="E34" s="308">
        <v>165</v>
      </c>
      <c r="F34" s="14"/>
      <c r="G34" s="315" t="s">
        <v>706</v>
      </c>
      <c r="H34" s="316">
        <v>147</v>
      </c>
      <c r="I34" s="316">
        <v>178</v>
      </c>
      <c r="J34" s="316">
        <v>91</v>
      </c>
      <c r="K34" s="317">
        <v>122</v>
      </c>
      <c r="L34" s="14"/>
      <c r="M34" s="315" t="s">
        <v>856</v>
      </c>
      <c r="N34" s="316">
        <v>29</v>
      </c>
      <c r="O34" s="316">
        <v>35</v>
      </c>
      <c r="P34" s="316">
        <v>19</v>
      </c>
      <c r="Q34" s="317">
        <v>25</v>
      </c>
      <c r="R34" s="14"/>
      <c r="S34" s="315" t="s">
        <v>915</v>
      </c>
      <c r="T34" s="316">
        <v>75</v>
      </c>
      <c r="U34" s="316">
        <v>91</v>
      </c>
      <c r="V34" s="316">
        <v>46</v>
      </c>
      <c r="W34" s="317">
        <v>62</v>
      </c>
      <c r="X34" s="14"/>
      <c r="Z34" s="14"/>
      <c r="AA34" s="14"/>
      <c r="AB34" s="14"/>
      <c r="AC34" s="14"/>
      <c r="AD34" s="14"/>
      <c r="AE34" s="315" t="s">
        <v>1013</v>
      </c>
      <c r="AF34" s="316">
        <v>132</v>
      </c>
      <c r="AG34" s="316">
        <v>159</v>
      </c>
      <c r="AH34" s="316">
        <v>82</v>
      </c>
      <c r="AI34" s="317">
        <v>109</v>
      </c>
      <c r="AJ34" s="14"/>
      <c r="AL34" s="14"/>
      <c r="AM34" s="14"/>
      <c r="AN34" s="14"/>
      <c r="AO34" s="14"/>
      <c r="AP34" s="14"/>
      <c r="AQ34" s="315" t="s">
        <v>1385</v>
      </c>
      <c r="AR34" s="316">
        <v>199</v>
      </c>
      <c r="AS34" s="316">
        <v>222</v>
      </c>
      <c r="AT34" s="316">
        <v>158</v>
      </c>
      <c r="AU34" s="317">
        <v>181</v>
      </c>
      <c r="AV34" s="14"/>
      <c r="AX34" s="14"/>
      <c r="AY34" s="14"/>
      <c r="AZ34" s="14"/>
      <c r="BA34" s="14"/>
      <c r="BB34" s="14"/>
      <c r="BC34" s="315" t="s">
        <v>1470</v>
      </c>
      <c r="BD34" s="316">
        <v>29</v>
      </c>
      <c r="BE34" s="316">
        <v>35</v>
      </c>
      <c r="BF34" s="316">
        <v>19</v>
      </c>
      <c r="BG34" s="317">
        <v>25</v>
      </c>
      <c r="BH34" s="14"/>
      <c r="BJ34" s="14"/>
      <c r="BK34" s="14"/>
      <c r="BL34" s="14"/>
      <c r="BM34" s="14"/>
      <c r="BN34" s="14"/>
      <c r="BP34" s="14"/>
      <c r="BQ34" s="14"/>
      <c r="BR34" s="14"/>
      <c r="BS34" s="14"/>
      <c r="BT34" s="14"/>
      <c r="BV34" s="14"/>
      <c r="BW34" s="14"/>
      <c r="BX34" s="14"/>
      <c r="BY34" s="14"/>
      <c r="BZ34" s="14"/>
      <c r="CA34" s="315" t="s">
        <v>1678</v>
      </c>
      <c r="CB34" s="316">
        <v>90</v>
      </c>
      <c r="CC34" s="316">
        <v>109</v>
      </c>
      <c r="CD34" s="316">
        <v>56</v>
      </c>
      <c r="CE34" s="317">
        <v>75</v>
      </c>
      <c r="CF34" s="14"/>
      <c r="CH34" s="14"/>
      <c r="CI34" s="14"/>
      <c r="CJ34" s="14"/>
      <c r="CK34" s="14"/>
      <c r="CL34" s="14"/>
      <c r="CN34" s="14"/>
      <c r="CO34" s="14"/>
      <c r="CP34" s="14"/>
      <c r="CQ34" s="14"/>
      <c r="CR34" s="14"/>
      <c r="CT34" s="14"/>
      <c r="CU34" s="14"/>
      <c r="CV34" s="14"/>
      <c r="CW34" s="14"/>
    </row>
    <row r="35" spans="1:101" ht="12" thickBot="1">
      <c r="A35" s="315" t="s">
        <v>650</v>
      </c>
      <c r="B35" s="316">
        <v>163</v>
      </c>
      <c r="C35" s="316">
        <v>186</v>
      </c>
      <c r="D35" s="316">
        <v>122</v>
      </c>
      <c r="E35" s="317">
        <v>146</v>
      </c>
      <c r="F35" s="14"/>
      <c r="G35" s="315" t="s">
        <v>707</v>
      </c>
      <c r="H35" s="316">
        <v>108</v>
      </c>
      <c r="I35" s="316">
        <v>131</v>
      </c>
      <c r="J35" s="316">
        <v>68</v>
      </c>
      <c r="K35" s="317">
        <v>91</v>
      </c>
      <c r="L35" s="14"/>
      <c r="M35" s="315" t="s">
        <v>857</v>
      </c>
      <c r="N35" s="316">
        <v>28</v>
      </c>
      <c r="O35" s="316">
        <v>33</v>
      </c>
      <c r="P35" s="316">
        <v>18</v>
      </c>
      <c r="Q35" s="317">
        <v>23</v>
      </c>
      <c r="R35" s="14"/>
      <c r="S35" s="315" t="s">
        <v>916</v>
      </c>
      <c r="T35" s="316">
        <v>69</v>
      </c>
      <c r="U35" s="316">
        <v>84</v>
      </c>
      <c r="V35" s="316">
        <v>42</v>
      </c>
      <c r="W35" s="317">
        <v>57</v>
      </c>
      <c r="X35" s="14"/>
      <c r="Z35" s="14"/>
      <c r="AA35" s="14"/>
      <c r="AB35" s="14"/>
      <c r="AC35" s="14"/>
      <c r="AD35" s="14"/>
      <c r="AE35" s="315" t="s">
        <v>1015</v>
      </c>
      <c r="AF35" s="316">
        <v>121</v>
      </c>
      <c r="AG35" s="316">
        <v>146</v>
      </c>
      <c r="AH35" s="316">
        <v>75</v>
      </c>
      <c r="AI35" s="317">
        <v>100</v>
      </c>
      <c r="AJ35" s="14"/>
      <c r="AL35" s="14"/>
      <c r="AM35" s="14"/>
      <c r="AN35" s="14"/>
      <c r="AO35" s="14"/>
      <c r="AP35" s="14"/>
      <c r="AQ35" s="315" t="s">
        <v>1386</v>
      </c>
      <c r="AR35" s="316">
        <v>175</v>
      </c>
      <c r="AS35" s="316">
        <v>195</v>
      </c>
      <c r="AT35" s="316">
        <v>139</v>
      </c>
      <c r="AU35" s="317">
        <v>159</v>
      </c>
      <c r="AV35" s="14"/>
      <c r="AX35" s="14"/>
      <c r="AY35" s="14"/>
      <c r="AZ35" s="14"/>
      <c r="BA35" s="14"/>
      <c r="BB35" s="14"/>
      <c r="BC35" s="312" t="s">
        <v>1471</v>
      </c>
      <c r="BD35" s="313">
        <v>26</v>
      </c>
      <c r="BE35" s="313">
        <v>31</v>
      </c>
      <c r="BF35" s="313">
        <v>17</v>
      </c>
      <c r="BG35" s="314">
        <v>22</v>
      </c>
      <c r="BH35" s="14"/>
      <c r="BJ35" s="14"/>
      <c r="BK35" s="14"/>
      <c r="BL35" s="14"/>
      <c r="BM35" s="14"/>
      <c r="BN35" s="14"/>
      <c r="BP35" s="14"/>
      <c r="BQ35" s="14"/>
      <c r="BR35" s="14"/>
      <c r="BS35" s="14"/>
      <c r="BT35" s="14"/>
      <c r="BV35" s="14"/>
      <c r="BW35" s="14"/>
      <c r="BX35" s="14"/>
      <c r="BY35" s="14"/>
      <c r="BZ35" s="14"/>
      <c r="CA35" s="315" t="s">
        <v>1679</v>
      </c>
      <c r="CB35" s="316">
        <v>89</v>
      </c>
      <c r="CC35" s="316">
        <v>107</v>
      </c>
      <c r="CD35" s="316">
        <v>55</v>
      </c>
      <c r="CE35" s="317">
        <v>73</v>
      </c>
      <c r="CF35" s="14"/>
      <c r="CH35" s="14"/>
      <c r="CI35" s="14"/>
      <c r="CJ35" s="14"/>
      <c r="CK35" s="14"/>
      <c r="CL35" s="14"/>
      <c r="CN35" s="14"/>
      <c r="CO35" s="14"/>
      <c r="CP35" s="14"/>
      <c r="CQ35" s="14"/>
      <c r="CR35" s="14"/>
      <c r="CT35" s="14"/>
      <c r="CU35" s="14"/>
      <c r="CV35" s="14"/>
      <c r="CW35" s="14"/>
    </row>
    <row r="36" spans="1:101" ht="12" thickBot="1">
      <c r="A36" s="312" t="s">
        <v>651</v>
      </c>
      <c r="B36" s="313">
        <v>142</v>
      </c>
      <c r="C36" s="313">
        <v>162</v>
      </c>
      <c r="D36" s="313">
        <v>107</v>
      </c>
      <c r="E36" s="314">
        <v>127</v>
      </c>
      <c r="F36" s="14"/>
      <c r="G36" s="312" t="s">
        <v>708</v>
      </c>
      <c r="H36" s="313">
        <v>61</v>
      </c>
      <c r="I36" s="313">
        <v>73</v>
      </c>
      <c r="J36" s="313">
        <v>39</v>
      </c>
      <c r="K36" s="314">
        <v>52</v>
      </c>
      <c r="L36" s="14"/>
      <c r="M36" s="315" t="s">
        <v>858</v>
      </c>
      <c r="N36" s="316">
        <v>26</v>
      </c>
      <c r="O36" s="316">
        <v>31</v>
      </c>
      <c r="P36" s="316">
        <v>17</v>
      </c>
      <c r="Q36" s="317">
        <v>22</v>
      </c>
      <c r="R36" s="14"/>
      <c r="S36" s="312" t="s">
        <v>917</v>
      </c>
      <c r="T36" s="313">
        <v>64</v>
      </c>
      <c r="U36" s="313">
        <v>77</v>
      </c>
      <c r="V36" s="313">
        <v>39</v>
      </c>
      <c r="W36" s="314">
        <v>53</v>
      </c>
      <c r="X36" s="14"/>
      <c r="Z36" s="14"/>
      <c r="AA36" s="14"/>
      <c r="AB36" s="14"/>
      <c r="AC36" s="14"/>
      <c r="AD36" s="14"/>
      <c r="AE36" s="315" t="s">
        <v>1017</v>
      </c>
      <c r="AF36" s="316">
        <v>109</v>
      </c>
      <c r="AG36" s="316">
        <v>132</v>
      </c>
      <c r="AH36" s="316">
        <v>68</v>
      </c>
      <c r="AI36" s="317">
        <v>90</v>
      </c>
      <c r="AJ36" s="14"/>
      <c r="AL36" s="14"/>
      <c r="AM36" s="14"/>
      <c r="AN36" s="14"/>
      <c r="AO36" s="14"/>
      <c r="AP36" s="14"/>
      <c r="AQ36" s="315" t="s">
        <v>1387</v>
      </c>
      <c r="AR36" s="316">
        <v>157</v>
      </c>
      <c r="AS36" s="316">
        <v>175</v>
      </c>
      <c r="AT36" s="316">
        <v>125</v>
      </c>
      <c r="AU36" s="317">
        <v>143</v>
      </c>
      <c r="AV36" s="14"/>
      <c r="AX36" s="14"/>
      <c r="AY36" s="14"/>
      <c r="AZ36" s="14"/>
      <c r="BA36" s="14"/>
      <c r="BB36" s="14"/>
      <c r="BD36" s="14"/>
      <c r="BE36" s="14"/>
      <c r="BF36" s="14"/>
      <c r="BG36" s="14"/>
      <c r="BH36" s="14"/>
      <c r="BJ36" s="14"/>
      <c r="BK36" s="14"/>
      <c r="BL36" s="14"/>
      <c r="BM36" s="14"/>
      <c r="BN36" s="14"/>
      <c r="BP36" s="14"/>
      <c r="BQ36" s="14"/>
      <c r="BR36" s="14"/>
      <c r="BS36" s="14"/>
      <c r="BT36" s="14"/>
      <c r="BV36" s="14"/>
      <c r="BW36" s="14"/>
      <c r="BX36" s="14"/>
      <c r="BY36" s="14"/>
      <c r="BZ36" s="14"/>
      <c r="CA36" s="315" t="s">
        <v>1680</v>
      </c>
      <c r="CB36" s="316">
        <v>78</v>
      </c>
      <c r="CC36" s="316">
        <v>94</v>
      </c>
      <c r="CD36" s="316">
        <v>48</v>
      </c>
      <c r="CE36" s="317">
        <v>64</v>
      </c>
      <c r="CF36" s="14"/>
      <c r="CH36" s="14"/>
      <c r="CI36" s="14"/>
      <c r="CJ36" s="14"/>
      <c r="CK36" s="14"/>
      <c r="CL36" s="14"/>
      <c r="CN36" s="14"/>
      <c r="CO36" s="14"/>
      <c r="CP36" s="14"/>
      <c r="CQ36" s="14"/>
      <c r="CR36" s="14"/>
      <c r="CT36" s="14"/>
      <c r="CU36" s="14"/>
      <c r="CV36" s="14"/>
      <c r="CW36" s="14"/>
    </row>
    <row r="37" spans="1:101" ht="12" thickBot="1">
      <c r="A37" s="306" t="s">
        <v>652</v>
      </c>
      <c r="B37" s="307">
        <v>176</v>
      </c>
      <c r="C37" s="307">
        <v>200</v>
      </c>
      <c r="D37" s="307">
        <v>133</v>
      </c>
      <c r="E37" s="308">
        <v>158</v>
      </c>
      <c r="F37" s="14"/>
      <c r="G37" s="306" t="s">
        <v>709</v>
      </c>
      <c r="H37" s="307">
        <v>176</v>
      </c>
      <c r="I37" s="307">
        <v>214</v>
      </c>
      <c r="J37" s="307">
        <v>108</v>
      </c>
      <c r="K37" s="308">
        <v>146</v>
      </c>
      <c r="L37" s="14"/>
      <c r="M37" s="315" t="s">
        <v>859</v>
      </c>
      <c r="N37" s="316">
        <v>25</v>
      </c>
      <c r="O37" s="316">
        <v>30</v>
      </c>
      <c r="P37" s="316">
        <v>16</v>
      </c>
      <c r="Q37" s="317">
        <v>21</v>
      </c>
      <c r="R37" s="14"/>
      <c r="T37" s="14"/>
      <c r="U37" s="14"/>
      <c r="V37" s="14"/>
      <c r="W37" s="14"/>
      <c r="X37" s="14"/>
      <c r="Z37" s="14"/>
      <c r="AA37" s="14"/>
      <c r="AB37" s="14"/>
      <c r="AC37" s="14"/>
      <c r="AD37" s="14"/>
      <c r="AE37" s="315" t="s">
        <v>1019</v>
      </c>
      <c r="AF37" s="316">
        <v>97</v>
      </c>
      <c r="AG37" s="316">
        <v>117</v>
      </c>
      <c r="AH37" s="316">
        <v>61</v>
      </c>
      <c r="AI37" s="317">
        <v>81</v>
      </c>
      <c r="AJ37" s="14"/>
      <c r="AL37" s="14"/>
      <c r="AM37" s="14"/>
      <c r="AN37" s="14"/>
      <c r="AO37" s="14"/>
      <c r="AP37" s="14"/>
      <c r="AQ37" s="312" t="s">
        <v>1388</v>
      </c>
      <c r="AR37" s="313">
        <v>143</v>
      </c>
      <c r="AS37" s="313">
        <v>159</v>
      </c>
      <c r="AT37" s="313">
        <v>114</v>
      </c>
      <c r="AU37" s="314">
        <v>130</v>
      </c>
      <c r="AV37" s="14"/>
      <c r="AX37" s="14"/>
      <c r="AY37" s="14"/>
      <c r="AZ37" s="14"/>
      <c r="BA37" s="14"/>
      <c r="BB37" s="14"/>
      <c r="BD37" s="14"/>
      <c r="BE37" s="14"/>
      <c r="BF37" s="14"/>
      <c r="BG37" s="14"/>
      <c r="BH37" s="14"/>
      <c r="BJ37" s="14"/>
      <c r="BK37" s="14"/>
      <c r="BL37" s="14"/>
      <c r="BM37" s="14"/>
      <c r="BN37" s="14"/>
      <c r="BP37" s="14"/>
      <c r="BQ37" s="14"/>
      <c r="BR37" s="14"/>
      <c r="BS37" s="14"/>
      <c r="BT37" s="14"/>
      <c r="BV37" s="14"/>
      <c r="BW37" s="14"/>
      <c r="BX37" s="14"/>
      <c r="BY37" s="14"/>
      <c r="BZ37" s="14"/>
      <c r="CA37" s="315" t="s">
        <v>1681</v>
      </c>
      <c r="CB37" s="316">
        <v>67</v>
      </c>
      <c r="CC37" s="316">
        <v>80</v>
      </c>
      <c r="CD37" s="316">
        <v>42</v>
      </c>
      <c r="CE37" s="317">
        <v>55</v>
      </c>
      <c r="CF37" s="14"/>
      <c r="CH37" s="14"/>
      <c r="CI37" s="14"/>
      <c r="CJ37" s="14"/>
      <c r="CK37" s="14"/>
      <c r="CL37" s="14"/>
      <c r="CN37" s="14"/>
      <c r="CO37" s="14"/>
      <c r="CP37" s="14"/>
      <c r="CQ37" s="14"/>
      <c r="CR37" s="14"/>
      <c r="CT37" s="14"/>
      <c r="CU37" s="14"/>
      <c r="CV37" s="14"/>
      <c r="CW37" s="14"/>
    </row>
    <row r="38" spans="1:101">
      <c r="A38" s="315" t="s">
        <v>653</v>
      </c>
      <c r="B38" s="316">
        <v>152</v>
      </c>
      <c r="C38" s="316">
        <v>174</v>
      </c>
      <c r="D38" s="316">
        <v>116</v>
      </c>
      <c r="E38" s="317">
        <v>137</v>
      </c>
      <c r="F38" s="14"/>
      <c r="G38" s="315" t="s">
        <v>710</v>
      </c>
      <c r="H38" s="316">
        <v>141</v>
      </c>
      <c r="I38" s="316">
        <v>171</v>
      </c>
      <c r="J38" s="316">
        <v>88</v>
      </c>
      <c r="K38" s="317">
        <v>117</v>
      </c>
      <c r="L38" s="14"/>
      <c r="M38" s="315" t="s">
        <v>860</v>
      </c>
      <c r="N38" s="316">
        <v>23</v>
      </c>
      <c r="O38" s="316">
        <v>27</v>
      </c>
      <c r="P38" s="316">
        <v>15</v>
      </c>
      <c r="Q38" s="317">
        <v>20</v>
      </c>
      <c r="R38" s="14"/>
      <c r="T38" s="14"/>
      <c r="U38" s="14"/>
      <c r="V38" s="14"/>
      <c r="W38" s="14"/>
      <c r="X38" s="14"/>
      <c r="Z38" s="14"/>
      <c r="AA38" s="14"/>
      <c r="AB38" s="14"/>
      <c r="AC38" s="14"/>
      <c r="AD38" s="14"/>
      <c r="AE38" s="315" t="s">
        <v>1021</v>
      </c>
      <c r="AF38" s="316">
        <v>87</v>
      </c>
      <c r="AG38" s="316">
        <v>104</v>
      </c>
      <c r="AH38" s="316">
        <v>55</v>
      </c>
      <c r="AI38" s="317">
        <v>72</v>
      </c>
      <c r="AJ38" s="14"/>
      <c r="AL38" s="14"/>
      <c r="AM38" s="14"/>
      <c r="AN38" s="14"/>
      <c r="AO38" s="14"/>
      <c r="AP38" s="14"/>
      <c r="AQ38" s="306" t="s">
        <v>1389</v>
      </c>
      <c r="AR38" s="307">
        <v>130</v>
      </c>
      <c r="AS38" s="307">
        <v>145</v>
      </c>
      <c r="AT38" s="307">
        <v>104</v>
      </c>
      <c r="AU38" s="308">
        <v>119</v>
      </c>
      <c r="AV38" s="14"/>
      <c r="AX38" s="14"/>
      <c r="AY38" s="14"/>
      <c r="AZ38" s="14"/>
      <c r="BA38" s="14"/>
      <c r="BB38" s="14"/>
      <c r="BD38" s="14"/>
      <c r="BE38" s="14"/>
      <c r="BF38" s="14"/>
      <c r="BG38" s="14"/>
      <c r="BH38" s="14"/>
      <c r="BJ38" s="14"/>
      <c r="BK38" s="14"/>
      <c r="BL38" s="14"/>
      <c r="BM38" s="14"/>
      <c r="BN38" s="14"/>
      <c r="BP38" s="14"/>
      <c r="BQ38" s="14"/>
      <c r="BR38" s="14"/>
      <c r="BS38" s="14"/>
      <c r="BT38" s="14"/>
      <c r="BV38" s="14"/>
      <c r="BW38" s="14"/>
      <c r="BX38" s="14"/>
      <c r="BY38" s="14"/>
      <c r="BZ38" s="14"/>
      <c r="CA38" s="315" t="s">
        <v>1682</v>
      </c>
      <c r="CB38" s="316">
        <v>55</v>
      </c>
      <c r="CC38" s="316">
        <v>67</v>
      </c>
      <c r="CD38" s="316">
        <v>35</v>
      </c>
      <c r="CE38" s="317">
        <v>46</v>
      </c>
      <c r="CF38" s="14"/>
      <c r="CH38" s="14"/>
      <c r="CI38" s="14"/>
      <c r="CJ38" s="14"/>
      <c r="CK38" s="14"/>
      <c r="CL38" s="14"/>
      <c r="CN38" s="14"/>
      <c r="CO38" s="14"/>
      <c r="CP38" s="14"/>
      <c r="CQ38" s="14"/>
      <c r="CR38" s="14"/>
      <c r="CT38" s="14"/>
      <c r="CU38" s="14"/>
      <c r="CV38" s="14"/>
      <c r="CW38" s="14"/>
    </row>
    <row r="39" spans="1:101" ht="12" thickBot="1">
      <c r="A39" s="312" t="s">
        <v>654</v>
      </c>
      <c r="B39" s="313">
        <v>135</v>
      </c>
      <c r="C39" s="313">
        <v>154</v>
      </c>
      <c r="D39" s="313">
        <v>103</v>
      </c>
      <c r="E39" s="314">
        <v>122</v>
      </c>
      <c r="F39" s="14"/>
      <c r="G39" s="315" t="s">
        <v>711</v>
      </c>
      <c r="H39" s="316">
        <v>105</v>
      </c>
      <c r="I39" s="316">
        <v>127</v>
      </c>
      <c r="J39" s="316">
        <v>66</v>
      </c>
      <c r="K39" s="317">
        <v>88</v>
      </c>
      <c r="L39" s="14"/>
      <c r="M39" s="315" t="s">
        <v>861</v>
      </c>
      <c r="N39" s="316">
        <v>21</v>
      </c>
      <c r="O39" s="316">
        <v>25</v>
      </c>
      <c r="P39" s="316">
        <v>14</v>
      </c>
      <c r="Q39" s="317">
        <v>18</v>
      </c>
      <c r="R39" s="14"/>
      <c r="T39" s="14"/>
      <c r="U39" s="14"/>
      <c r="V39" s="14"/>
      <c r="W39" s="14"/>
      <c r="X39" s="14"/>
      <c r="Z39" s="14"/>
      <c r="AA39" s="14"/>
      <c r="AB39" s="14"/>
      <c r="AC39" s="14"/>
      <c r="AD39" s="14"/>
      <c r="AE39" s="315" t="s">
        <v>1023</v>
      </c>
      <c r="AF39" s="316">
        <v>77</v>
      </c>
      <c r="AG39" s="316">
        <v>92</v>
      </c>
      <c r="AH39" s="316">
        <v>49</v>
      </c>
      <c r="AI39" s="317">
        <v>64</v>
      </c>
      <c r="AJ39" s="14"/>
      <c r="AL39" s="14"/>
      <c r="AM39" s="14"/>
      <c r="AN39" s="14"/>
      <c r="AO39" s="14"/>
      <c r="AP39" s="14"/>
      <c r="AQ39" s="315" t="s">
        <v>1390</v>
      </c>
      <c r="AR39" s="316">
        <v>169</v>
      </c>
      <c r="AS39" s="316">
        <v>191</v>
      </c>
      <c r="AT39" s="316">
        <v>128</v>
      </c>
      <c r="AU39" s="317">
        <v>150</v>
      </c>
      <c r="AV39" s="14"/>
      <c r="AX39" s="14"/>
      <c r="AY39" s="14"/>
      <c r="AZ39" s="14"/>
      <c r="BA39" s="14"/>
      <c r="BB39" s="14"/>
      <c r="BD39" s="14"/>
      <c r="BE39" s="14"/>
      <c r="BF39" s="14"/>
      <c r="BG39" s="14"/>
      <c r="BH39" s="14"/>
      <c r="BJ39" s="14"/>
      <c r="BK39" s="14"/>
      <c r="BL39" s="14"/>
      <c r="BM39" s="14"/>
      <c r="BN39" s="14"/>
      <c r="BP39" s="14"/>
      <c r="BQ39" s="14"/>
      <c r="BR39" s="14"/>
      <c r="BS39" s="14"/>
      <c r="BT39" s="14"/>
      <c r="BV39" s="14"/>
      <c r="BW39" s="14"/>
      <c r="BX39" s="14"/>
      <c r="BY39" s="14"/>
      <c r="BZ39" s="14"/>
      <c r="CA39" s="315" t="s">
        <v>1683</v>
      </c>
      <c r="CB39" s="316">
        <v>39</v>
      </c>
      <c r="CC39" s="316">
        <v>47</v>
      </c>
      <c r="CD39" s="316">
        <v>25</v>
      </c>
      <c r="CE39" s="317">
        <v>33</v>
      </c>
      <c r="CF39" s="14"/>
      <c r="CH39" s="14"/>
      <c r="CI39" s="14"/>
      <c r="CJ39" s="14"/>
      <c r="CK39" s="14"/>
      <c r="CL39" s="14"/>
      <c r="CN39" s="14"/>
      <c r="CO39" s="14"/>
      <c r="CP39" s="14"/>
      <c r="CQ39" s="14"/>
      <c r="CR39" s="14"/>
      <c r="CT39" s="14"/>
      <c r="CU39" s="14"/>
      <c r="CV39" s="14"/>
      <c r="CW39" s="14"/>
    </row>
    <row r="40" spans="1:101" ht="12" thickBot="1">
      <c r="A40" s="306" t="s">
        <v>655</v>
      </c>
      <c r="B40" s="307">
        <v>165</v>
      </c>
      <c r="C40" s="307">
        <v>187</v>
      </c>
      <c r="D40" s="307">
        <v>127</v>
      </c>
      <c r="E40" s="308">
        <v>149</v>
      </c>
      <c r="F40" s="14"/>
      <c r="G40" s="312" t="s">
        <v>712</v>
      </c>
      <c r="H40" s="313">
        <v>59</v>
      </c>
      <c r="I40" s="313">
        <v>72</v>
      </c>
      <c r="J40" s="313">
        <v>39</v>
      </c>
      <c r="K40" s="314">
        <v>51</v>
      </c>
      <c r="L40" s="14"/>
      <c r="M40" s="315" t="s">
        <v>862</v>
      </c>
      <c r="N40" s="316">
        <v>19</v>
      </c>
      <c r="O40" s="316">
        <v>23</v>
      </c>
      <c r="P40" s="316">
        <v>13</v>
      </c>
      <c r="Q40" s="317">
        <v>17</v>
      </c>
      <c r="R40" s="14"/>
      <c r="T40" s="14"/>
      <c r="U40" s="14"/>
      <c r="V40" s="14"/>
      <c r="W40" s="14"/>
      <c r="X40" s="14"/>
      <c r="Z40" s="14"/>
      <c r="AA40" s="14"/>
      <c r="AB40" s="14"/>
      <c r="AC40" s="14"/>
      <c r="AD40" s="14"/>
      <c r="AE40" s="315" t="s">
        <v>1025</v>
      </c>
      <c r="AF40" s="316">
        <v>68</v>
      </c>
      <c r="AG40" s="316">
        <v>82</v>
      </c>
      <c r="AH40" s="316">
        <v>44</v>
      </c>
      <c r="AI40" s="317">
        <v>57</v>
      </c>
      <c r="AJ40" s="14"/>
      <c r="AL40" s="14"/>
      <c r="AM40" s="14"/>
      <c r="AN40" s="14"/>
      <c r="AO40" s="14"/>
      <c r="AP40" s="14"/>
      <c r="AQ40" s="315" t="s">
        <v>1391</v>
      </c>
      <c r="AR40" s="316">
        <v>153</v>
      </c>
      <c r="AS40" s="316">
        <v>173</v>
      </c>
      <c r="AT40" s="316">
        <v>117</v>
      </c>
      <c r="AU40" s="317">
        <v>137</v>
      </c>
      <c r="AV40" s="14"/>
      <c r="AX40" s="14"/>
      <c r="AY40" s="14"/>
      <c r="AZ40" s="14"/>
      <c r="BA40" s="14"/>
      <c r="BB40" s="14"/>
      <c r="BD40" s="14"/>
      <c r="BE40" s="14"/>
      <c r="BF40" s="14"/>
      <c r="BG40" s="14"/>
      <c r="BH40" s="14"/>
      <c r="BJ40" s="14"/>
      <c r="BK40" s="14"/>
      <c r="BL40" s="14"/>
      <c r="BM40" s="14"/>
      <c r="BN40" s="14"/>
      <c r="BP40" s="14"/>
      <c r="BQ40" s="14"/>
      <c r="BR40" s="14"/>
      <c r="BS40" s="14"/>
      <c r="BT40" s="14"/>
      <c r="BV40" s="14"/>
      <c r="BW40" s="14"/>
      <c r="BX40" s="14"/>
      <c r="BY40" s="14"/>
      <c r="BZ40" s="14"/>
      <c r="CA40" s="306" t="s">
        <v>1684</v>
      </c>
      <c r="CB40" s="307">
        <v>156</v>
      </c>
      <c r="CC40" s="307">
        <v>176</v>
      </c>
      <c r="CD40" s="307">
        <v>120</v>
      </c>
      <c r="CE40" s="308">
        <v>140</v>
      </c>
      <c r="CF40" s="14"/>
      <c r="CH40" s="14"/>
      <c r="CI40" s="14"/>
      <c r="CJ40" s="14"/>
      <c r="CK40" s="14"/>
      <c r="CL40" s="14"/>
      <c r="CN40" s="14"/>
      <c r="CO40" s="14"/>
      <c r="CP40" s="14"/>
      <c r="CQ40" s="14"/>
      <c r="CR40" s="14"/>
      <c r="CT40" s="14"/>
      <c r="CU40" s="14"/>
      <c r="CV40" s="14"/>
      <c r="CW40" s="14"/>
    </row>
    <row r="41" spans="1:101" ht="12" thickBot="1">
      <c r="A41" s="315" t="s">
        <v>657</v>
      </c>
      <c r="B41" s="316">
        <v>143</v>
      </c>
      <c r="C41" s="316">
        <v>162</v>
      </c>
      <c r="D41" s="316">
        <v>110</v>
      </c>
      <c r="E41" s="317">
        <v>130</v>
      </c>
      <c r="F41" s="14"/>
      <c r="G41" s="306" t="s">
        <v>713</v>
      </c>
      <c r="H41" s="307">
        <v>168</v>
      </c>
      <c r="I41" s="307">
        <v>204</v>
      </c>
      <c r="J41" s="307">
        <v>104</v>
      </c>
      <c r="K41" s="308">
        <v>139</v>
      </c>
      <c r="L41" s="14"/>
      <c r="M41" s="315" t="s">
        <v>863</v>
      </c>
      <c r="N41" s="316">
        <v>18</v>
      </c>
      <c r="O41" s="316">
        <v>22</v>
      </c>
      <c r="P41" s="316">
        <v>12</v>
      </c>
      <c r="Q41" s="317">
        <v>16</v>
      </c>
      <c r="R41" s="14"/>
      <c r="T41" s="14"/>
      <c r="U41" s="14"/>
      <c r="V41" s="14"/>
      <c r="W41" s="14"/>
      <c r="X41" s="14"/>
      <c r="Z41" s="14"/>
      <c r="AA41" s="14"/>
      <c r="AB41" s="14"/>
      <c r="AC41" s="14"/>
      <c r="AD41" s="14"/>
      <c r="AE41" s="312" t="s">
        <v>1027</v>
      </c>
      <c r="AF41" s="313">
        <v>62</v>
      </c>
      <c r="AG41" s="313">
        <v>74</v>
      </c>
      <c r="AH41" s="313">
        <v>40</v>
      </c>
      <c r="AI41" s="314">
        <v>52</v>
      </c>
      <c r="AJ41" s="14"/>
      <c r="AL41" s="14"/>
      <c r="AM41" s="14"/>
      <c r="AN41" s="14"/>
      <c r="AO41" s="14"/>
      <c r="AP41" s="14"/>
      <c r="AQ41" s="315" t="s">
        <v>1392</v>
      </c>
      <c r="AR41" s="316">
        <v>139</v>
      </c>
      <c r="AS41" s="316">
        <v>158</v>
      </c>
      <c r="AT41" s="316">
        <v>106</v>
      </c>
      <c r="AU41" s="317">
        <v>125</v>
      </c>
      <c r="AV41" s="14"/>
      <c r="AX41" s="14"/>
      <c r="AY41" s="14"/>
      <c r="AZ41" s="14"/>
      <c r="BA41" s="14"/>
      <c r="BB41" s="14"/>
      <c r="BD41" s="14"/>
      <c r="BE41" s="14"/>
      <c r="BF41" s="14"/>
      <c r="BG41" s="14"/>
      <c r="BH41" s="14"/>
      <c r="BJ41" s="14"/>
      <c r="BK41" s="14"/>
      <c r="BL41" s="14"/>
      <c r="BM41" s="14"/>
      <c r="BN41" s="14"/>
      <c r="BP41" s="14"/>
      <c r="BQ41" s="14"/>
      <c r="BR41" s="14"/>
      <c r="BS41" s="14"/>
      <c r="BT41" s="14"/>
      <c r="BV41" s="14"/>
      <c r="BW41" s="14"/>
      <c r="BX41" s="14"/>
      <c r="BY41" s="14"/>
      <c r="BZ41" s="14"/>
      <c r="CA41" s="315" t="s">
        <v>1685</v>
      </c>
      <c r="CB41" s="316">
        <v>139</v>
      </c>
      <c r="CC41" s="316">
        <v>157</v>
      </c>
      <c r="CD41" s="316">
        <v>107</v>
      </c>
      <c r="CE41" s="317">
        <v>125</v>
      </c>
      <c r="CF41" s="14"/>
      <c r="CH41" s="14"/>
      <c r="CI41" s="14"/>
      <c r="CJ41" s="14"/>
      <c r="CK41" s="14"/>
      <c r="CL41" s="14"/>
      <c r="CN41" s="14"/>
      <c r="CO41" s="14"/>
      <c r="CP41" s="14"/>
      <c r="CQ41" s="14"/>
      <c r="CR41" s="14"/>
      <c r="CT41" s="14"/>
      <c r="CU41" s="14"/>
      <c r="CV41" s="14"/>
      <c r="CW41" s="14"/>
    </row>
    <row r="42" spans="1:101" ht="12" thickBot="1">
      <c r="A42" s="312" t="s">
        <v>658</v>
      </c>
      <c r="B42" s="313">
        <v>122</v>
      </c>
      <c r="C42" s="313">
        <v>138</v>
      </c>
      <c r="D42" s="313">
        <v>94</v>
      </c>
      <c r="E42" s="314">
        <v>110</v>
      </c>
      <c r="F42" s="14"/>
      <c r="G42" s="315" t="s">
        <v>714</v>
      </c>
      <c r="H42" s="316">
        <v>136</v>
      </c>
      <c r="I42" s="316">
        <v>165</v>
      </c>
      <c r="J42" s="316">
        <v>84</v>
      </c>
      <c r="K42" s="317">
        <v>113</v>
      </c>
      <c r="L42" s="14"/>
      <c r="M42" s="312" t="s">
        <v>864</v>
      </c>
      <c r="N42" s="313">
        <v>17</v>
      </c>
      <c r="O42" s="313">
        <v>20</v>
      </c>
      <c r="P42" s="313">
        <v>11</v>
      </c>
      <c r="Q42" s="314">
        <v>15</v>
      </c>
      <c r="R42" s="14"/>
      <c r="T42" s="14"/>
      <c r="U42" s="14"/>
      <c r="V42" s="14"/>
      <c r="W42" s="14"/>
      <c r="X42" s="14"/>
      <c r="Z42" s="14"/>
      <c r="AA42" s="14"/>
      <c r="AB42" s="14"/>
      <c r="AC42" s="14"/>
      <c r="AD42" s="14"/>
      <c r="AE42" s="306" t="s">
        <v>1029</v>
      </c>
      <c r="AF42" s="307">
        <v>329</v>
      </c>
      <c r="AG42" s="307">
        <v>367</v>
      </c>
      <c r="AH42" s="307">
        <v>263</v>
      </c>
      <c r="AI42" s="308">
        <v>301</v>
      </c>
      <c r="AJ42" s="14"/>
      <c r="AL42" s="14"/>
      <c r="AM42" s="14"/>
      <c r="AN42" s="14"/>
      <c r="AO42" s="14"/>
      <c r="AP42" s="14"/>
      <c r="AQ42" s="315" t="s">
        <v>1393</v>
      </c>
      <c r="AR42" s="316">
        <v>129</v>
      </c>
      <c r="AS42" s="316">
        <v>146</v>
      </c>
      <c r="AT42" s="316">
        <v>98</v>
      </c>
      <c r="AU42" s="317">
        <v>115</v>
      </c>
      <c r="AV42" s="14"/>
      <c r="AX42" s="14"/>
      <c r="AY42" s="14"/>
      <c r="AZ42" s="14"/>
      <c r="BA42" s="14"/>
      <c r="BB42" s="14"/>
      <c r="BD42" s="14"/>
      <c r="BE42" s="14"/>
      <c r="BF42" s="14"/>
      <c r="BG42" s="14"/>
      <c r="BH42" s="14"/>
      <c r="BJ42" s="14"/>
      <c r="BK42" s="14"/>
      <c r="BL42" s="14"/>
      <c r="BM42" s="14"/>
      <c r="BN42" s="14"/>
      <c r="BP42" s="14"/>
      <c r="BQ42" s="14"/>
      <c r="BR42" s="14"/>
      <c r="BS42" s="14"/>
      <c r="BT42" s="14"/>
      <c r="BV42" s="14"/>
      <c r="BW42" s="14"/>
      <c r="BX42" s="14"/>
      <c r="BY42" s="14"/>
      <c r="BZ42" s="14"/>
      <c r="CA42" s="312" t="s">
        <v>1686</v>
      </c>
      <c r="CB42" s="313">
        <v>121</v>
      </c>
      <c r="CC42" s="313">
        <v>137</v>
      </c>
      <c r="CD42" s="313">
        <v>94</v>
      </c>
      <c r="CE42" s="314">
        <v>109</v>
      </c>
      <c r="CF42" s="14"/>
      <c r="CH42" s="14"/>
      <c r="CI42" s="14"/>
      <c r="CJ42" s="14"/>
      <c r="CK42" s="14"/>
      <c r="CL42" s="14"/>
      <c r="CN42" s="14"/>
      <c r="CO42" s="14"/>
      <c r="CP42" s="14"/>
      <c r="CQ42" s="14"/>
      <c r="CR42" s="14"/>
      <c r="CT42" s="14"/>
      <c r="CU42" s="14"/>
      <c r="CV42" s="14"/>
      <c r="CW42" s="14"/>
    </row>
    <row r="43" spans="1:101">
      <c r="A43" s="306" t="s">
        <v>659</v>
      </c>
      <c r="B43" s="307">
        <v>152</v>
      </c>
      <c r="C43" s="307">
        <v>172</v>
      </c>
      <c r="D43" s="307">
        <v>118</v>
      </c>
      <c r="E43" s="308">
        <v>138</v>
      </c>
      <c r="F43" s="14"/>
      <c r="G43" s="315" t="s">
        <v>715</v>
      </c>
      <c r="H43" s="316">
        <v>102</v>
      </c>
      <c r="I43" s="316">
        <v>123</v>
      </c>
      <c r="J43" s="316">
        <v>64</v>
      </c>
      <c r="K43" s="317">
        <v>85</v>
      </c>
      <c r="L43" s="14"/>
      <c r="N43" s="14"/>
      <c r="O43" s="14"/>
      <c r="P43" s="14"/>
      <c r="Q43" s="14"/>
      <c r="R43" s="14"/>
      <c r="T43" s="14"/>
      <c r="U43" s="14"/>
      <c r="V43" s="14"/>
      <c r="W43" s="14"/>
      <c r="X43" s="14"/>
      <c r="Z43" s="14"/>
      <c r="AA43" s="14"/>
      <c r="AB43" s="14"/>
      <c r="AC43" s="14"/>
      <c r="AD43" s="14"/>
      <c r="AE43" s="315" t="s">
        <v>1031</v>
      </c>
      <c r="AF43" s="316">
        <v>292</v>
      </c>
      <c r="AG43" s="316">
        <v>326</v>
      </c>
      <c r="AH43" s="316">
        <v>234</v>
      </c>
      <c r="AI43" s="317">
        <v>267</v>
      </c>
      <c r="AJ43" s="14"/>
      <c r="AL43" s="14"/>
      <c r="AM43" s="14"/>
      <c r="AN43" s="14"/>
      <c r="AO43" s="14"/>
      <c r="AP43" s="14"/>
      <c r="AQ43" s="315" t="s">
        <v>1394</v>
      </c>
      <c r="AR43" s="316">
        <v>118</v>
      </c>
      <c r="AS43" s="316">
        <v>133</v>
      </c>
      <c r="AT43" s="316">
        <v>90</v>
      </c>
      <c r="AU43" s="317">
        <v>105</v>
      </c>
      <c r="AV43" s="14"/>
      <c r="AX43" s="14"/>
      <c r="AY43" s="14"/>
      <c r="AZ43" s="14"/>
      <c r="BA43" s="14"/>
      <c r="BB43" s="14"/>
      <c r="BD43" s="14"/>
      <c r="BE43" s="14"/>
      <c r="BF43" s="14"/>
      <c r="BG43" s="14"/>
      <c r="BH43" s="14"/>
      <c r="BJ43" s="14"/>
      <c r="BK43" s="14"/>
      <c r="BL43" s="14"/>
      <c r="BM43" s="14"/>
      <c r="BN43" s="14"/>
      <c r="BP43" s="14"/>
      <c r="BQ43" s="14"/>
      <c r="BR43" s="14"/>
      <c r="BS43" s="14"/>
      <c r="BT43" s="14"/>
      <c r="BV43" s="14"/>
      <c r="BW43" s="14"/>
      <c r="BX43" s="14"/>
      <c r="BY43" s="14"/>
      <c r="BZ43" s="14"/>
      <c r="CA43" s="306" t="s">
        <v>1687</v>
      </c>
      <c r="CB43" s="307">
        <v>129</v>
      </c>
      <c r="CC43" s="307">
        <v>150</v>
      </c>
      <c r="CD43" s="307">
        <v>90</v>
      </c>
      <c r="CE43" s="308">
        <v>111</v>
      </c>
      <c r="CF43" s="14"/>
      <c r="CH43" s="14"/>
      <c r="CI43" s="14"/>
      <c r="CJ43" s="14"/>
      <c r="CK43" s="14"/>
      <c r="CL43" s="14"/>
      <c r="CN43" s="14"/>
      <c r="CO43" s="14"/>
      <c r="CP43" s="14"/>
      <c r="CQ43" s="14"/>
      <c r="CR43" s="14"/>
      <c r="CT43" s="14"/>
      <c r="CU43" s="14"/>
      <c r="CV43" s="14"/>
      <c r="CW43" s="14"/>
    </row>
    <row r="44" spans="1:101" ht="12" thickBot="1">
      <c r="A44" s="315" t="s">
        <v>660</v>
      </c>
      <c r="B44" s="316">
        <v>134</v>
      </c>
      <c r="C44" s="316">
        <v>151</v>
      </c>
      <c r="D44" s="316">
        <v>104</v>
      </c>
      <c r="E44" s="317">
        <v>121</v>
      </c>
      <c r="F44" s="14"/>
      <c r="G44" s="312" t="s">
        <v>716</v>
      </c>
      <c r="H44" s="313">
        <v>59</v>
      </c>
      <c r="I44" s="313">
        <v>71</v>
      </c>
      <c r="J44" s="313">
        <v>38</v>
      </c>
      <c r="K44" s="314">
        <v>50</v>
      </c>
      <c r="L44" s="14"/>
      <c r="N44" s="14"/>
      <c r="O44" s="14"/>
      <c r="P44" s="14"/>
      <c r="Q44" s="14"/>
      <c r="R44" s="14"/>
      <c r="T44" s="14"/>
      <c r="U44" s="14"/>
      <c r="V44" s="14"/>
      <c r="W44" s="14"/>
      <c r="X44" s="14"/>
      <c r="Z44" s="14"/>
      <c r="AA44" s="14"/>
      <c r="AB44" s="14"/>
      <c r="AC44" s="14"/>
      <c r="AD44" s="14"/>
      <c r="AE44" s="315" t="s">
        <v>1033</v>
      </c>
      <c r="AF44" s="316">
        <v>249</v>
      </c>
      <c r="AG44" s="316">
        <v>277</v>
      </c>
      <c r="AH44" s="316">
        <v>200</v>
      </c>
      <c r="AI44" s="317">
        <v>228</v>
      </c>
      <c r="AJ44" s="14"/>
      <c r="AL44" s="14"/>
      <c r="AM44" s="14"/>
      <c r="AN44" s="14"/>
      <c r="AO44" s="14"/>
      <c r="AP44" s="14"/>
      <c r="AQ44" s="315" t="s">
        <v>1395</v>
      </c>
      <c r="AR44" s="316">
        <v>157</v>
      </c>
      <c r="AS44" s="316">
        <v>177</v>
      </c>
      <c r="AT44" s="316">
        <v>121</v>
      </c>
      <c r="AU44" s="317">
        <v>141</v>
      </c>
      <c r="AV44" s="14"/>
      <c r="AX44" s="14"/>
      <c r="AY44" s="14"/>
      <c r="AZ44" s="14"/>
      <c r="BA44" s="14"/>
      <c r="BB44" s="14"/>
      <c r="BD44" s="14"/>
      <c r="BE44" s="14"/>
      <c r="BF44" s="14"/>
      <c r="BG44" s="14"/>
      <c r="BH44" s="14"/>
      <c r="BJ44" s="14"/>
      <c r="BK44" s="14"/>
      <c r="BL44" s="14"/>
      <c r="BM44" s="14"/>
      <c r="BN44" s="14"/>
      <c r="BP44" s="14"/>
      <c r="BQ44" s="14"/>
      <c r="BR44" s="14"/>
      <c r="BS44" s="14"/>
      <c r="BT44" s="14"/>
      <c r="BV44" s="14"/>
      <c r="BW44" s="14"/>
      <c r="BX44" s="14"/>
      <c r="BY44" s="14"/>
      <c r="BZ44" s="14"/>
      <c r="CA44" s="315" t="s">
        <v>1688</v>
      </c>
      <c r="CB44" s="316">
        <v>115</v>
      </c>
      <c r="CC44" s="316">
        <v>134</v>
      </c>
      <c r="CD44" s="316">
        <v>80</v>
      </c>
      <c r="CE44" s="317">
        <v>99</v>
      </c>
      <c r="CF44" s="14"/>
      <c r="CH44" s="14"/>
      <c r="CI44" s="14"/>
      <c r="CJ44" s="14"/>
      <c r="CK44" s="14"/>
      <c r="CL44" s="14"/>
      <c r="CN44" s="14"/>
      <c r="CO44" s="14"/>
      <c r="CP44" s="14"/>
      <c r="CQ44" s="14"/>
      <c r="CR44" s="14"/>
      <c r="CT44" s="14"/>
      <c r="CU44" s="14"/>
      <c r="CV44" s="14"/>
      <c r="CW44" s="14"/>
    </row>
    <row r="45" spans="1:101" ht="12" thickBot="1">
      <c r="A45" s="312" t="s">
        <v>662</v>
      </c>
      <c r="B45" s="313">
        <v>114</v>
      </c>
      <c r="C45" s="313">
        <v>129</v>
      </c>
      <c r="D45" s="313">
        <v>89</v>
      </c>
      <c r="E45" s="314">
        <v>104</v>
      </c>
      <c r="F45" s="14"/>
      <c r="G45" s="306" t="s">
        <v>717</v>
      </c>
      <c r="H45" s="307">
        <v>158</v>
      </c>
      <c r="I45" s="307">
        <v>192</v>
      </c>
      <c r="J45" s="307">
        <v>97</v>
      </c>
      <c r="K45" s="308">
        <v>131</v>
      </c>
      <c r="L45" s="14"/>
      <c r="N45" s="14"/>
      <c r="O45" s="14"/>
      <c r="P45" s="14"/>
      <c r="Q45" s="14"/>
      <c r="R45" s="14"/>
      <c r="T45" s="14"/>
      <c r="U45" s="14"/>
      <c r="V45" s="14"/>
      <c r="W45" s="14"/>
      <c r="X45" s="14"/>
      <c r="Z45" s="14"/>
      <c r="AA45" s="14"/>
      <c r="AB45" s="14"/>
      <c r="AC45" s="14"/>
      <c r="AD45" s="14"/>
      <c r="AE45" s="315" t="s">
        <v>1035</v>
      </c>
      <c r="AF45" s="316">
        <v>216</v>
      </c>
      <c r="AG45" s="316">
        <v>241</v>
      </c>
      <c r="AH45" s="316">
        <v>174</v>
      </c>
      <c r="AI45" s="317">
        <v>198</v>
      </c>
      <c r="AJ45" s="14"/>
      <c r="AL45" s="14"/>
      <c r="AM45" s="14"/>
      <c r="AN45" s="14"/>
      <c r="AO45" s="14"/>
      <c r="AP45" s="14"/>
      <c r="AQ45" s="315" t="s">
        <v>1396</v>
      </c>
      <c r="AR45" s="316">
        <v>141</v>
      </c>
      <c r="AS45" s="316">
        <v>159</v>
      </c>
      <c r="AT45" s="316">
        <v>109</v>
      </c>
      <c r="AU45" s="317">
        <v>126</v>
      </c>
      <c r="AV45" s="14"/>
      <c r="AX45" s="14"/>
      <c r="AY45" s="14"/>
      <c r="AZ45" s="14"/>
      <c r="BA45" s="14"/>
      <c r="BB45" s="14"/>
      <c r="BD45" s="14"/>
      <c r="BE45" s="14"/>
      <c r="BF45" s="14"/>
      <c r="BG45" s="14"/>
      <c r="BH45" s="14"/>
      <c r="BJ45" s="14"/>
      <c r="BK45" s="14"/>
      <c r="BL45" s="14"/>
      <c r="BM45" s="14"/>
      <c r="BN45" s="14"/>
      <c r="BP45" s="14"/>
      <c r="BQ45" s="14"/>
      <c r="BR45" s="14"/>
      <c r="BS45" s="14"/>
      <c r="BT45" s="14"/>
      <c r="BV45" s="14"/>
      <c r="BW45" s="14"/>
      <c r="BX45" s="14"/>
      <c r="BY45" s="14"/>
      <c r="BZ45" s="14"/>
      <c r="CA45" s="306" t="s">
        <v>1689</v>
      </c>
      <c r="CB45" s="307">
        <v>119</v>
      </c>
      <c r="CC45" s="307">
        <v>137</v>
      </c>
      <c r="CD45" s="307">
        <v>87</v>
      </c>
      <c r="CE45" s="308">
        <v>104</v>
      </c>
      <c r="CF45" s="14"/>
      <c r="CH45" s="14"/>
      <c r="CI45" s="14"/>
      <c r="CJ45" s="14"/>
      <c r="CK45" s="14"/>
      <c r="CL45" s="14"/>
      <c r="CN45" s="14"/>
      <c r="CO45" s="14"/>
      <c r="CP45" s="14"/>
      <c r="CQ45" s="14"/>
      <c r="CR45" s="14"/>
      <c r="CT45" s="14"/>
      <c r="CU45" s="14"/>
      <c r="CV45" s="14"/>
      <c r="CW45" s="14"/>
    </row>
    <row r="46" spans="1:101">
      <c r="A46" s="306" t="s">
        <v>663</v>
      </c>
      <c r="B46" s="307">
        <v>142</v>
      </c>
      <c r="C46" s="307">
        <v>160</v>
      </c>
      <c r="D46" s="307">
        <v>111</v>
      </c>
      <c r="E46" s="308">
        <v>129</v>
      </c>
      <c r="F46" s="14"/>
      <c r="G46" s="315" t="s">
        <v>718</v>
      </c>
      <c r="H46" s="316">
        <v>126</v>
      </c>
      <c r="I46" s="316">
        <v>153</v>
      </c>
      <c r="J46" s="316">
        <v>78</v>
      </c>
      <c r="K46" s="317">
        <v>105</v>
      </c>
      <c r="L46" s="14"/>
      <c r="N46" s="14"/>
      <c r="O46" s="14"/>
      <c r="P46" s="14"/>
      <c r="Q46" s="14"/>
      <c r="R46" s="14"/>
      <c r="T46" s="14"/>
      <c r="U46" s="14"/>
      <c r="V46" s="14"/>
      <c r="W46" s="14"/>
      <c r="X46" s="14"/>
      <c r="Z46" s="14"/>
      <c r="AA46" s="14"/>
      <c r="AB46" s="14"/>
      <c r="AC46" s="14"/>
      <c r="AD46" s="14"/>
      <c r="AE46" s="315" t="s">
        <v>1039</v>
      </c>
      <c r="AF46" s="316">
        <v>220</v>
      </c>
      <c r="AG46" s="316">
        <v>253</v>
      </c>
      <c r="AH46" s="316">
        <v>158</v>
      </c>
      <c r="AI46" s="317">
        <v>192</v>
      </c>
      <c r="AJ46" s="14"/>
      <c r="AL46" s="14"/>
      <c r="AM46" s="14"/>
      <c r="AN46" s="14"/>
      <c r="AO46" s="14"/>
      <c r="AP46" s="14"/>
      <c r="AQ46" s="315" t="s">
        <v>1397</v>
      </c>
      <c r="AR46" s="316">
        <v>129</v>
      </c>
      <c r="AS46" s="316">
        <v>145</v>
      </c>
      <c r="AT46" s="316">
        <v>100</v>
      </c>
      <c r="AU46" s="317">
        <v>116</v>
      </c>
      <c r="AV46" s="14"/>
      <c r="AX46" s="14"/>
      <c r="AY46" s="14"/>
      <c r="AZ46" s="14"/>
      <c r="BA46" s="14"/>
      <c r="BB46" s="14"/>
      <c r="BD46" s="14"/>
      <c r="BE46" s="14"/>
      <c r="BF46" s="14"/>
      <c r="BG46" s="14"/>
      <c r="BH46" s="14"/>
      <c r="BJ46" s="14"/>
      <c r="BK46" s="14"/>
      <c r="BL46" s="14"/>
      <c r="BM46" s="14"/>
      <c r="BN46" s="14"/>
      <c r="BP46" s="14"/>
      <c r="BQ46" s="14"/>
      <c r="BR46" s="14"/>
      <c r="BS46" s="14"/>
      <c r="BT46" s="14"/>
      <c r="BV46" s="14"/>
      <c r="BW46" s="14"/>
      <c r="BX46" s="14"/>
      <c r="BY46" s="14"/>
      <c r="BZ46" s="14"/>
      <c r="CA46" s="315" t="s">
        <v>1690</v>
      </c>
      <c r="CB46" s="316">
        <v>108</v>
      </c>
      <c r="CC46" s="316">
        <v>124</v>
      </c>
      <c r="CD46" s="316">
        <v>79</v>
      </c>
      <c r="CE46" s="317">
        <v>95</v>
      </c>
      <c r="CF46" s="14"/>
      <c r="CH46" s="14"/>
      <c r="CI46" s="14"/>
      <c r="CJ46" s="14"/>
      <c r="CK46" s="14"/>
      <c r="CL46" s="14"/>
      <c r="CN46" s="14"/>
      <c r="CO46" s="14"/>
      <c r="CP46" s="14"/>
      <c r="CQ46" s="14"/>
      <c r="CR46" s="14"/>
      <c r="CT46" s="14"/>
      <c r="CU46" s="14"/>
      <c r="CV46" s="14"/>
      <c r="CW46" s="14"/>
    </row>
    <row r="47" spans="1:101" ht="12" thickBot="1">
      <c r="A47" s="315" t="s">
        <v>664</v>
      </c>
      <c r="B47" s="316">
        <v>124</v>
      </c>
      <c r="C47" s="316">
        <v>140</v>
      </c>
      <c r="D47" s="316">
        <v>97</v>
      </c>
      <c r="E47" s="317">
        <v>113</v>
      </c>
      <c r="F47" s="14"/>
      <c r="G47" s="315" t="s">
        <v>719</v>
      </c>
      <c r="H47" s="316">
        <v>96</v>
      </c>
      <c r="I47" s="316">
        <v>116</v>
      </c>
      <c r="J47" s="316">
        <v>60</v>
      </c>
      <c r="K47" s="317">
        <v>80</v>
      </c>
      <c r="L47" s="14"/>
      <c r="N47" s="14"/>
      <c r="O47" s="14"/>
      <c r="P47" s="14"/>
      <c r="Q47" s="14"/>
      <c r="R47" s="14"/>
      <c r="T47" s="14"/>
      <c r="U47" s="14"/>
      <c r="V47" s="14"/>
      <c r="W47" s="14"/>
      <c r="X47" s="14"/>
      <c r="Z47" s="14"/>
      <c r="AA47" s="14"/>
      <c r="AB47" s="14"/>
      <c r="AC47" s="14"/>
      <c r="AD47" s="14"/>
      <c r="AE47" s="315" t="s">
        <v>1041</v>
      </c>
      <c r="AF47" s="316">
        <v>193</v>
      </c>
      <c r="AG47" s="316">
        <v>222</v>
      </c>
      <c r="AH47" s="316">
        <v>139</v>
      </c>
      <c r="AI47" s="317">
        <v>168</v>
      </c>
      <c r="AJ47" s="14"/>
      <c r="AL47" s="14"/>
      <c r="AM47" s="14"/>
      <c r="AN47" s="14"/>
      <c r="AO47" s="14"/>
      <c r="AP47" s="14"/>
      <c r="AQ47" s="312" t="s">
        <v>1398</v>
      </c>
      <c r="AR47" s="313">
        <v>120</v>
      </c>
      <c r="AS47" s="313">
        <v>135</v>
      </c>
      <c r="AT47" s="313">
        <v>93</v>
      </c>
      <c r="AU47" s="314">
        <v>108</v>
      </c>
      <c r="AV47" s="14"/>
      <c r="AX47" s="14"/>
      <c r="AY47" s="14"/>
      <c r="AZ47" s="14"/>
      <c r="BA47" s="14"/>
      <c r="BB47" s="14"/>
      <c r="BD47" s="14"/>
      <c r="BE47" s="14"/>
      <c r="BF47" s="14"/>
      <c r="BG47" s="14"/>
      <c r="BH47" s="14"/>
      <c r="BJ47" s="14"/>
      <c r="BK47" s="14"/>
      <c r="BL47" s="14"/>
      <c r="BM47" s="14"/>
      <c r="BN47" s="14"/>
      <c r="BP47" s="14"/>
      <c r="BQ47" s="14"/>
      <c r="BR47" s="14"/>
      <c r="BS47" s="14"/>
      <c r="BT47" s="14"/>
      <c r="BV47" s="14"/>
      <c r="BW47" s="14"/>
      <c r="BX47" s="14"/>
      <c r="BY47" s="14"/>
      <c r="BZ47" s="14"/>
      <c r="CA47" s="312" t="s">
        <v>1691</v>
      </c>
      <c r="CB47" s="313">
        <v>94</v>
      </c>
      <c r="CC47" s="313">
        <v>108</v>
      </c>
      <c r="CD47" s="313">
        <v>69</v>
      </c>
      <c r="CE47" s="314">
        <v>83</v>
      </c>
      <c r="CF47" s="14"/>
      <c r="CH47" s="14"/>
      <c r="CI47" s="14"/>
      <c r="CJ47" s="14"/>
      <c r="CK47" s="14"/>
      <c r="CL47" s="14"/>
      <c r="CN47" s="14"/>
      <c r="CO47" s="14"/>
      <c r="CP47" s="14"/>
      <c r="CQ47" s="14"/>
      <c r="CR47" s="14"/>
      <c r="CT47" s="14"/>
      <c r="CU47" s="14"/>
      <c r="CV47" s="14"/>
      <c r="CW47" s="14"/>
    </row>
    <row r="48" spans="1:101" ht="12" thickBot="1">
      <c r="A48" s="312" t="s">
        <v>665</v>
      </c>
      <c r="B48" s="313">
        <v>108</v>
      </c>
      <c r="C48" s="313">
        <v>121</v>
      </c>
      <c r="D48" s="313">
        <v>85</v>
      </c>
      <c r="E48" s="314">
        <v>98</v>
      </c>
      <c r="F48" s="14"/>
      <c r="G48" s="312" t="s">
        <v>720</v>
      </c>
      <c r="H48" s="313">
        <v>50</v>
      </c>
      <c r="I48" s="313">
        <v>60</v>
      </c>
      <c r="J48" s="313">
        <v>33</v>
      </c>
      <c r="K48" s="314">
        <v>43</v>
      </c>
      <c r="L48" s="14"/>
      <c r="N48" s="14"/>
      <c r="O48" s="14"/>
      <c r="P48" s="14"/>
      <c r="Q48" s="14"/>
      <c r="R48" s="14"/>
      <c r="T48" s="14"/>
      <c r="U48" s="14"/>
      <c r="V48" s="14"/>
      <c r="W48" s="14"/>
      <c r="X48" s="14"/>
      <c r="Z48" s="14"/>
      <c r="AA48" s="14"/>
      <c r="AB48" s="14"/>
      <c r="AC48" s="14"/>
      <c r="AD48" s="14"/>
      <c r="AE48" s="315" t="s">
        <v>1043</v>
      </c>
      <c r="AF48" s="316">
        <v>166</v>
      </c>
      <c r="AG48" s="316">
        <v>191</v>
      </c>
      <c r="AH48" s="316">
        <v>120</v>
      </c>
      <c r="AI48" s="317">
        <v>145</v>
      </c>
      <c r="AJ48" s="14"/>
      <c r="AL48" s="14"/>
      <c r="AM48" s="14"/>
      <c r="AN48" s="14"/>
      <c r="AO48" s="14"/>
      <c r="AP48" s="14"/>
      <c r="AQ48" s="306" t="s">
        <v>1399</v>
      </c>
      <c r="AR48" s="307">
        <v>108</v>
      </c>
      <c r="AS48" s="307">
        <v>122</v>
      </c>
      <c r="AT48" s="307">
        <v>84</v>
      </c>
      <c r="AU48" s="308">
        <v>97</v>
      </c>
      <c r="AV48" s="14"/>
      <c r="AX48" s="14"/>
      <c r="AY48" s="14"/>
      <c r="AZ48" s="14"/>
      <c r="BA48" s="14"/>
      <c r="BB48" s="14"/>
      <c r="BD48" s="14"/>
      <c r="BE48" s="14"/>
      <c r="BF48" s="14"/>
      <c r="BG48" s="14"/>
      <c r="BH48" s="14"/>
      <c r="BJ48" s="14"/>
      <c r="BK48" s="14"/>
      <c r="BL48" s="14"/>
      <c r="BM48" s="14"/>
      <c r="BN48" s="14"/>
      <c r="BP48" s="14"/>
      <c r="BQ48" s="14"/>
      <c r="BR48" s="14"/>
      <c r="BS48" s="14"/>
      <c r="BT48" s="14"/>
      <c r="BV48" s="14"/>
      <c r="BW48" s="14"/>
      <c r="BX48" s="14"/>
      <c r="BY48" s="14"/>
      <c r="BZ48" s="14"/>
      <c r="CA48" s="306" t="s">
        <v>1692</v>
      </c>
      <c r="CB48" s="307">
        <v>107</v>
      </c>
      <c r="CC48" s="307">
        <v>122</v>
      </c>
      <c r="CD48" s="307">
        <v>81</v>
      </c>
      <c r="CE48" s="308">
        <v>96</v>
      </c>
      <c r="CF48" s="14"/>
      <c r="CH48" s="14"/>
      <c r="CI48" s="14"/>
      <c r="CJ48" s="14"/>
      <c r="CK48" s="14"/>
      <c r="CL48" s="14"/>
      <c r="CN48" s="14"/>
      <c r="CO48" s="14"/>
      <c r="CP48" s="14"/>
      <c r="CQ48" s="14"/>
      <c r="CR48" s="14"/>
      <c r="CT48" s="14"/>
      <c r="CU48" s="14"/>
      <c r="CV48" s="14"/>
      <c r="CW48" s="14"/>
    </row>
    <row r="49" spans="1:101" ht="12" thickBot="1">
      <c r="A49" s="306" t="s">
        <v>666</v>
      </c>
      <c r="B49" s="307">
        <v>131</v>
      </c>
      <c r="C49" s="307">
        <v>147</v>
      </c>
      <c r="D49" s="307">
        <v>103</v>
      </c>
      <c r="E49" s="308">
        <v>119</v>
      </c>
      <c r="F49" s="14"/>
      <c r="G49" s="306" t="s">
        <v>721</v>
      </c>
      <c r="H49" s="307">
        <v>152</v>
      </c>
      <c r="I49" s="307">
        <v>184</v>
      </c>
      <c r="J49" s="307">
        <v>95</v>
      </c>
      <c r="K49" s="308">
        <v>127</v>
      </c>
      <c r="L49" s="14"/>
      <c r="N49" s="14"/>
      <c r="O49" s="14"/>
      <c r="P49" s="14"/>
      <c r="Q49" s="14"/>
      <c r="R49" s="14"/>
      <c r="T49" s="14"/>
      <c r="U49" s="14"/>
      <c r="V49" s="14"/>
      <c r="W49" s="14"/>
      <c r="X49" s="14"/>
      <c r="Z49" s="14"/>
      <c r="AA49" s="14"/>
      <c r="AB49" s="14"/>
      <c r="AC49" s="14"/>
      <c r="AD49" s="14"/>
      <c r="AE49" s="315" t="s">
        <v>1045</v>
      </c>
      <c r="AF49" s="316">
        <v>120</v>
      </c>
      <c r="AG49" s="316">
        <v>145</v>
      </c>
      <c r="AH49" s="316">
        <v>75</v>
      </c>
      <c r="AI49" s="317">
        <v>99</v>
      </c>
      <c r="AJ49" s="14"/>
      <c r="AL49" s="14"/>
      <c r="AM49" s="14"/>
      <c r="AN49" s="14"/>
      <c r="AO49" s="14"/>
      <c r="AP49" s="14"/>
      <c r="AQ49" s="315" t="s">
        <v>1400</v>
      </c>
      <c r="AR49" s="316">
        <v>143</v>
      </c>
      <c r="AS49" s="316">
        <v>161</v>
      </c>
      <c r="AT49" s="316">
        <v>111</v>
      </c>
      <c r="AU49" s="317">
        <v>129</v>
      </c>
      <c r="AV49" s="14"/>
      <c r="AX49" s="14"/>
      <c r="AY49" s="14"/>
      <c r="AZ49" s="14"/>
      <c r="BA49" s="14"/>
      <c r="BB49" s="14"/>
      <c r="BD49" s="14"/>
      <c r="BE49" s="14"/>
      <c r="BF49" s="14"/>
      <c r="BG49" s="14"/>
      <c r="BH49" s="14"/>
      <c r="BJ49" s="14"/>
      <c r="BK49" s="14"/>
      <c r="BL49" s="14"/>
      <c r="BM49" s="14"/>
      <c r="BN49" s="14"/>
      <c r="BP49" s="14"/>
      <c r="BQ49" s="14"/>
      <c r="BR49" s="14"/>
      <c r="BS49" s="14"/>
      <c r="BT49" s="14"/>
      <c r="BV49" s="14"/>
      <c r="BW49" s="14"/>
      <c r="BX49" s="14"/>
      <c r="BY49" s="14"/>
      <c r="BZ49" s="14"/>
      <c r="CA49" s="315" t="s">
        <v>1693</v>
      </c>
      <c r="CB49" s="316">
        <v>97</v>
      </c>
      <c r="CC49" s="316">
        <v>110</v>
      </c>
      <c r="CD49" s="316">
        <v>73</v>
      </c>
      <c r="CE49" s="317">
        <v>86</v>
      </c>
      <c r="CF49" s="14"/>
      <c r="CH49" s="14"/>
      <c r="CI49" s="14"/>
      <c r="CJ49" s="14"/>
      <c r="CK49" s="14"/>
      <c r="CL49" s="14"/>
      <c r="CN49" s="14"/>
      <c r="CO49" s="14"/>
      <c r="CP49" s="14"/>
      <c r="CQ49" s="14"/>
      <c r="CR49" s="14"/>
      <c r="CT49" s="14"/>
      <c r="CU49" s="14"/>
      <c r="CV49" s="14"/>
      <c r="CW49" s="14"/>
    </row>
    <row r="50" spans="1:101">
      <c r="A50" s="315" t="s">
        <v>668</v>
      </c>
      <c r="B50" s="316">
        <v>115</v>
      </c>
      <c r="C50" s="316">
        <v>129</v>
      </c>
      <c r="D50" s="316">
        <v>91</v>
      </c>
      <c r="E50" s="317">
        <v>105</v>
      </c>
      <c r="F50" s="14"/>
      <c r="G50" s="315" t="s">
        <v>722</v>
      </c>
      <c r="H50" s="316">
        <v>117</v>
      </c>
      <c r="I50" s="316">
        <v>141</v>
      </c>
      <c r="J50" s="316">
        <v>74</v>
      </c>
      <c r="K50" s="317">
        <v>98</v>
      </c>
      <c r="L50" s="14"/>
      <c r="N50" s="14"/>
      <c r="O50" s="14"/>
      <c r="P50" s="14"/>
      <c r="Q50" s="14"/>
      <c r="R50" s="14"/>
      <c r="T50" s="14"/>
      <c r="U50" s="14"/>
      <c r="V50" s="14"/>
      <c r="W50" s="14"/>
      <c r="X50" s="14"/>
      <c r="Z50" s="14"/>
      <c r="AA50" s="14"/>
      <c r="AB50" s="14"/>
      <c r="AC50" s="14"/>
      <c r="AD50" s="14"/>
      <c r="AE50" s="315" t="s">
        <v>1047</v>
      </c>
      <c r="AF50" s="316">
        <v>110</v>
      </c>
      <c r="AG50" s="316">
        <v>132</v>
      </c>
      <c r="AH50" s="316">
        <v>68</v>
      </c>
      <c r="AI50" s="317">
        <v>91</v>
      </c>
      <c r="AJ50" s="14"/>
      <c r="AL50" s="14"/>
      <c r="AM50" s="14"/>
      <c r="AN50" s="14"/>
      <c r="AO50" s="14"/>
      <c r="AP50" s="14"/>
      <c r="AQ50" s="315" t="s">
        <v>1401</v>
      </c>
      <c r="AR50" s="316">
        <v>129</v>
      </c>
      <c r="AS50" s="316">
        <v>145</v>
      </c>
      <c r="AT50" s="316">
        <v>100</v>
      </c>
      <c r="AU50" s="317">
        <v>116</v>
      </c>
      <c r="AV50" s="14"/>
      <c r="AX50" s="14"/>
      <c r="AY50" s="14"/>
      <c r="AZ50" s="14"/>
      <c r="BA50" s="14"/>
      <c r="BB50" s="14"/>
      <c r="BD50" s="14"/>
      <c r="BE50" s="14"/>
      <c r="BF50" s="14"/>
      <c r="BG50" s="14"/>
      <c r="BH50" s="14"/>
      <c r="BJ50" s="14"/>
      <c r="BK50" s="14"/>
      <c r="BL50" s="14"/>
      <c r="BM50" s="14"/>
      <c r="BN50" s="14"/>
      <c r="BP50" s="14"/>
      <c r="BQ50" s="14"/>
      <c r="BR50" s="14"/>
      <c r="BS50" s="14"/>
      <c r="BT50" s="14"/>
      <c r="BV50" s="14"/>
      <c r="BW50" s="14"/>
      <c r="BX50" s="14"/>
      <c r="BY50" s="14"/>
      <c r="BZ50" s="14"/>
      <c r="CA50" s="306" t="s">
        <v>1694</v>
      </c>
      <c r="CB50" s="307">
        <v>101</v>
      </c>
      <c r="CC50" s="307">
        <v>114</v>
      </c>
      <c r="CD50" s="307">
        <v>79</v>
      </c>
      <c r="CE50" s="308">
        <v>91</v>
      </c>
      <c r="CF50" s="14"/>
      <c r="CH50" s="14"/>
      <c r="CI50" s="14"/>
      <c r="CJ50" s="14"/>
      <c r="CK50" s="14"/>
      <c r="CL50" s="14"/>
      <c r="CN50" s="14"/>
      <c r="CO50" s="14"/>
      <c r="CP50" s="14"/>
      <c r="CQ50" s="14"/>
      <c r="CR50" s="14"/>
      <c r="CT50" s="14"/>
      <c r="CU50" s="14"/>
      <c r="CV50" s="14"/>
      <c r="CW50" s="14"/>
    </row>
    <row r="51" spans="1:101" ht="12" thickBot="1">
      <c r="A51" s="312" t="s">
        <v>669</v>
      </c>
      <c r="B51" s="313">
        <v>93</v>
      </c>
      <c r="C51" s="313">
        <v>104</v>
      </c>
      <c r="D51" s="313">
        <v>73</v>
      </c>
      <c r="E51" s="314">
        <v>85</v>
      </c>
      <c r="F51" s="14"/>
      <c r="G51" s="315" t="s">
        <v>723</v>
      </c>
      <c r="H51" s="316">
        <v>91</v>
      </c>
      <c r="I51" s="316">
        <v>110</v>
      </c>
      <c r="J51" s="316">
        <v>58</v>
      </c>
      <c r="K51" s="317">
        <v>77</v>
      </c>
      <c r="L51" s="14"/>
      <c r="N51" s="14"/>
      <c r="O51" s="14"/>
      <c r="P51" s="14"/>
      <c r="Q51" s="14"/>
      <c r="R51" s="14"/>
      <c r="T51" s="14"/>
      <c r="U51" s="14"/>
      <c r="V51" s="14"/>
      <c r="W51" s="14"/>
      <c r="X51" s="14"/>
      <c r="Z51" s="14"/>
      <c r="AA51" s="14"/>
      <c r="AB51" s="14"/>
      <c r="AC51" s="14"/>
      <c r="AD51" s="14"/>
      <c r="AE51" s="315" t="s">
        <v>1049</v>
      </c>
      <c r="AF51" s="316">
        <v>100</v>
      </c>
      <c r="AG51" s="316">
        <v>121</v>
      </c>
      <c r="AH51" s="316">
        <v>62</v>
      </c>
      <c r="AI51" s="317">
        <v>83</v>
      </c>
      <c r="AJ51" s="14"/>
      <c r="AL51" s="14"/>
      <c r="AM51" s="14"/>
      <c r="AN51" s="14"/>
      <c r="AO51" s="14"/>
      <c r="AP51" s="14"/>
      <c r="AQ51" s="315" t="s">
        <v>1402</v>
      </c>
      <c r="AR51" s="316">
        <v>117</v>
      </c>
      <c r="AS51" s="316">
        <v>131</v>
      </c>
      <c r="AT51" s="316">
        <v>91</v>
      </c>
      <c r="AU51" s="317">
        <v>106</v>
      </c>
      <c r="AV51" s="14"/>
      <c r="AX51" s="14"/>
      <c r="AY51" s="14"/>
      <c r="AZ51" s="14"/>
      <c r="BA51" s="14"/>
      <c r="BB51" s="14"/>
      <c r="BD51" s="14"/>
      <c r="BE51" s="14"/>
      <c r="BF51" s="14"/>
      <c r="BG51" s="14"/>
      <c r="BH51" s="14"/>
      <c r="BJ51" s="14"/>
      <c r="BK51" s="14"/>
      <c r="BL51" s="14"/>
      <c r="BM51" s="14"/>
      <c r="BN51" s="14"/>
      <c r="BP51" s="14"/>
      <c r="BQ51" s="14"/>
      <c r="BR51" s="14"/>
      <c r="BS51" s="14"/>
      <c r="BT51" s="14"/>
      <c r="BV51" s="14"/>
      <c r="BW51" s="14"/>
      <c r="BX51" s="14"/>
      <c r="BY51" s="14"/>
      <c r="BZ51" s="14"/>
      <c r="CA51" s="315" t="s">
        <v>1695</v>
      </c>
      <c r="CB51" s="316">
        <v>93</v>
      </c>
      <c r="CC51" s="316">
        <v>104</v>
      </c>
      <c r="CD51" s="316">
        <v>72</v>
      </c>
      <c r="CE51" s="317">
        <v>83</v>
      </c>
      <c r="CF51" s="14"/>
      <c r="CH51" s="14"/>
      <c r="CI51" s="14"/>
      <c r="CJ51" s="14"/>
      <c r="CK51" s="14"/>
      <c r="CL51" s="14"/>
      <c r="CN51" s="14"/>
      <c r="CO51" s="14"/>
      <c r="CP51" s="14"/>
      <c r="CQ51" s="14"/>
      <c r="CR51" s="14"/>
      <c r="CT51" s="14"/>
      <c r="CU51" s="14"/>
      <c r="CV51" s="14"/>
      <c r="CW51" s="14"/>
    </row>
    <row r="52" spans="1:101" ht="12" thickBot="1">
      <c r="A52" s="315" t="s">
        <v>670</v>
      </c>
      <c r="B52" s="316">
        <v>120</v>
      </c>
      <c r="C52" s="316">
        <v>134</v>
      </c>
      <c r="D52" s="316">
        <v>94</v>
      </c>
      <c r="E52" s="317">
        <v>109</v>
      </c>
      <c r="F52" s="14"/>
      <c r="G52" s="312" t="s">
        <v>724</v>
      </c>
      <c r="H52" s="313">
        <v>50</v>
      </c>
      <c r="I52" s="313">
        <v>60</v>
      </c>
      <c r="J52" s="313">
        <v>33</v>
      </c>
      <c r="K52" s="314">
        <v>43</v>
      </c>
      <c r="L52" s="14"/>
      <c r="N52" s="14"/>
      <c r="O52" s="14"/>
      <c r="P52" s="14"/>
      <c r="Q52" s="14"/>
      <c r="R52" s="14"/>
      <c r="T52" s="14"/>
      <c r="U52" s="14"/>
      <c r="V52" s="14"/>
      <c r="W52" s="14"/>
      <c r="X52" s="14"/>
      <c r="Z52" s="14"/>
      <c r="AA52" s="14"/>
      <c r="AB52" s="14"/>
      <c r="AC52" s="14"/>
      <c r="AD52" s="14"/>
      <c r="AE52" s="315" t="s">
        <v>1051</v>
      </c>
      <c r="AF52" s="316">
        <v>91</v>
      </c>
      <c r="AG52" s="316">
        <v>110</v>
      </c>
      <c r="AH52" s="316">
        <v>57</v>
      </c>
      <c r="AI52" s="317">
        <v>76</v>
      </c>
      <c r="AJ52" s="14"/>
      <c r="AL52" s="14"/>
      <c r="AM52" s="14"/>
      <c r="AN52" s="14"/>
      <c r="AO52" s="14"/>
      <c r="AP52" s="14"/>
      <c r="AQ52" s="312" t="s">
        <v>1403</v>
      </c>
      <c r="AR52" s="313">
        <v>105</v>
      </c>
      <c r="AS52" s="313">
        <v>118</v>
      </c>
      <c r="AT52" s="313">
        <v>82</v>
      </c>
      <c r="AU52" s="314">
        <v>95</v>
      </c>
      <c r="AV52" s="14"/>
      <c r="AX52" s="14"/>
      <c r="AY52" s="14"/>
      <c r="AZ52" s="14"/>
      <c r="BA52" s="14"/>
      <c r="BB52" s="14"/>
      <c r="BD52" s="14"/>
      <c r="BE52" s="14"/>
      <c r="BF52" s="14"/>
      <c r="BG52" s="14"/>
      <c r="BH52" s="14"/>
      <c r="BJ52" s="14"/>
      <c r="BK52" s="14"/>
      <c r="BL52" s="14"/>
      <c r="BM52" s="14"/>
      <c r="BN52" s="14"/>
      <c r="BP52" s="14"/>
      <c r="BQ52" s="14"/>
      <c r="BR52" s="14"/>
      <c r="BS52" s="14"/>
      <c r="BT52" s="14"/>
      <c r="BV52" s="14"/>
      <c r="BW52" s="14"/>
      <c r="BX52" s="14"/>
      <c r="BY52" s="14"/>
      <c r="BZ52" s="14"/>
      <c r="CA52" s="306" t="s">
        <v>1696</v>
      </c>
      <c r="CB52" s="307">
        <v>98</v>
      </c>
      <c r="CC52" s="307">
        <v>109</v>
      </c>
      <c r="CD52" s="307">
        <v>78</v>
      </c>
      <c r="CE52" s="308">
        <v>89</v>
      </c>
      <c r="CF52" s="14"/>
      <c r="CH52" s="14"/>
      <c r="CI52" s="14"/>
      <c r="CJ52" s="14"/>
      <c r="CK52" s="14"/>
      <c r="CL52" s="14"/>
      <c r="CN52" s="14"/>
      <c r="CO52" s="14"/>
      <c r="CP52" s="14"/>
      <c r="CQ52" s="14"/>
      <c r="CR52" s="14"/>
      <c r="CT52" s="14"/>
      <c r="CU52" s="14"/>
      <c r="CV52" s="14"/>
      <c r="CW52" s="14"/>
    </row>
    <row r="53" spans="1:101">
      <c r="A53" s="315" t="s">
        <v>671</v>
      </c>
      <c r="B53" s="316">
        <v>102</v>
      </c>
      <c r="C53" s="316">
        <v>114</v>
      </c>
      <c r="D53" s="316">
        <v>81</v>
      </c>
      <c r="E53" s="317">
        <v>93</v>
      </c>
      <c r="F53" s="14"/>
      <c r="G53" s="306" t="s">
        <v>725</v>
      </c>
      <c r="H53" s="307">
        <v>147</v>
      </c>
      <c r="I53" s="307">
        <v>177</v>
      </c>
      <c r="J53" s="307">
        <v>94</v>
      </c>
      <c r="K53" s="308">
        <v>123</v>
      </c>
      <c r="L53" s="14"/>
      <c r="N53" s="14"/>
      <c r="O53" s="14"/>
      <c r="P53" s="14"/>
      <c r="Q53" s="14"/>
      <c r="R53" s="14"/>
      <c r="T53" s="14"/>
      <c r="U53" s="14"/>
      <c r="V53" s="14"/>
      <c r="W53" s="14"/>
      <c r="X53" s="14"/>
      <c r="Z53" s="14"/>
      <c r="AA53" s="14"/>
      <c r="AB53" s="14"/>
      <c r="AC53" s="14"/>
      <c r="AD53" s="14"/>
      <c r="AE53" s="315" t="s">
        <v>1053</v>
      </c>
      <c r="AF53" s="316">
        <v>83</v>
      </c>
      <c r="AG53" s="316">
        <v>100</v>
      </c>
      <c r="AH53" s="316">
        <v>52</v>
      </c>
      <c r="AI53" s="317">
        <v>69</v>
      </c>
      <c r="AJ53" s="14"/>
      <c r="AL53" s="14"/>
      <c r="AM53" s="14"/>
      <c r="AN53" s="14"/>
      <c r="AO53" s="14"/>
      <c r="AP53" s="14"/>
      <c r="AQ53" s="306" t="s">
        <v>1404</v>
      </c>
      <c r="AR53" s="307">
        <v>110</v>
      </c>
      <c r="AS53" s="307">
        <v>126</v>
      </c>
      <c r="AT53" s="307">
        <v>80</v>
      </c>
      <c r="AU53" s="308">
        <v>97</v>
      </c>
      <c r="AV53" s="14"/>
      <c r="AX53" s="14"/>
      <c r="AY53" s="14"/>
      <c r="AZ53" s="14"/>
      <c r="BA53" s="14"/>
      <c r="BB53" s="14"/>
      <c r="BD53" s="14"/>
      <c r="BE53" s="14"/>
      <c r="BF53" s="14"/>
      <c r="BG53" s="14"/>
      <c r="BH53" s="14"/>
      <c r="BJ53" s="14"/>
      <c r="BK53" s="14"/>
      <c r="BL53" s="14"/>
      <c r="BM53" s="14"/>
      <c r="BN53" s="14"/>
      <c r="BP53" s="14"/>
      <c r="BQ53" s="14"/>
      <c r="BR53" s="14"/>
      <c r="BS53" s="14"/>
      <c r="BT53" s="14"/>
      <c r="BV53" s="14"/>
      <c r="BW53" s="14"/>
      <c r="BX53" s="14"/>
      <c r="BY53" s="14"/>
      <c r="BZ53" s="14"/>
      <c r="CA53" s="315" t="s">
        <v>1697</v>
      </c>
      <c r="CB53" s="316">
        <v>86</v>
      </c>
      <c r="CC53" s="316">
        <v>96</v>
      </c>
      <c r="CD53" s="316">
        <v>69</v>
      </c>
      <c r="CE53" s="317">
        <v>78</v>
      </c>
      <c r="CF53" s="14"/>
      <c r="CH53" s="14"/>
      <c r="CI53" s="14"/>
      <c r="CJ53" s="14"/>
      <c r="CK53" s="14"/>
      <c r="CL53" s="14"/>
      <c r="CN53" s="14"/>
      <c r="CO53" s="14"/>
      <c r="CP53" s="14"/>
      <c r="CQ53" s="14"/>
      <c r="CR53" s="14"/>
      <c r="CT53" s="14"/>
      <c r="CU53" s="14"/>
      <c r="CV53" s="14"/>
      <c r="CW53" s="14"/>
    </row>
    <row r="54" spans="1:101" ht="12" thickBot="1">
      <c r="A54" s="312" t="s">
        <v>672</v>
      </c>
      <c r="B54" s="313">
        <v>91</v>
      </c>
      <c r="C54" s="313">
        <v>102</v>
      </c>
      <c r="D54" s="313">
        <v>72</v>
      </c>
      <c r="E54" s="314">
        <v>83</v>
      </c>
      <c r="F54" s="14"/>
      <c r="G54" s="315" t="s">
        <v>726</v>
      </c>
      <c r="H54" s="316">
        <v>112</v>
      </c>
      <c r="I54" s="316">
        <v>134</v>
      </c>
      <c r="J54" s="316">
        <v>72</v>
      </c>
      <c r="K54" s="317">
        <v>94</v>
      </c>
      <c r="L54" s="14"/>
      <c r="N54" s="14"/>
      <c r="O54" s="14"/>
      <c r="P54" s="14"/>
      <c r="Q54" s="14"/>
      <c r="R54" s="14"/>
      <c r="T54" s="14"/>
      <c r="U54" s="14"/>
      <c r="V54" s="14"/>
      <c r="W54" s="14"/>
      <c r="X54" s="14"/>
      <c r="Z54" s="14"/>
      <c r="AA54" s="14"/>
      <c r="AB54" s="14"/>
      <c r="AC54" s="14"/>
      <c r="AD54" s="14"/>
      <c r="AE54" s="315" t="s">
        <v>1055</v>
      </c>
      <c r="AF54" s="316">
        <v>76</v>
      </c>
      <c r="AG54" s="316">
        <v>92</v>
      </c>
      <c r="AH54" s="316">
        <v>48</v>
      </c>
      <c r="AI54" s="317">
        <v>64</v>
      </c>
      <c r="AJ54" s="14"/>
      <c r="AL54" s="14"/>
      <c r="AM54" s="14"/>
      <c r="AN54" s="14"/>
      <c r="AO54" s="14"/>
      <c r="AP54" s="14"/>
      <c r="AQ54" s="315" t="s">
        <v>1405</v>
      </c>
      <c r="AR54" s="316">
        <v>92</v>
      </c>
      <c r="AS54" s="316">
        <v>106</v>
      </c>
      <c r="AT54" s="316">
        <v>68</v>
      </c>
      <c r="AU54" s="317">
        <v>81</v>
      </c>
      <c r="AV54" s="14"/>
      <c r="AX54" s="14"/>
      <c r="AY54" s="14"/>
      <c r="AZ54" s="14"/>
      <c r="BA54" s="14"/>
      <c r="BB54" s="14"/>
      <c r="BD54" s="14"/>
      <c r="BE54" s="14"/>
      <c r="BF54" s="14"/>
      <c r="BG54" s="14"/>
      <c r="BH54" s="14"/>
      <c r="BJ54" s="14"/>
      <c r="BK54" s="14"/>
      <c r="BL54" s="14"/>
      <c r="BM54" s="14"/>
      <c r="BN54" s="14"/>
      <c r="BP54" s="14"/>
      <c r="BQ54" s="14"/>
      <c r="BR54" s="14"/>
      <c r="BS54" s="14"/>
      <c r="BT54" s="14"/>
      <c r="BV54" s="14"/>
      <c r="BW54" s="14"/>
      <c r="BX54" s="14"/>
      <c r="BY54" s="14"/>
      <c r="BZ54" s="14"/>
      <c r="CA54" s="312" t="s">
        <v>1698</v>
      </c>
      <c r="CB54" s="313">
        <v>74</v>
      </c>
      <c r="CC54" s="313">
        <v>82</v>
      </c>
      <c r="CD54" s="313">
        <v>59</v>
      </c>
      <c r="CE54" s="314">
        <v>67</v>
      </c>
      <c r="CF54" s="14"/>
      <c r="CH54" s="14"/>
      <c r="CI54" s="14"/>
      <c r="CJ54" s="14"/>
      <c r="CK54" s="14"/>
      <c r="CL54" s="14"/>
      <c r="CN54" s="14"/>
      <c r="CO54" s="14"/>
      <c r="CP54" s="14"/>
      <c r="CQ54" s="14"/>
      <c r="CR54" s="14"/>
      <c r="CT54" s="14"/>
      <c r="CU54" s="14"/>
      <c r="CV54" s="14"/>
      <c r="CW54" s="14"/>
    </row>
    <row r="55" spans="1:101">
      <c r="F55" s="14"/>
      <c r="G55" s="315" t="s">
        <v>727</v>
      </c>
      <c r="H55" s="316">
        <v>88</v>
      </c>
      <c r="I55" s="316">
        <v>106</v>
      </c>
      <c r="J55" s="316">
        <v>57</v>
      </c>
      <c r="K55" s="317">
        <v>75</v>
      </c>
      <c r="L55" s="14"/>
      <c r="N55" s="14"/>
      <c r="O55" s="14"/>
      <c r="P55" s="14"/>
      <c r="Q55" s="14"/>
      <c r="R55" s="14"/>
      <c r="T55" s="14"/>
      <c r="U55" s="14"/>
      <c r="V55" s="14"/>
      <c r="W55" s="14"/>
      <c r="X55" s="14"/>
      <c r="Z55" s="14"/>
      <c r="AA55" s="14"/>
      <c r="AB55" s="14"/>
      <c r="AC55" s="14"/>
      <c r="AD55" s="14"/>
      <c r="AE55" s="315" t="s">
        <v>1057</v>
      </c>
      <c r="AF55" s="316">
        <v>68</v>
      </c>
      <c r="AG55" s="316">
        <v>82</v>
      </c>
      <c r="AH55" s="316">
        <v>43</v>
      </c>
      <c r="AI55" s="317">
        <v>57</v>
      </c>
      <c r="AJ55" s="14"/>
      <c r="AL55" s="14"/>
      <c r="AM55" s="14"/>
      <c r="AN55" s="14"/>
      <c r="AO55" s="14"/>
      <c r="AP55" s="14"/>
      <c r="AQ55" s="315" t="s">
        <v>1406</v>
      </c>
      <c r="AR55" s="316">
        <v>71</v>
      </c>
      <c r="AS55" s="316">
        <v>81</v>
      </c>
      <c r="AT55" s="316">
        <v>52</v>
      </c>
      <c r="AU55" s="317">
        <v>62</v>
      </c>
      <c r="AV55" s="14"/>
      <c r="AX55" s="14"/>
      <c r="AY55" s="14"/>
      <c r="AZ55" s="14"/>
      <c r="BA55" s="14"/>
      <c r="BB55" s="14"/>
      <c r="BD55" s="14"/>
      <c r="BE55" s="14"/>
      <c r="BF55" s="14"/>
      <c r="BG55" s="14"/>
      <c r="BH55" s="14"/>
      <c r="BJ55" s="14"/>
      <c r="BK55" s="14"/>
      <c r="BL55" s="14"/>
      <c r="BM55" s="14"/>
      <c r="BN55" s="14"/>
      <c r="BP55" s="14"/>
      <c r="BQ55" s="14"/>
      <c r="BR55" s="14"/>
      <c r="BS55" s="14"/>
      <c r="BT55" s="14"/>
      <c r="BV55" s="14"/>
      <c r="BW55" s="14"/>
      <c r="BX55" s="14"/>
      <c r="BY55" s="14"/>
      <c r="BZ55" s="14"/>
      <c r="CB55" s="14"/>
      <c r="CC55" s="14"/>
      <c r="CD55" s="14"/>
      <c r="CE55" s="14"/>
      <c r="CF55" s="14"/>
      <c r="CH55" s="14"/>
      <c r="CI55" s="14"/>
      <c r="CJ55" s="14"/>
      <c r="CK55" s="14"/>
      <c r="CL55" s="14"/>
      <c r="CN55" s="14"/>
      <c r="CO55" s="14"/>
      <c r="CP55" s="14"/>
      <c r="CQ55" s="14"/>
      <c r="CR55" s="14"/>
      <c r="CT55" s="14"/>
      <c r="CU55" s="14"/>
      <c r="CV55" s="14"/>
      <c r="CW55" s="14"/>
    </row>
    <row r="56" spans="1:101" ht="12" thickBot="1">
      <c r="F56" s="14"/>
      <c r="G56" s="312" t="s">
        <v>728</v>
      </c>
      <c r="H56" s="313">
        <v>50</v>
      </c>
      <c r="I56" s="313">
        <v>60</v>
      </c>
      <c r="J56" s="313">
        <v>34</v>
      </c>
      <c r="K56" s="314">
        <v>43</v>
      </c>
      <c r="L56" s="14"/>
      <c r="N56" s="14"/>
      <c r="O56" s="14"/>
      <c r="P56" s="14"/>
      <c r="Q56" s="14"/>
      <c r="R56" s="14"/>
      <c r="T56" s="14"/>
      <c r="U56" s="14"/>
      <c r="V56" s="14"/>
      <c r="W56" s="14"/>
      <c r="X56" s="14"/>
      <c r="Z56" s="14"/>
      <c r="AA56" s="14"/>
      <c r="AB56" s="14"/>
      <c r="AC56" s="14"/>
      <c r="AD56" s="14"/>
      <c r="AE56" s="315" t="s">
        <v>1059</v>
      </c>
      <c r="AF56" s="316">
        <v>60</v>
      </c>
      <c r="AG56" s="316">
        <v>73</v>
      </c>
      <c r="AH56" s="316">
        <v>39</v>
      </c>
      <c r="AI56" s="317">
        <v>51</v>
      </c>
      <c r="AJ56" s="14"/>
      <c r="AL56" s="14"/>
      <c r="AM56" s="14"/>
      <c r="AN56" s="14"/>
      <c r="AO56" s="14"/>
      <c r="AP56" s="14"/>
      <c r="AQ56" s="315" t="s">
        <v>1407</v>
      </c>
      <c r="AR56" s="316">
        <v>130</v>
      </c>
      <c r="AS56" s="316">
        <v>145</v>
      </c>
      <c r="AT56" s="316">
        <v>101</v>
      </c>
      <c r="AU56" s="317">
        <v>117</v>
      </c>
      <c r="AV56" s="14"/>
      <c r="AX56" s="14"/>
      <c r="AY56" s="14"/>
      <c r="AZ56" s="14"/>
      <c r="BA56" s="14"/>
      <c r="BB56" s="14"/>
      <c r="BD56" s="14"/>
      <c r="BE56" s="14"/>
      <c r="BF56" s="14"/>
      <c r="BG56" s="14"/>
      <c r="BH56" s="14"/>
      <c r="BJ56" s="14"/>
      <c r="BK56" s="14"/>
      <c r="BL56" s="14"/>
      <c r="BM56" s="14"/>
      <c r="BN56" s="14"/>
      <c r="BP56" s="14"/>
      <c r="BQ56" s="14"/>
      <c r="BR56" s="14"/>
      <c r="BS56" s="14"/>
      <c r="BT56" s="14"/>
      <c r="BV56" s="14"/>
      <c r="BW56" s="14"/>
      <c r="BX56" s="14"/>
      <c r="BY56" s="14"/>
      <c r="BZ56" s="14"/>
      <c r="CB56" s="14"/>
      <c r="CC56" s="14"/>
      <c r="CD56" s="14"/>
      <c r="CE56" s="14"/>
      <c r="CF56" s="14"/>
      <c r="CH56" s="14"/>
      <c r="CI56" s="14"/>
      <c r="CJ56" s="14"/>
      <c r="CK56" s="14"/>
      <c r="CL56" s="14"/>
      <c r="CN56" s="14"/>
      <c r="CO56" s="14"/>
      <c r="CP56" s="14"/>
      <c r="CQ56" s="14"/>
      <c r="CR56" s="14"/>
      <c r="CT56" s="14"/>
      <c r="CU56" s="14"/>
      <c r="CV56" s="14"/>
      <c r="CW56" s="14"/>
    </row>
    <row r="57" spans="1:101">
      <c r="F57" s="14"/>
      <c r="G57" s="306" t="s">
        <v>729</v>
      </c>
      <c r="H57" s="307">
        <v>142</v>
      </c>
      <c r="I57" s="307">
        <v>170</v>
      </c>
      <c r="J57" s="307">
        <v>92</v>
      </c>
      <c r="K57" s="308">
        <v>120</v>
      </c>
      <c r="L57" s="14"/>
      <c r="R57" s="14"/>
      <c r="X57" s="14"/>
      <c r="AD57" s="14"/>
      <c r="AE57" s="315" t="s">
        <v>1061</v>
      </c>
      <c r="AF57" s="316">
        <v>55</v>
      </c>
      <c r="AG57" s="316">
        <v>66</v>
      </c>
      <c r="AH57" s="316">
        <v>35</v>
      </c>
      <c r="AI57" s="317">
        <v>46</v>
      </c>
      <c r="AJ57" s="14"/>
      <c r="AL57" s="14"/>
      <c r="AM57" s="14"/>
      <c r="AN57" s="14"/>
      <c r="AO57" s="14"/>
      <c r="AP57" s="14"/>
      <c r="AQ57" s="315" t="s">
        <v>1408</v>
      </c>
      <c r="AR57" s="316">
        <v>116</v>
      </c>
      <c r="AS57" s="316">
        <v>131</v>
      </c>
      <c r="AT57" s="316">
        <v>91</v>
      </c>
      <c r="AU57" s="317">
        <v>105</v>
      </c>
      <c r="AV57" s="14"/>
      <c r="BB57" s="14"/>
      <c r="BH57" s="14"/>
      <c r="BN57" s="14"/>
      <c r="BT57" s="14"/>
      <c r="BZ57" s="14"/>
      <c r="CB57" s="14"/>
      <c r="CC57" s="14"/>
      <c r="CD57" s="14"/>
      <c r="CE57" s="14"/>
      <c r="CF57" s="14"/>
      <c r="CH57" s="14"/>
      <c r="CI57" s="14"/>
      <c r="CJ57" s="14"/>
      <c r="CK57" s="14"/>
      <c r="CL57" s="14"/>
      <c r="CN57" s="14"/>
      <c r="CO57" s="14"/>
      <c r="CP57" s="14"/>
      <c r="CQ57" s="14"/>
      <c r="CR57" s="14"/>
      <c r="CT57" s="14"/>
      <c r="CU57" s="14"/>
      <c r="CV57" s="14"/>
      <c r="CW57" s="14"/>
    </row>
    <row r="58" spans="1:101">
      <c r="G58" s="315" t="s">
        <v>730</v>
      </c>
      <c r="H58" s="316">
        <v>107</v>
      </c>
      <c r="I58" s="316">
        <v>128</v>
      </c>
      <c r="J58" s="316">
        <v>70</v>
      </c>
      <c r="K58" s="317">
        <v>91</v>
      </c>
      <c r="AE58" s="315" t="s">
        <v>1063</v>
      </c>
      <c r="AF58" s="316">
        <v>49</v>
      </c>
      <c r="AG58" s="316">
        <v>59</v>
      </c>
      <c r="AH58" s="316">
        <v>32</v>
      </c>
      <c r="AI58" s="317">
        <v>42</v>
      </c>
      <c r="AL58" s="14"/>
      <c r="AM58" s="14"/>
      <c r="AN58" s="14"/>
      <c r="AO58" s="14"/>
      <c r="AQ58" s="315" t="s">
        <v>1409</v>
      </c>
      <c r="AR58" s="316">
        <v>107</v>
      </c>
      <c r="AS58" s="316">
        <v>121</v>
      </c>
      <c r="AT58" s="316">
        <v>84</v>
      </c>
      <c r="AU58" s="317">
        <v>97</v>
      </c>
      <c r="CH58" s="14"/>
      <c r="CI58" s="14"/>
      <c r="CJ58" s="14"/>
      <c r="CK58" s="14"/>
      <c r="CN58" s="14"/>
      <c r="CO58" s="14"/>
      <c r="CP58" s="14"/>
      <c r="CQ58" s="14"/>
      <c r="CT58" s="14"/>
      <c r="CU58" s="14"/>
      <c r="CV58" s="14"/>
      <c r="CW58" s="14"/>
    </row>
    <row r="59" spans="1:101" ht="12" thickBot="1">
      <c r="G59" s="315" t="s">
        <v>731</v>
      </c>
      <c r="H59" s="316">
        <v>86</v>
      </c>
      <c r="I59" s="316">
        <v>102</v>
      </c>
      <c r="J59" s="316">
        <v>56</v>
      </c>
      <c r="K59" s="317">
        <v>73</v>
      </c>
      <c r="AE59" s="315" t="s">
        <v>1065</v>
      </c>
      <c r="AF59" s="316">
        <v>45</v>
      </c>
      <c r="AG59" s="316">
        <v>54</v>
      </c>
      <c r="AH59" s="316">
        <v>29</v>
      </c>
      <c r="AI59" s="317">
        <v>38</v>
      </c>
      <c r="AQ59" s="312" t="s">
        <v>1410</v>
      </c>
      <c r="AR59" s="313">
        <v>97</v>
      </c>
      <c r="AS59" s="313">
        <v>109</v>
      </c>
      <c r="AT59" s="313">
        <v>76</v>
      </c>
      <c r="AU59" s="314">
        <v>88</v>
      </c>
      <c r="CH59" s="14"/>
      <c r="CI59" s="14"/>
      <c r="CJ59" s="14"/>
      <c r="CK59" s="14"/>
      <c r="CN59" s="14"/>
      <c r="CO59" s="14"/>
      <c r="CP59" s="14"/>
      <c r="CQ59" s="14"/>
      <c r="CT59" s="14"/>
      <c r="CU59" s="14"/>
      <c r="CV59" s="14"/>
      <c r="CW59" s="14"/>
    </row>
    <row r="60" spans="1:101" ht="12" thickBot="1">
      <c r="G60" s="312" t="s">
        <v>732</v>
      </c>
      <c r="H60" s="313">
        <v>51</v>
      </c>
      <c r="I60" s="313">
        <v>61</v>
      </c>
      <c r="J60" s="313">
        <v>34</v>
      </c>
      <c r="K60" s="314">
        <v>44</v>
      </c>
      <c r="AE60" s="315" t="s">
        <v>1067</v>
      </c>
      <c r="AF60" s="316">
        <v>41</v>
      </c>
      <c r="AG60" s="316">
        <v>49</v>
      </c>
      <c r="AH60" s="316">
        <v>27</v>
      </c>
      <c r="AI60" s="317">
        <v>35</v>
      </c>
      <c r="AQ60" s="306" t="s">
        <v>1411</v>
      </c>
      <c r="AR60" s="307">
        <v>120</v>
      </c>
      <c r="AS60" s="307">
        <v>134</v>
      </c>
      <c r="AT60" s="307">
        <v>95</v>
      </c>
      <c r="AU60" s="308">
        <v>109</v>
      </c>
      <c r="CH60" s="14"/>
      <c r="CI60" s="14"/>
      <c r="CJ60" s="14"/>
      <c r="CK60" s="14"/>
      <c r="CN60" s="14"/>
      <c r="CO60" s="14"/>
      <c r="CP60" s="14"/>
      <c r="CQ60" s="14"/>
      <c r="CT60" s="14"/>
      <c r="CU60" s="14"/>
      <c r="CV60" s="14"/>
      <c r="CW60" s="14"/>
    </row>
    <row r="61" spans="1:101" ht="12" thickBot="1">
      <c r="G61" s="306" t="s">
        <v>733</v>
      </c>
      <c r="H61" s="307">
        <v>135</v>
      </c>
      <c r="I61" s="307">
        <v>161</v>
      </c>
      <c r="J61" s="307">
        <v>90</v>
      </c>
      <c r="K61" s="308">
        <v>115</v>
      </c>
      <c r="AE61" s="312" t="s">
        <v>1069</v>
      </c>
      <c r="AF61" s="313">
        <v>38</v>
      </c>
      <c r="AG61" s="313">
        <v>45</v>
      </c>
      <c r="AH61" s="313">
        <v>25</v>
      </c>
      <c r="AI61" s="314">
        <v>32</v>
      </c>
      <c r="AQ61" s="315" t="s">
        <v>1412</v>
      </c>
      <c r="AR61" s="316">
        <v>103</v>
      </c>
      <c r="AS61" s="316">
        <v>115</v>
      </c>
      <c r="AT61" s="316">
        <v>81</v>
      </c>
      <c r="AU61" s="317">
        <v>93</v>
      </c>
      <c r="CH61" s="14"/>
      <c r="CI61" s="14"/>
      <c r="CJ61" s="14"/>
      <c r="CK61" s="14"/>
      <c r="CN61" s="14"/>
      <c r="CO61" s="14"/>
      <c r="CP61" s="14"/>
      <c r="CQ61" s="14"/>
      <c r="CT61" s="14"/>
      <c r="CU61" s="14"/>
      <c r="CV61" s="14"/>
      <c r="CW61" s="14"/>
    </row>
    <row r="62" spans="1:101">
      <c r="G62" s="315" t="s">
        <v>734</v>
      </c>
      <c r="H62" s="316">
        <v>101</v>
      </c>
      <c r="I62" s="316">
        <v>120</v>
      </c>
      <c r="J62" s="316">
        <v>68</v>
      </c>
      <c r="K62" s="317">
        <v>87</v>
      </c>
      <c r="AE62" s="306" t="s">
        <v>1071</v>
      </c>
      <c r="AF62" s="307">
        <v>252</v>
      </c>
      <c r="AG62" s="307">
        <v>282</v>
      </c>
      <c r="AH62" s="307">
        <v>198</v>
      </c>
      <c r="AI62" s="308">
        <v>228</v>
      </c>
      <c r="AQ62" s="315" t="s">
        <v>1413</v>
      </c>
      <c r="AR62" s="316">
        <v>91</v>
      </c>
      <c r="AS62" s="316">
        <v>102</v>
      </c>
      <c r="AT62" s="316">
        <v>72</v>
      </c>
      <c r="AU62" s="317">
        <v>83</v>
      </c>
      <c r="CH62" s="14"/>
      <c r="CI62" s="14"/>
      <c r="CJ62" s="14"/>
      <c r="CK62" s="14"/>
      <c r="CN62" s="14"/>
      <c r="CO62" s="14"/>
      <c r="CP62" s="14"/>
      <c r="CQ62" s="14"/>
      <c r="CT62" s="14"/>
      <c r="CU62" s="14"/>
      <c r="CV62" s="14"/>
      <c r="CW62" s="14"/>
    </row>
    <row r="63" spans="1:101" ht="12" thickBot="1">
      <c r="G63" s="315" t="s">
        <v>735</v>
      </c>
      <c r="H63" s="316">
        <v>82</v>
      </c>
      <c r="I63" s="316">
        <v>97</v>
      </c>
      <c r="J63" s="316">
        <v>56</v>
      </c>
      <c r="K63" s="317">
        <v>71</v>
      </c>
      <c r="AE63" s="315" t="s">
        <v>1073</v>
      </c>
      <c r="AF63" s="316">
        <v>213</v>
      </c>
      <c r="AG63" s="316">
        <v>238</v>
      </c>
      <c r="AH63" s="316">
        <v>167</v>
      </c>
      <c r="AI63" s="317">
        <v>193</v>
      </c>
      <c r="AQ63" s="312" t="s">
        <v>1414</v>
      </c>
      <c r="AR63" s="313">
        <v>111</v>
      </c>
      <c r="AS63" s="313">
        <v>124</v>
      </c>
      <c r="AT63" s="313">
        <v>88</v>
      </c>
      <c r="AU63" s="314">
        <v>101</v>
      </c>
    </row>
    <row r="64" spans="1:101" ht="12" thickBot="1">
      <c r="G64" s="312" t="s">
        <v>736</v>
      </c>
      <c r="H64" s="313">
        <v>52</v>
      </c>
      <c r="I64" s="313">
        <v>62</v>
      </c>
      <c r="J64" s="313">
        <v>36</v>
      </c>
      <c r="K64" s="314">
        <v>45</v>
      </c>
      <c r="AE64" s="315" t="s">
        <v>1075</v>
      </c>
      <c r="AF64" s="316">
        <v>207</v>
      </c>
      <c r="AG64" s="316">
        <v>237</v>
      </c>
      <c r="AH64" s="316">
        <v>153</v>
      </c>
      <c r="AI64" s="317">
        <v>183</v>
      </c>
      <c r="AQ64" s="306" t="s">
        <v>1415</v>
      </c>
      <c r="AR64" s="307">
        <v>101</v>
      </c>
      <c r="AS64" s="307">
        <v>113</v>
      </c>
      <c r="AT64" s="307">
        <v>80</v>
      </c>
      <c r="AU64" s="308">
        <v>92</v>
      </c>
      <c r="CB64" s="14"/>
      <c r="CC64" s="14"/>
      <c r="CD64" s="14"/>
      <c r="CE64" s="14"/>
    </row>
    <row r="65" spans="7:47">
      <c r="G65" s="306" t="s">
        <v>737</v>
      </c>
      <c r="H65" s="307">
        <v>133</v>
      </c>
      <c r="I65" s="307">
        <v>156</v>
      </c>
      <c r="J65" s="307">
        <v>91</v>
      </c>
      <c r="K65" s="308">
        <v>114</v>
      </c>
      <c r="AE65" s="315" t="s">
        <v>1077</v>
      </c>
      <c r="AF65" s="316">
        <v>185</v>
      </c>
      <c r="AG65" s="316">
        <v>211</v>
      </c>
      <c r="AH65" s="316">
        <v>136</v>
      </c>
      <c r="AI65" s="317">
        <v>163</v>
      </c>
      <c r="AQ65" s="315" t="s">
        <v>1416</v>
      </c>
      <c r="AR65" s="316">
        <v>87</v>
      </c>
      <c r="AS65" s="316">
        <v>98</v>
      </c>
      <c r="AT65" s="316">
        <v>69</v>
      </c>
      <c r="AU65" s="317">
        <v>79</v>
      </c>
    </row>
    <row r="66" spans="7:47" ht="12" thickBot="1">
      <c r="G66" s="315" t="s">
        <v>738</v>
      </c>
      <c r="H66" s="316">
        <v>96</v>
      </c>
      <c r="I66" s="316">
        <v>113</v>
      </c>
      <c r="J66" s="316">
        <v>66</v>
      </c>
      <c r="K66" s="317">
        <v>83</v>
      </c>
      <c r="AE66" s="315" t="s">
        <v>1079</v>
      </c>
      <c r="AF66" s="316">
        <v>166</v>
      </c>
      <c r="AG66" s="316">
        <v>190</v>
      </c>
      <c r="AH66" s="316">
        <v>123</v>
      </c>
      <c r="AI66" s="317">
        <v>147</v>
      </c>
      <c r="AQ66" s="312" t="s">
        <v>1417</v>
      </c>
      <c r="AR66" s="313">
        <v>104</v>
      </c>
      <c r="AS66" s="313">
        <v>116</v>
      </c>
      <c r="AT66" s="313">
        <v>82</v>
      </c>
      <c r="AU66" s="314">
        <v>94</v>
      </c>
    </row>
    <row r="67" spans="7:47">
      <c r="G67" s="315" t="s">
        <v>739</v>
      </c>
      <c r="H67" s="316">
        <v>79</v>
      </c>
      <c r="I67" s="316">
        <v>93</v>
      </c>
      <c r="J67" s="316">
        <v>55</v>
      </c>
      <c r="K67" s="317">
        <v>69</v>
      </c>
      <c r="AE67" s="315" t="s">
        <v>1081</v>
      </c>
      <c r="AF67" s="316">
        <v>104</v>
      </c>
      <c r="AG67" s="316">
        <v>125</v>
      </c>
      <c r="AH67" s="316">
        <v>63</v>
      </c>
      <c r="AI67" s="317">
        <v>85</v>
      </c>
      <c r="AQ67" s="306" t="s">
        <v>1418</v>
      </c>
      <c r="AR67" s="307">
        <v>93</v>
      </c>
      <c r="AS67" s="307">
        <v>104</v>
      </c>
      <c r="AT67" s="307">
        <v>74</v>
      </c>
      <c r="AU67" s="308">
        <v>85</v>
      </c>
    </row>
    <row r="68" spans="7:47" ht="12" thickBot="1">
      <c r="G68" s="312" t="s">
        <v>740</v>
      </c>
      <c r="H68" s="313">
        <v>53</v>
      </c>
      <c r="I68" s="313">
        <v>62</v>
      </c>
      <c r="J68" s="313">
        <v>38</v>
      </c>
      <c r="K68" s="314">
        <v>47</v>
      </c>
      <c r="AE68" s="315" t="s">
        <v>1083</v>
      </c>
      <c r="AF68" s="316">
        <v>95</v>
      </c>
      <c r="AG68" s="316">
        <v>114</v>
      </c>
      <c r="AH68" s="316">
        <v>58</v>
      </c>
      <c r="AI68" s="317">
        <v>78</v>
      </c>
      <c r="AQ68" s="315" t="s">
        <v>1419</v>
      </c>
      <c r="AR68" s="316">
        <v>83</v>
      </c>
      <c r="AS68" s="316">
        <v>93</v>
      </c>
      <c r="AT68" s="316">
        <v>66</v>
      </c>
      <c r="AU68" s="317">
        <v>76</v>
      </c>
    </row>
    <row r="69" spans="7:47" ht="12" thickBot="1">
      <c r="G69" s="306" t="s">
        <v>741</v>
      </c>
      <c r="H69" s="307">
        <v>130</v>
      </c>
      <c r="I69" s="307">
        <v>152</v>
      </c>
      <c r="J69" s="307">
        <v>91</v>
      </c>
      <c r="K69" s="308">
        <v>113</v>
      </c>
      <c r="AE69" s="315" t="s">
        <v>1085</v>
      </c>
      <c r="AF69" s="316">
        <v>87</v>
      </c>
      <c r="AG69" s="316">
        <v>105</v>
      </c>
      <c r="AH69" s="316">
        <v>53</v>
      </c>
      <c r="AI69" s="317">
        <v>71</v>
      </c>
      <c r="AQ69" s="312" t="s">
        <v>1420</v>
      </c>
      <c r="AR69" s="313">
        <v>73</v>
      </c>
      <c r="AS69" s="313">
        <v>82</v>
      </c>
      <c r="AT69" s="313">
        <v>59</v>
      </c>
      <c r="AU69" s="314">
        <v>67</v>
      </c>
    </row>
    <row r="70" spans="7:47">
      <c r="G70" s="315" t="s">
        <v>742</v>
      </c>
      <c r="H70" s="316">
        <v>92</v>
      </c>
      <c r="I70" s="316">
        <v>107</v>
      </c>
      <c r="J70" s="316">
        <v>65</v>
      </c>
      <c r="K70" s="317">
        <v>80</v>
      </c>
      <c r="AE70" s="315" t="s">
        <v>1087</v>
      </c>
      <c r="AF70" s="316">
        <v>79</v>
      </c>
      <c r="AG70" s="316">
        <v>95</v>
      </c>
      <c r="AH70" s="316">
        <v>49</v>
      </c>
      <c r="AI70" s="317">
        <v>65</v>
      </c>
      <c r="AQ70" s="306" t="s">
        <v>1421</v>
      </c>
      <c r="AR70" s="307">
        <v>69</v>
      </c>
      <c r="AS70" s="307">
        <v>78</v>
      </c>
      <c r="AT70" s="307">
        <v>51</v>
      </c>
      <c r="AU70" s="308">
        <v>61</v>
      </c>
    </row>
    <row r="71" spans="7:47" ht="12" thickBot="1">
      <c r="G71" s="315" t="s">
        <v>743</v>
      </c>
      <c r="H71" s="316">
        <v>76</v>
      </c>
      <c r="I71" s="316">
        <v>89</v>
      </c>
      <c r="J71" s="316">
        <v>54</v>
      </c>
      <c r="K71" s="317">
        <v>67</v>
      </c>
      <c r="AE71" s="315" t="s">
        <v>1089</v>
      </c>
      <c r="AF71" s="316">
        <v>72</v>
      </c>
      <c r="AG71" s="316">
        <v>87</v>
      </c>
      <c r="AH71" s="316">
        <v>45</v>
      </c>
      <c r="AI71" s="317">
        <v>60</v>
      </c>
      <c r="AQ71" s="312" t="s">
        <v>1422</v>
      </c>
      <c r="AR71" s="313">
        <v>61</v>
      </c>
      <c r="AS71" s="313">
        <v>70</v>
      </c>
      <c r="AT71" s="313">
        <v>46</v>
      </c>
      <c r="AU71" s="314">
        <v>54</v>
      </c>
    </row>
    <row r="72" spans="7:47" ht="12" thickBot="1">
      <c r="G72" s="312" t="s">
        <v>744</v>
      </c>
      <c r="H72" s="313">
        <v>55</v>
      </c>
      <c r="I72" s="313">
        <v>63</v>
      </c>
      <c r="J72" s="313">
        <v>39</v>
      </c>
      <c r="K72" s="314">
        <v>48</v>
      </c>
      <c r="AE72" s="315" t="s">
        <v>1091</v>
      </c>
      <c r="AF72" s="316">
        <v>68</v>
      </c>
      <c r="AG72" s="316">
        <v>82</v>
      </c>
      <c r="AH72" s="316">
        <v>42</v>
      </c>
      <c r="AI72" s="317">
        <v>56</v>
      </c>
      <c r="AR72" s="14"/>
      <c r="AS72" s="14"/>
      <c r="AT72" s="14"/>
      <c r="AU72" s="14"/>
    </row>
    <row r="73" spans="7:47">
      <c r="G73" s="306" t="s">
        <v>745</v>
      </c>
      <c r="H73" s="307">
        <v>123</v>
      </c>
      <c r="I73" s="307">
        <v>142</v>
      </c>
      <c r="J73" s="307">
        <v>88</v>
      </c>
      <c r="K73" s="308">
        <v>108</v>
      </c>
      <c r="AE73" s="315" t="s">
        <v>1093</v>
      </c>
      <c r="AF73" s="316">
        <v>63</v>
      </c>
      <c r="AG73" s="316">
        <v>76</v>
      </c>
      <c r="AH73" s="316">
        <v>38</v>
      </c>
      <c r="AI73" s="317">
        <v>52</v>
      </c>
      <c r="AR73" s="14"/>
      <c r="AS73" s="14"/>
      <c r="AT73" s="14"/>
      <c r="AU73" s="14"/>
    </row>
    <row r="74" spans="7:47">
      <c r="G74" s="315" t="s">
        <v>746</v>
      </c>
      <c r="H74" s="316">
        <v>90</v>
      </c>
      <c r="I74" s="316">
        <v>104</v>
      </c>
      <c r="J74" s="316">
        <v>65</v>
      </c>
      <c r="K74" s="317">
        <v>79</v>
      </c>
      <c r="AE74" s="315" t="s">
        <v>1095</v>
      </c>
      <c r="AF74" s="316">
        <v>57</v>
      </c>
      <c r="AG74" s="316">
        <v>69</v>
      </c>
      <c r="AH74" s="316">
        <v>35</v>
      </c>
      <c r="AI74" s="317">
        <v>47</v>
      </c>
      <c r="AR74" s="14"/>
      <c r="AS74" s="14"/>
      <c r="AT74" s="14"/>
      <c r="AU74" s="14"/>
    </row>
    <row r="75" spans="7:47">
      <c r="G75" s="315" t="s">
        <v>747</v>
      </c>
      <c r="H75" s="316">
        <v>76</v>
      </c>
      <c r="I75" s="316">
        <v>88</v>
      </c>
      <c r="J75" s="316">
        <v>55</v>
      </c>
      <c r="K75" s="317">
        <v>67</v>
      </c>
      <c r="AE75" s="315" t="s">
        <v>1097</v>
      </c>
      <c r="AF75" s="316">
        <v>52</v>
      </c>
      <c r="AG75" s="316">
        <v>63</v>
      </c>
      <c r="AH75" s="316">
        <v>32</v>
      </c>
      <c r="AI75" s="317">
        <v>43</v>
      </c>
      <c r="AR75" s="14"/>
      <c r="AS75" s="14"/>
      <c r="AT75" s="14"/>
      <c r="AU75" s="14"/>
    </row>
    <row r="76" spans="7:47" ht="12" thickBot="1">
      <c r="G76" s="312" t="s">
        <v>748</v>
      </c>
      <c r="H76" s="313">
        <v>56</v>
      </c>
      <c r="I76" s="313">
        <v>64</v>
      </c>
      <c r="J76" s="313">
        <v>41</v>
      </c>
      <c r="K76" s="314">
        <v>50</v>
      </c>
      <c r="AE76" s="315" t="s">
        <v>1099</v>
      </c>
      <c r="AF76" s="316">
        <v>48</v>
      </c>
      <c r="AG76" s="316">
        <v>58</v>
      </c>
      <c r="AH76" s="316">
        <v>30</v>
      </c>
      <c r="AI76" s="317">
        <v>40</v>
      </c>
      <c r="AR76" s="14"/>
      <c r="AS76" s="14"/>
      <c r="AT76" s="14"/>
      <c r="AU76" s="14"/>
    </row>
    <row r="77" spans="7:47">
      <c r="G77" s="306" t="s">
        <v>749</v>
      </c>
      <c r="H77" s="307">
        <v>120</v>
      </c>
      <c r="I77" s="307">
        <v>138</v>
      </c>
      <c r="J77" s="307">
        <v>88</v>
      </c>
      <c r="K77" s="308">
        <v>106</v>
      </c>
      <c r="AE77" s="315" t="s">
        <v>1101</v>
      </c>
      <c r="AF77" s="316">
        <v>44</v>
      </c>
      <c r="AG77" s="316">
        <v>53</v>
      </c>
      <c r="AH77" s="316">
        <v>28</v>
      </c>
      <c r="AI77" s="317">
        <v>37</v>
      </c>
    </row>
    <row r="78" spans="7:47">
      <c r="G78" s="315" t="s">
        <v>750</v>
      </c>
      <c r="H78" s="316">
        <v>89</v>
      </c>
      <c r="I78" s="316">
        <v>102</v>
      </c>
      <c r="J78" s="316">
        <v>65</v>
      </c>
      <c r="K78" s="317">
        <v>79</v>
      </c>
      <c r="AE78" s="315" t="s">
        <v>1103</v>
      </c>
      <c r="AF78" s="316">
        <v>40</v>
      </c>
      <c r="AG78" s="316">
        <v>49</v>
      </c>
      <c r="AH78" s="316">
        <v>25</v>
      </c>
      <c r="AI78" s="317">
        <v>34</v>
      </c>
    </row>
    <row r="79" spans="7:47">
      <c r="G79" s="315" t="s">
        <v>751</v>
      </c>
      <c r="H79" s="316">
        <v>75</v>
      </c>
      <c r="I79" s="316">
        <v>86</v>
      </c>
      <c r="J79" s="316">
        <v>56</v>
      </c>
      <c r="K79" s="317">
        <v>67</v>
      </c>
      <c r="AE79" s="315" t="s">
        <v>1105</v>
      </c>
      <c r="AF79" s="316">
        <v>37</v>
      </c>
      <c r="AG79" s="316">
        <v>45</v>
      </c>
      <c r="AH79" s="316">
        <v>23</v>
      </c>
      <c r="AI79" s="317">
        <v>31</v>
      </c>
    </row>
    <row r="80" spans="7:47">
      <c r="G80" s="315" t="s">
        <v>752</v>
      </c>
      <c r="H80" s="316">
        <v>57</v>
      </c>
      <c r="I80" s="316">
        <v>65</v>
      </c>
      <c r="J80" s="316">
        <v>42</v>
      </c>
      <c r="K80" s="317">
        <v>51</v>
      </c>
      <c r="AE80" s="315" t="s">
        <v>1107</v>
      </c>
      <c r="AF80" s="316">
        <v>34</v>
      </c>
      <c r="AG80" s="316">
        <v>41</v>
      </c>
      <c r="AH80" s="316">
        <v>22</v>
      </c>
      <c r="AI80" s="317">
        <v>29</v>
      </c>
    </row>
    <row r="81" spans="7:35">
      <c r="G81" s="315" t="s">
        <v>753</v>
      </c>
      <c r="H81" s="316">
        <v>49</v>
      </c>
      <c r="I81" s="316">
        <v>56</v>
      </c>
      <c r="J81" s="316">
        <v>37</v>
      </c>
      <c r="K81" s="317">
        <v>44</v>
      </c>
      <c r="AE81" s="315" t="s">
        <v>1109</v>
      </c>
      <c r="AF81" s="316">
        <v>31</v>
      </c>
      <c r="AG81" s="316">
        <v>38</v>
      </c>
      <c r="AH81" s="316">
        <v>20</v>
      </c>
      <c r="AI81" s="317">
        <v>27</v>
      </c>
    </row>
    <row r="82" spans="7:35" ht="12" thickBot="1">
      <c r="G82" s="312" t="s">
        <v>754</v>
      </c>
      <c r="H82" s="313">
        <v>42</v>
      </c>
      <c r="I82" s="313">
        <v>48</v>
      </c>
      <c r="J82" s="313">
        <v>32</v>
      </c>
      <c r="K82" s="314">
        <v>38</v>
      </c>
      <c r="AE82" s="315" t="s">
        <v>1111</v>
      </c>
      <c r="AF82" s="316">
        <v>29</v>
      </c>
      <c r="AG82" s="316">
        <v>35</v>
      </c>
      <c r="AH82" s="316">
        <v>19</v>
      </c>
      <c r="AI82" s="317">
        <v>25</v>
      </c>
    </row>
    <row r="83" spans="7:35">
      <c r="G83" s="306" t="s">
        <v>755</v>
      </c>
      <c r="H83" s="307">
        <v>118</v>
      </c>
      <c r="I83" s="307">
        <v>135</v>
      </c>
      <c r="J83" s="307">
        <v>88</v>
      </c>
      <c r="K83" s="308">
        <v>105</v>
      </c>
      <c r="AE83" s="315" t="s">
        <v>1113</v>
      </c>
      <c r="AF83" s="316">
        <v>28</v>
      </c>
      <c r="AG83" s="316">
        <v>33</v>
      </c>
      <c r="AH83" s="316">
        <v>18</v>
      </c>
      <c r="AI83" s="317">
        <v>23</v>
      </c>
    </row>
    <row r="84" spans="7:35">
      <c r="G84" s="315" t="s">
        <v>756</v>
      </c>
      <c r="H84" s="316">
        <v>87</v>
      </c>
      <c r="I84" s="316">
        <v>100</v>
      </c>
      <c r="J84" s="316">
        <v>65</v>
      </c>
      <c r="K84" s="317">
        <v>78</v>
      </c>
      <c r="AE84" s="315" t="s">
        <v>1115</v>
      </c>
      <c r="AF84" s="316">
        <v>26</v>
      </c>
      <c r="AG84" s="316">
        <v>31</v>
      </c>
      <c r="AH84" s="316">
        <v>17</v>
      </c>
      <c r="AI84" s="317">
        <v>22</v>
      </c>
    </row>
    <row r="85" spans="7:35">
      <c r="G85" s="315" t="s">
        <v>757</v>
      </c>
      <c r="H85" s="316">
        <v>74</v>
      </c>
      <c r="I85" s="316">
        <v>85</v>
      </c>
      <c r="J85" s="316">
        <v>56</v>
      </c>
      <c r="K85" s="317">
        <v>66</v>
      </c>
      <c r="AE85" s="315" t="s">
        <v>1117</v>
      </c>
      <c r="AF85" s="316">
        <v>25</v>
      </c>
      <c r="AG85" s="316">
        <v>30</v>
      </c>
      <c r="AH85" s="316">
        <v>16</v>
      </c>
      <c r="AI85" s="317">
        <v>21</v>
      </c>
    </row>
    <row r="86" spans="7:35">
      <c r="G86" s="315" t="s">
        <v>758</v>
      </c>
      <c r="H86" s="316">
        <v>58</v>
      </c>
      <c r="I86" s="316">
        <v>66</v>
      </c>
      <c r="J86" s="316">
        <v>44</v>
      </c>
      <c r="K86" s="317">
        <v>52</v>
      </c>
      <c r="AE86" s="315" t="s">
        <v>1119</v>
      </c>
      <c r="AF86" s="316">
        <v>23</v>
      </c>
      <c r="AG86" s="316">
        <v>27</v>
      </c>
      <c r="AH86" s="316">
        <v>15</v>
      </c>
      <c r="AI86" s="317">
        <v>20</v>
      </c>
    </row>
    <row r="87" spans="7:35">
      <c r="G87" s="315" t="s">
        <v>759</v>
      </c>
      <c r="H87" s="316">
        <v>50</v>
      </c>
      <c r="I87" s="316">
        <v>57</v>
      </c>
      <c r="J87" s="316">
        <v>38</v>
      </c>
      <c r="K87" s="317">
        <v>45</v>
      </c>
      <c r="AE87" s="315" t="s">
        <v>1121</v>
      </c>
      <c r="AF87" s="316">
        <v>21</v>
      </c>
      <c r="AG87" s="316">
        <v>25</v>
      </c>
      <c r="AH87" s="316">
        <v>14</v>
      </c>
      <c r="AI87" s="317">
        <v>18</v>
      </c>
    </row>
    <row r="88" spans="7:35" ht="12" thickBot="1">
      <c r="G88" s="312" t="s">
        <v>760</v>
      </c>
      <c r="H88" s="313">
        <v>43</v>
      </c>
      <c r="I88" s="313">
        <v>49</v>
      </c>
      <c r="J88" s="313">
        <v>33</v>
      </c>
      <c r="K88" s="314">
        <v>39</v>
      </c>
      <c r="AE88" s="315" t="s">
        <v>1123</v>
      </c>
      <c r="AF88" s="316">
        <v>19</v>
      </c>
      <c r="AG88" s="316">
        <v>23</v>
      </c>
      <c r="AH88" s="316">
        <v>13</v>
      </c>
      <c r="AI88" s="317">
        <v>17</v>
      </c>
    </row>
    <row r="89" spans="7:35">
      <c r="G89" s="306" t="s">
        <v>761</v>
      </c>
      <c r="H89" s="307">
        <v>114</v>
      </c>
      <c r="I89" s="307">
        <v>129</v>
      </c>
      <c r="J89" s="307">
        <v>86</v>
      </c>
      <c r="K89" s="308">
        <v>102</v>
      </c>
      <c r="AE89" s="315" t="s">
        <v>1125</v>
      </c>
      <c r="AF89" s="316">
        <v>18</v>
      </c>
      <c r="AG89" s="316">
        <v>22</v>
      </c>
      <c r="AH89" s="316">
        <v>12</v>
      </c>
      <c r="AI89" s="317">
        <v>16</v>
      </c>
    </row>
    <row r="90" spans="7:35" ht="12" thickBot="1">
      <c r="G90" s="315" t="s">
        <v>762</v>
      </c>
      <c r="H90" s="316">
        <v>85</v>
      </c>
      <c r="I90" s="316">
        <v>96</v>
      </c>
      <c r="J90" s="316">
        <v>64</v>
      </c>
      <c r="K90" s="317">
        <v>76</v>
      </c>
      <c r="AE90" s="312" t="s">
        <v>1127</v>
      </c>
      <c r="AF90" s="313">
        <v>17</v>
      </c>
      <c r="AG90" s="313">
        <v>20</v>
      </c>
      <c r="AH90" s="313">
        <v>11</v>
      </c>
      <c r="AI90" s="314">
        <v>15</v>
      </c>
    </row>
    <row r="91" spans="7:35">
      <c r="G91" s="315" t="s">
        <v>763</v>
      </c>
      <c r="H91" s="316">
        <v>72</v>
      </c>
      <c r="I91" s="316">
        <v>82</v>
      </c>
      <c r="J91" s="316">
        <v>55</v>
      </c>
      <c r="K91" s="317">
        <v>65</v>
      </c>
      <c r="AE91" s="306" t="s">
        <v>1129</v>
      </c>
      <c r="AF91" s="307">
        <v>239</v>
      </c>
      <c r="AG91" s="307">
        <v>267</v>
      </c>
      <c r="AH91" s="307">
        <v>189</v>
      </c>
      <c r="AI91" s="308">
        <v>217</v>
      </c>
    </row>
    <row r="92" spans="7:35">
      <c r="G92" s="315" t="s">
        <v>764</v>
      </c>
      <c r="H92" s="316">
        <v>59</v>
      </c>
      <c r="I92" s="316">
        <v>67</v>
      </c>
      <c r="J92" s="316">
        <v>45</v>
      </c>
      <c r="K92" s="317">
        <v>53</v>
      </c>
      <c r="AE92" s="315" t="s">
        <v>1131</v>
      </c>
      <c r="AF92" s="316">
        <v>203</v>
      </c>
      <c r="AG92" s="316">
        <v>227</v>
      </c>
      <c r="AH92" s="316">
        <v>161</v>
      </c>
      <c r="AI92" s="317">
        <v>185</v>
      </c>
    </row>
    <row r="93" spans="7:35">
      <c r="G93" s="315" t="s">
        <v>765</v>
      </c>
      <c r="H93" s="316">
        <v>51</v>
      </c>
      <c r="I93" s="316">
        <v>58</v>
      </c>
      <c r="J93" s="316">
        <v>39</v>
      </c>
      <c r="K93" s="317">
        <v>46</v>
      </c>
      <c r="AE93" s="315" t="s">
        <v>1133</v>
      </c>
      <c r="AF93" s="316">
        <v>192</v>
      </c>
      <c r="AG93" s="316">
        <v>218</v>
      </c>
      <c r="AH93" s="316">
        <v>145</v>
      </c>
      <c r="AI93" s="317">
        <v>171</v>
      </c>
    </row>
    <row r="94" spans="7:35" ht="12" thickBot="1">
      <c r="G94" s="312" t="s">
        <v>766</v>
      </c>
      <c r="H94" s="313">
        <v>44</v>
      </c>
      <c r="I94" s="313">
        <v>50</v>
      </c>
      <c r="J94" s="313">
        <v>34</v>
      </c>
      <c r="K94" s="314">
        <v>40</v>
      </c>
      <c r="AE94" s="315" t="s">
        <v>1135</v>
      </c>
      <c r="AF94" s="316">
        <v>174</v>
      </c>
      <c r="AG94" s="316">
        <v>197</v>
      </c>
      <c r="AH94" s="316">
        <v>131</v>
      </c>
      <c r="AI94" s="317">
        <v>154</v>
      </c>
    </row>
    <row r="95" spans="7:35">
      <c r="G95" s="306" t="s">
        <v>767</v>
      </c>
      <c r="H95" s="307">
        <v>108</v>
      </c>
      <c r="I95" s="307">
        <v>122</v>
      </c>
      <c r="J95" s="307">
        <v>84</v>
      </c>
      <c r="K95" s="308">
        <v>98</v>
      </c>
      <c r="AE95" s="315" t="s">
        <v>1137</v>
      </c>
      <c r="AF95" s="316">
        <v>154</v>
      </c>
      <c r="AG95" s="316">
        <v>175</v>
      </c>
      <c r="AH95" s="316">
        <v>116</v>
      </c>
      <c r="AI95" s="317">
        <v>137</v>
      </c>
    </row>
    <row r="96" spans="7:35">
      <c r="G96" s="315" t="s">
        <v>768</v>
      </c>
      <c r="H96" s="316">
        <v>84</v>
      </c>
      <c r="I96" s="316">
        <v>94</v>
      </c>
      <c r="J96" s="316">
        <v>66</v>
      </c>
      <c r="K96" s="317">
        <v>76</v>
      </c>
      <c r="AE96" s="315" t="s">
        <v>1139</v>
      </c>
      <c r="AF96" s="316">
        <v>140</v>
      </c>
      <c r="AG96" s="316">
        <v>159</v>
      </c>
      <c r="AH96" s="316">
        <v>106</v>
      </c>
      <c r="AI96" s="317">
        <v>125</v>
      </c>
    </row>
    <row r="97" spans="7:35" ht="12" thickBot="1">
      <c r="G97" s="315" t="s">
        <v>769</v>
      </c>
      <c r="H97" s="316">
        <v>72</v>
      </c>
      <c r="I97" s="316">
        <v>81</v>
      </c>
      <c r="J97" s="316">
        <v>57</v>
      </c>
      <c r="K97" s="317">
        <v>66</v>
      </c>
      <c r="AE97" s="312" t="s">
        <v>1141</v>
      </c>
      <c r="AF97" s="313">
        <v>124</v>
      </c>
      <c r="AG97" s="313">
        <v>140</v>
      </c>
      <c r="AH97" s="313">
        <v>94</v>
      </c>
      <c r="AI97" s="314">
        <v>110</v>
      </c>
    </row>
    <row r="98" spans="7:35">
      <c r="G98" s="315" t="s">
        <v>770</v>
      </c>
      <c r="H98" s="316">
        <v>60</v>
      </c>
      <c r="I98" s="316">
        <v>68</v>
      </c>
      <c r="J98" s="316">
        <v>48</v>
      </c>
      <c r="K98" s="317">
        <v>55</v>
      </c>
      <c r="AE98" s="306" t="s">
        <v>1143</v>
      </c>
      <c r="AF98" s="307">
        <v>200</v>
      </c>
      <c r="AG98" s="307">
        <v>223</v>
      </c>
      <c r="AH98" s="307">
        <v>159</v>
      </c>
      <c r="AI98" s="308">
        <v>182</v>
      </c>
    </row>
    <row r="99" spans="7:35">
      <c r="G99" s="315" t="s">
        <v>771</v>
      </c>
      <c r="H99" s="316">
        <v>52</v>
      </c>
      <c r="I99" s="316">
        <v>59</v>
      </c>
      <c r="J99" s="316">
        <v>41</v>
      </c>
      <c r="K99" s="317">
        <v>48</v>
      </c>
      <c r="AE99" s="315" t="s">
        <v>1145</v>
      </c>
      <c r="AF99" s="316">
        <v>176</v>
      </c>
      <c r="AG99" s="316">
        <v>196</v>
      </c>
      <c r="AH99" s="316">
        <v>140</v>
      </c>
      <c r="AI99" s="317">
        <v>160</v>
      </c>
    </row>
    <row r="100" spans="7:35" ht="12" thickBot="1">
      <c r="G100" s="312" t="s">
        <v>772</v>
      </c>
      <c r="H100" s="313">
        <v>44</v>
      </c>
      <c r="I100" s="313">
        <v>50</v>
      </c>
      <c r="J100" s="313">
        <v>35</v>
      </c>
      <c r="K100" s="314">
        <v>41</v>
      </c>
      <c r="AE100" s="315" t="s">
        <v>1147</v>
      </c>
      <c r="AF100" s="316">
        <v>154</v>
      </c>
      <c r="AG100" s="316">
        <v>172</v>
      </c>
      <c r="AH100" s="316">
        <v>123</v>
      </c>
      <c r="AI100" s="317">
        <v>141</v>
      </c>
    </row>
    <row r="101" spans="7:35">
      <c r="G101" s="306" t="s">
        <v>773</v>
      </c>
      <c r="H101" s="307">
        <v>101</v>
      </c>
      <c r="I101" s="307">
        <v>113</v>
      </c>
      <c r="J101" s="307">
        <v>81</v>
      </c>
      <c r="K101" s="308">
        <v>93</v>
      </c>
      <c r="AE101" s="315" t="s">
        <v>1153</v>
      </c>
      <c r="AF101" s="316">
        <v>153</v>
      </c>
      <c r="AG101" s="316">
        <v>173</v>
      </c>
      <c r="AH101" s="316">
        <v>117</v>
      </c>
      <c r="AI101" s="317">
        <v>137</v>
      </c>
    </row>
    <row r="102" spans="7:35">
      <c r="G102" s="315" t="s">
        <v>774</v>
      </c>
      <c r="H102" s="316">
        <v>81</v>
      </c>
      <c r="I102" s="316">
        <v>90</v>
      </c>
      <c r="J102" s="316">
        <v>65</v>
      </c>
      <c r="K102" s="317">
        <v>74</v>
      </c>
      <c r="AE102" s="315" t="s">
        <v>1155</v>
      </c>
      <c r="AF102" s="316">
        <v>139</v>
      </c>
      <c r="AG102" s="316">
        <v>158</v>
      </c>
      <c r="AH102" s="316">
        <v>106</v>
      </c>
      <c r="AI102" s="317">
        <v>125</v>
      </c>
    </row>
    <row r="103" spans="7:35">
      <c r="G103" s="315" t="s">
        <v>775</v>
      </c>
      <c r="H103" s="316">
        <v>70</v>
      </c>
      <c r="I103" s="316">
        <v>78</v>
      </c>
      <c r="J103" s="316">
        <v>57</v>
      </c>
      <c r="K103" s="317">
        <v>65</v>
      </c>
      <c r="AE103" s="315" t="s">
        <v>1157</v>
      </c>
      <c r="AF103" s="316">
        <v>129</v>
      </c>
      <c r="AG103" s="316">
        <v>145</v>
      </c>
      <c r="AH103" s="316">
        <v>98</v>
      </c>
      <c r="AI103" s="317">
        <v>115</v>
      </c>
    </row>
    <row r="104" spans="7:35">
      <c r="G104" s="315" t="s">
        <v>776</v>
      </c>
      <c r="H104" s="316">
        <v>62</v>
      </c>
      <c r="I104" s="316">
        <v>69</v>
      </c>
      <c r="J104" s="316">
        <v>50</v>
      </c>
      <c r="K104" s="317">
        <v>57</v>
      </c>
      <c r="AE104" s="315" t="s">
        <v>1159</v>
      </c>
      <c r="AF104" s="316">
        <v>119</v>
      </c>
      <c r="AG104" s="316">
        <v>135</v>
      </c>
      <c r="AH104" s="316">
        <v>91</v>
      </c>
      <c r="AI104" s="317">
        <v>107</v>
      </c>
    </row>
    <row r="105" spans="7:35">
      <c r="G105" s="315" t="s">
        <v>777</v>
      </c>
      <c r="H105" s="316">
        <v>54</v>
      </c>
      <c r="I105" s="316">
        <v>60</v>
      </c>
      <c r="J105" s="316">
        <v>43</v>
      </c>
      <c r="K105" s="317">
        <v>49</v>
      </c>
      <c r="AE105" s="315" t="s">
        <v>1161</v>
      </c>
      <c r="AF105" s="316">
        <v>110</v>
      </c>
      <c r="AG105" s="316">
        <v>124</v>
      </c>
      <c r="AH105" s="316">
        <v>84</v>
      </c>
      <c r="AI105" s="317">
        <v>99</v>
      </c>
    </row>
    <row r="106" spans="7:35" ht="12" thickBot="1">
      <c r="G106" s="312" t="s">
        <v>778</v>
      </c>
      <c r="H106" s="313">
        <v>45</v>
      </c>
      <c r="I106" s="313">
        <v>51</v>
      </c>
      <c r="J106" s="313">
        <v>37</v>
      </c>
      <c r="K106" s="314">
        <v>42</v>
      </c>
      <c r="AE106" s="315" t="s">
        <v>1163</v>
      </c>
      <c r="AF106" s="316">
        <v>120</v>
      </c>
      <c r="AG106" s="316">
        <v>139</v>
      </c>
      <c r="AH106" s="316">
        <v>84</v>
      </c>
      <c r="AI106" s="317">
        <v>103</v>
      </c>
    </row>
    <row r="107" spans="7:35">
      <c r="G107" s="306" t="s">
        <v>779</v>
      </c>
      <c r="H107" s="307">
        <v>98</v>
      </c>
      <c r="I107" s="307">
        <v>108</v>
      </c>
      <c r="J107" s="307">
        <v>79</v>
      </c>
      <c r="K107" s="308">
        <v>90</v>
      </c>
      <c r="AE107" s="315" t="s">
        <v>1165</v>
      </c>
      <c r="AF107" s="316">
        <v>106</v>
      </c>
      <c r="AG107" s="316">
        <v>124</v>
      </c>
      <c r="AH107" s="316">
        <v>74</v>
      </c>
      <c r="AI107" s="317">
        <v>92</v>
      </c>
    </row>
    <row r="108" spans="7:35">
      <c r="G108" s="315" t="s">
        <v>780</v>
      </c>
      <c r="H108" s="316">
        <v>81</v>
      </c>
      <c r="I108" s="316">
        <v>89</v>
      </c>
      <c r="J108" s="316">
        <v>66</v>
      </c>
      <c r="K108" s="317">
        <v>74</v>
      </c>
      <c r="AE108" s="315" t="s">
        <v>1167</v>
      </c>
      <c r="AF108" s="316">
        <v>95</v>
      </c>
      <c r="AG108" s="316">
        <v>110</v>
      </c>
      <c r="AH108" s="316">
        <v>67</v>
      </c>
      <c r="AI108" s="317">
        <v>82</v>
      </c>
    </row>
    <row r="109" spans="7:35">
      <c r="G109" s="315" t="s">
        <v>781</v>
      </c>
      <c r="H109" s="316">
        <v>70</v>
      </c>
      <c r="I109" s="316">
        <v>78</v>
      </c>
      <c r="J109" s="316">
        <v>57</v>
      </c>
      <c r="K109" s="317">
        <v>65</v>
      </c>
      <c r="AE109" s="315" t="s">
        <v>1169</v>
      </c>
      <c r="AF109" s="316">
        <v>87</v>
      </c>
      <c r="AG109" s="316">
        <v>102</v>
      </c>
      <c r="AH109" s="316">
        <v>62</v>
      </c>
      <c r="AI109" s="317">
        <v>76</v>
      </c>
    </row>
    <row r="110" spans="7:35" ht="12" thickBot="1">
      <c r="G110" s="315" t="s">
        <v>782</v>
      </c>
      <c r="H110" s="316">
        <v>64</v>
      </c>
      <c r="I110" s="316">
        <v>70</v>
      </c>
      <c r="J110" s="316">
        <v>52</v>
      </c>
      <c r="K110" s="317">
        <v>59</v>
      </c>
      <c r="AE110" s="312" t="s">
        <v>1171</v>
      </c>
      <c r="AF110" s="313">
        <v>78</v>
      </c>
      <c r="AG110" s="313">
        <v>91</v>
      </c>
      <c r="AH110" s="313">
        <v>55</v>
      </c>
      <c r="AI110" s="314">
        <v>68</v>
      </c>
    </row>
    <row r="111" spans="7:35">
      <c r="G111" s="315" t="s">
        <v>783</v>
      </c>
      <c r="H111" s="316">
        <v>57</v>
      </c>
      <c r="I111" s="316">
        <v>63</v>
      </c>
      <c r="J111" s="316">
        <v>47</v>
      </c>
      <c r="K111" s="317">
        <v>53</v>
      </c>
      <c r="AE111" s="306" t="s">
        <v>1173</v>
      </c>
      <c r="AF111" s="307">
        <v>140</v>
      </c>
      <c r="AG111" s="307">
        <v>158</v>
      </c>
      <c r="AH111" s="307">
        <v>108</v>
      </c>
      <c r="AI111" s="308">
        <v>126</v>
      </c>
    </row>
    <row r="112" spans="7:35">
      <c r="G112" s="315" t="s">
        <v>784</v>
      </c>
      <c r="H112" s="316">
        <v>55</v>
      </c>
      <c r="I112" s="316">
        <v>61</v>
      </c>
      <c r="J112" s="316">
        <v>45</v>
      </c>
      <c r="K112" s="317">
        <v>51</v>
      </c>
      <c r="AE112" s="315" t="s">
        <v>1175</v>
      </c>
      <c r="AF112" s="316">
        <v>128</v>
      </c>
      <c r="AG112" s="316">
        <v>145</v>
      </c>
      <c r="AH112" s="316">
        <v>99</v>
      </c>
      <c r="AI112" s="317">
        <v>115</v>
      </c>
    </row>
    <row r="113" spans="7:35">
      <c r="G113" s="315" t="s">
        <v>785</v>
      </c>
      <c r="H113" s="316">
        <v>47</v>
      </c>
      <c r="I113" s="316">
        <v>52</v>
      </c>
      <c r="J113" s="316">
        <v>38</v>
      </c>
      <c r="K113" s="317">
        <v>43</v>
      </c>
      <c r="AE113" s="315" t="s">
        <v>1177</v>
      </c>
      <c r="AF113" s="316">
        <v>120</v>
      </c>
      <c r="AG113" s="316">
        <v>135</v>
      </c>
      <c r="AH113" s="316">
        <v>93</v>
      </c>
      <c r="AI113" s="317">
        <v>108</v>
      </c>
    </row>
    <row r="114" spans="7:35" ht="12" thickBot="1">
      <c r="G114" s="312" t="s">
        <v>786</v>
      </c>
      <c r="H114" s="313">
        <v>40</v>
      </c>
      <c r="I114" s="313">
        <v>44</v>
      </c>
      <c r="J114" s="313">
        <v>33</v>
      </c>
      <c r="K114" s="314">
        <v>37</v>
      </c>
      <c r="AE114" s="315" t="s">
        <v>1179</v>
      </c>
      <c r="AF114" s="316">
        <v>107</v>
      </c>
      <c r="AG114" s="316">
        <v>120</v>
      </c>
      <c r="AH114" s="316">
        <v>83</v>
      </c>
      <c r="AI114" s="317">
        <v>96</v>
      </c>
    </row>
    <row r="115" spans="7:35" ht="12" thickBot="1">
      <c r="G115" s="315" t="s">
        <v>787</v>
      </c>
      <c r="H115" s="316">
        <v>69</v>
      </c>
      <c r="I115" s="316">
        <v>78</v>
      </c>
      <c r="J115" s="316">
        <v>51</v>
      </c>
      <c r="K115" s="317">
        <v>61</v>
      </c>
      <c r="AE115" s="312" t="s">
        <v>1181</v>
      </c>
      <c r="AF115" s="313">
        <v>96</v>
      </c>
      <c r="AG115" s="313">
        <v>108</v>
      </c>
      <c r="AH115" s="313">
        <v>74</v>
      </c>
      <c r="AI115" s="314">
        <v>87</v>
      </c>
    </row>
    <row r="116" spans="7:35">
      <c r="G116" s="315" t="s">
        <v>788</v>
      </c>
      <c r="H116" s="316">
        <v>65</v>
      </c>
      <c r="I116" s="316">
        <v>74</v>
      </c>
      <c r="J116" s="316">
        <v>48</v>
      </c>
      <c r="K116" s="317">
        <v>57</v>
      </c>
      <c r="AE116" s="306" t="s">
        <v>1183</v>
      </c>
      <c r="AF116" s="307">
        <v>142</v>
      </c>
      <c r="AG116" s="307">
        <v>160</v>
      </c>
      <c r="AH116" s="307">
        <v>110</v>
      </c>
      <c r="AI116" s="308">
        <v>128</v>
      </c>
    </row>
    <row r="117" spans="7:35">
      <c r="G117" s="315" t="s">
        <v>789</v>
      </c>
      <c r="H117" s="316">
        <v>61</v>
      </c>
      <c r="I117" s="316">
        <v>70</v>
      </c>
      <c r="J117" s="316">
        <v>46</v>
      </c>
      <c r="K117" s="317">
        <v>54</v>
      </c>
      <c r="AE117" s="315" t="s">
        <v>1185</v>
      </c>
      <c r="AF117" s="316">
        <v>128</v>
      </c>
      <c r="AG117" s="316">
        <v>144</v>
      </c>
      <c r="AH117" s="316">
        <v>100</v>
      </c>
      <c r="AI117" s="317">
        <v>116</v>
      </c>
    </row>
    <row r="118" spans="7:35">
      <c r="G118" s="315" t="s">
        <v>790</v>
      </c>
      <c r="H118" s="316">
        <v>57</v>
      </c>
      <c r="I118" s="316">
        <v>65</v>
      </c>
      <c r="J118" s="316">
        <v>43</v>
      </c>
      <c r="K118" s="317">
        <v>51</v>
      </c>
      <c r="AE118" s="315" t="s">
        <v>1187</v>
      </c>
      <c r="AF118" s="316">
        <v>117</v>
      </c>
      <c r="AG118" s="316">
        <v>131</v>
      </c>
      <c r="AH118" s="316">
        <v>91</v>
      </c>
      <c r="AI118" s="317">
        <v>105</v>
      </c>
    </row>
    <row r="119" spans="7:35">
      <c r="G119" s="315" t="s">
        <v>791</v>
      </c>
      <c r="H119" s="316">
        <v>53</v>
      </c>
      <c r="I119" s="316">
        <v>61</v>
      </c>
      <c r="J119" s="316">
        <v>40</v>
      </c>
      <c r="K119" s="317">
        <v>48</v>
      </c>
      <c r="AE119" s="315" t="s">
        <v>1189</v>
      </c>
      <c r="AF119" s="316">
        <v>105</v>
      </c>
      <c r="AG119" s="316">
        <v>118</v>
      </c>
      <c r="AH119" s="316">
        <v>82</v>
      </c>
      <c r="AI119" s="317">
        <v>95</v>
      </c>
    </row>
    <row r="120" spans="7:35">
      <c r="G120" s="315" t="s">
        <v>792</v>
      </c>
      <c r="H120" s="316">
        <v>49</v>
      </c>
      <c r="I120" s="316">
        <v>56</v>
      </c>
      <c r="J120" s="316">
        <v>37</v>
      </c>
      <c r="K120" s="317">
        <v>44</v>
      </c>
      <c r="AE120" s="315" t="s">
        <v>1191</v>
      </c>
      <c r="AF120" s="316">
        <v>109</v>
      </c>
      <c r="AG120" s="316">
        <v>125</v>
      </c>
      <c r="AH120" s="316">
        <v>78</v>
      </c>
      <c r="AI120" s="317">
        <v>95</v>
      </c>
    </row>
    <row r="121" spans="7:35">
      <c r="G121" s="315" t="s">
        <v>793</v>
      </c>
      <c r="H121" s="316">
        <v>45</v>
      </c>
      <c r="I121" s="316">
        <v>51</v>
      </c>
      <c r="J121" s="316">
        <v>34</v>
      </c>
      <c r="K121" s="317">
        <v>40</v>
      </c>
      <c r="AE121" s="315" t="s">
        <v>1193</v>
      </c>
      <c r="AF121" s="316">
        <v>97</v>
      </c>
      <c r="AG121" s="316">
        <v>112</v>
      </c>
      <c r="AH121" s="316">
        <v>70</v>
      </c>
      <c r="AI121" s="317">
        <v>85</v>
      </c>
    </row>
    <row r="122" spans="7:35">
      <c r="G122" s="315" t="s">
        <v>794</v>
      </c>
      <c r="H122" s="316">
        <v>42</v>
      </c>
      <c r="I122" s="316">
        <v>47</v>
      </c>
      <c r="J122" s="316">
        <v>31</v>
      </c>
      <c r="K122" s="317">
        <v>37</v>
      </c>
      <c r="AE122" s="315" t="s">
        <v>1195</v>
      </c>
      <c r="AF122" s="316">
        <v>87</v>
      </c>
      <c r="AG122" s="316">
        <v>100</v>
      </c>
      <c r="AH122" s="316">
        <v>63</v>
      </c>
      <c r="AI122" s="317">
        <v>76</v>
      </c>
    </row>
    <row r="123" spans="7:35">
      <c r="G123" s="315" t="s">
        <v>795</v>
      </c>
      <c r="H123" s="316">
        <v>38</v>
      </c>
      <c r="I123" s="316">
        <v>43</v>
      </c>
      <c r="J123" s="316">
        <v>29</v>
      </c>
      <c r="K123" s="317">
        <v>34</v>
      </c>
      <c r="AE123" s="315" t="s">
        <v>1197</v>
      </c>
      <c r="AF123" s="316">
        <v>79</v>
      </c>
      <c r="AG123" s="316">
        <v>91</v>
      </c>
      <c r="AH123" s="316">
        <v>57</v>
      </c>
      <c r="AI123" s="317">
        <v>69</v>
      </c>
    </row>
    <row r="124" spans="7:35">
      <c r="G124" s="315" t="s">
        <v>796</v>
      </c>
      <c r="H124" s="316">
        <v>32</v>
      </c>
      <c r="I124" s="316">
        <v>36</v>
      </c>
      <c r="J124" s="316">
        <v>24</v>
      </c>
      <c r="K124" s="317">
        <v>29</v>
      </c>
      <c r="AE124" s="315" t="s">
        <v>1199</v>
      </c>
      <c r="AF124" s="316">
        <v>73</v>
      </c>
      <c r="AG124" s="316">
        <v>83</v>
      </c>
      <c r="AH124" s="316">
        <v>53</v>
      </c>
      <c r="AI124" s="317">
        <v>64</v>
      </c>
    </row>
    <row r="125" spans="7:35" ht="12" thickBot="1">
      <c r="G125" s="315" t="s">
        <v>797</v>
      </c>
      <c r="H125" s="316">
        <v>26</v>
      </c>
      <c r="I125" s="316">
        <v>30</v>
      </c>
      <c r="J125" s="316">
        <v>20</v>
      </c>
      <c r="K125" s="317">
        <v>24</v>
      </c>
      <c r="AE125" s="315" t="s">
        <v>1201</v>
      </c>
      <c r="AF125" s="316">
        <v>66</v>
      </c>
      <c r="AG125" s="316">
        <v>76</v>
      </c>
      <c r="AH125" s="316">
        <v>48</v>
      </c>
      <c r="AI125" s="317">
        <v>58</v>
      </c>
    </row>
    <row r="126" spans="7:35">
      <c r="G126" s="306" t="s">
        <v>798</v>
      </c>
      <c r="H126" s="307">
        <v>82</v>
      </c>
      <c r="I126" s="307">
        <v>92</v>
      </c>
      <c r="J126" s="307">
        <v>63</v>
      </c>
      <c r="K126" s="308">
        <v>73</v>
      </c>
      <c r="AE126" s="315" t="s">
        <v>1203</v>
      </c>
      <c r="AF126" s="316">
        <v>61</v>
      </c>
      <c r="AG126" s="316">
        <v>70</v>
      </c>
      <c r="AH126" s="316">
        <v>45</v>
      </c>
      <c r="AI126" s="317">
        <v>54</v>
      </c>
    </row>
    <row r="127" spans="7:35">
      <c r="G127" s="315" t="s">
        <v>799</v>
      </c>
      <c r="H127" s="316">
        <v>76</v>
      </c>
      <c r="I127" s="316">
        <v>85</v>
      </c>
      <c r="J127" s="316">
        <v>58</v>
      </c>
      <c r="K127" s="317">
        <v>68</v>
      </c>
      <c r="AE127" s="315" t="s">
        <v>1205</v>
      </c>
      <c r="AF127" s="316">
        <v>52</v>
      </c>
      <c r="AG127" s="316">
        <v>60</v>
      </c>
      <c r="AH127" s="316">
        <v>38</v>
      </c>
      <c r="AI127" s="317">
        <v>46</v>
      </c>
    </row>
    <row r="128" spans="7:35">
      <c r="G128" s="315" t="s">
        <v>800</v>
      </c>
      <c r="H128" s="316">
        <v>66</v>
      </c>
      <c r="I128" s="316">
        <v>74</v>
      </c>
      <c r="J128" s="316">
        <v>51</v>
      </c>
      <c r="K128" s="317">
        <v>59</v>
      </c>
      <c r="AE128" s="315" t="s">
        <v>1207</v>
      </c>
      <c r="AF128" s="316">
        <v>43</v>
      </c>
      <c r="AG128" s="316">
        <v>50</v>
      </c>
      <c r="AH128" s="316">
        <v>32</v>
      </c>
      <c r="AI128" s="317">
        <v>38</v>
      </c>
    </row>
    <row r="129" spans="7:35">
      <c r="G129" s="315" t="s">
        <v>801</v>
      </c>
      <c r="H129" s="316">
        <v>60</v>
      </c>
      <c r="I129" s="316">
        <v>67</v>
      </c>
      <c r="J129" s="316">
        <v>46</v>
      </c>
      <c r="K129" s="317">
        <v>54</v>
      </c>
      <c r="AE129" s="315" t="s">
        <v>1209</v>
      </c>
      <c r="AF129" s="316">
        <v>40</v>
      </c>
      <c r="AG129" s="316">
        <v>46</v>
      </c>
      <c r="AH129" s="316">
        <v>30</v>
      </c>
      <c r="AI129" s="317">
        <v>36</v>
      </c>
    </row>
    <row r="130" spans="7:35">
      <c r="G130" s="315" t="s">
        <v>802</v>
      </c>
      <c r="H130" s="316">
        <v>52</v>
      </c>
      <c r="I130" s="316">
        <v>58</v>
      </c>
      <c r="J130" s="316">
        <v>40</v>
      </c>
      <c r="K130" s="317">
        <v>47</v>
      </c>
      <c r="AE130" s="315" t="s">
        <v>1211</v>
      </c>
      <c r="AF130" s="316">
        <v>37</v>
      </c>
      <c r="AG130" s="316">
        <v>42</v>
      </c>
      <c r="AH130" s="316">
        <v>27</v>
      </c>
      <c r="AI130" s="317">
        <v>33</v>
      </c>
    </row>
    <row r="131" spans="7:35" ht="12" thickBot="1">
      <c r="G131" s="315" t="s">
        <v>803</v>
      </c>
      <c r="H131" s="316">
        <v>45</v>
      </c>
      <c r="I131" s="316">
        <v>51</v>
      </c>
      <c r="J131" s="316">
        <v>35</v>
      </c>
      <c r="K131" s="317">
        <v>41</v>
      </c>
      <c r="AE131" s="312" t="s">
        <v>1213</v>
      </c>
      <c r="AF131" s="313">
        <v>34</v>
      </c>
      <c r="AG131" s="313">
        <v>39</v>
      </c>
      <c r="AH131" s="313">
        <v>25</v>
      </c>
      <c r="AI131" s="314">
        <v>30</v>
      </c>
    </row>
    <row r="132" spans="7:35">
      <c r="G132" s="315" t="s">
        <v>804</v>
      </c>
      <c r="H132" s="316">
        <v>39</v>
      </c>
      <c r="I132" s="316">
        <v>44</v>
      </c>
      <c r="J132" s="316">
        <v>31</v>
      </c>
      <c r="K132" s="317">
        <v>36</v>
      </c>
      <c r="AE132" s="306" t="s">
        <v>1215</v>
      </c>
      <c r="AF132" s="307">
        <v>129</v>
      </c>
      <c r="AG132" s="307">
        <v>145</v>
      </c>
      <c r="AH132" s="307">
        <v>101</v>
      </c>
      <c r="AI132" s="308">
        <v>116</v>
      </c>
    </row>
    <row r="133" spans="7:35">
      <c r="G133" s="315" t="s">
        <v>805</v>
      </c>
      <c r="H133" s="316">
        <v>34</v>
      </c>
      <c r="I133" s="316">
        <v>39</v>
      </c>
      <c r="J133" s="316">
        <v>27</v>
      </c>
      <c r="K133" s="317">
        <v>31</v>
      </c>
      <c r="AE133" s="315" t="s">
        <v>1217</v>
      </c>
      <c r="AF133" s="316">
        <v>117</v>
      </c>
      <c r="AG133" s="316">
        <v>131</v>
      </c>
      <c r="AH133" s="316">
        <v>91</v>
      </c>
      <c r="AI133" s="317">
        <v>105</v>
      </c>
    </row>
    <row r="134" spans="7:35" ht="12" thickBot="1">
      <c r="G134" s="312" t="s">
        <v>806</v>
      </c>
      <c r="H134" s="313">
        <v>29</v>
      </c>
      <c r="I134" s="313">
        <v>33</v>
      </c>
      <c r="J134" s="313">
        <v>23</v>
      </c>
      <c r="K134" s="314">
        <v>27</v>
      </c>
      <c r="AE134" s="315" t="s">
        <v>1219</v>
      </c>
      <c r="AF134" s="316">
        <v>108</v>
      </c>
      <c r="AG134" s="316">
        <v>121</v>
      </c>
      <c r="AH134" s="316">
        <v>84</v>
      </c>
      <c r="AI134" s="317">
        <v>97</v>
      </c>
    </row>
    <row r="135" spans="7:35">
      <c r="G135" s="306" t="s">
        <v>807</v>
      </c>
      <c r="H135" s="307">
        <v>76</v>
      </c>
      <c r="I135" s="307">
        <v>85</v>
      </c>
      <c r="J135" s="307">
        <v>59</v>
      </c>
      <c r="K135" s="308">
        <v>68</v>
      </c>
      <c r="AE135" s="315" t="s">
        <v>1221</v>
      </c>
      <c r="AF135" s="316">
        <v>97</v>
      </c>
      <c r="AG135" s="316">
        <v>109</v>
      </c>
      <c r="AH135" s="316">
        <v>76</v>
      </c>
      <c r="AI135" s="317">
        <v>88</v>
      </c>
    </row>
    <row r="136" spans="7:35" ht="12" thickBot="1">
      <c r="G136" s="315" t="s">
        <v>808</v>
      </c>
      <c r="H136" s="316">
        <v>67</v>
      </c>
      <c r="I136" s="316">
        <v>75</v>
      </c>
      <c r="J136" s="316">
        <v>52</v>
      </c>
      <c r="K136" s="317">
        <v>60</v>
      </c>
      <c r="AE136" s="312" t="s">
        <v>1223</v>
      </c>
      <c r="AF136" s="313">
        <v>87</v>
      </c>
      <c r="AG136" s="313">
        <v>97</v>
      </c>
      <c r="AH136" s="313">
        <v>68</v>
      </c>
      <c r="AI136" s="314">
        <v>78</v>
      </c>
    </row>
    <row r="137" spans="7:35">
      <c r="G137" s="315" t="s">
        <v>809</v>
      </c>
      <c r="H137" s="316">
        <v>61</v>
      </c>
      <c r="I137" s="316">
        <v>68</v>
      </c>
      <c r="J137" s="316">
        <v>47</v>
      </c>
      <c r="K137" s="317">
        <v>55</v>
      </c>
      <c r="AE137" s="306" t="s">
        <v>1225</v>
      </c>
      <c r="AF137" s="307">
        <v>120</v>
      </c>
      <c r="AG137" s="307">
        <v>134</v>
      </c>
      <c r="AH137" s="307">
        <v>94</v>
      </c>
      <c r="AI137" s="308">
        <v>109</v>
      </c>
    </row>
    <row r="138" spans="7:35" ht="12" thickBot="1">
      <c r="G138" s="312" t="s">
        <v>810</v>
      </c>
      <c r="H138" s="313">
        <v>53</v>
      </c>
      <c r="I138" s="313">
        <v>59</v>
      </c>
      <c r="J138" s="313">
        <v>42</v>
      </c>
      <c r="K138" s="314">
        <v>48</v>
      </c>
      <c r="AE138" s="315" t="s">
        <v>1227</v>
      </c>
      <c r="AF138" s="316">
        <v>110</v>
      </c>
      <c r="AG138" s="316">
        <v>123</v>
      </c>
      <c r="AH138" s="316">
        <v>87</v>
      </c>
      <c r="AI138" s="317">
        <v>100</v>
      </c>
    </row>
    <row r="139" spans="7:35">
      <c r="AE139" s="315" t="s">
        <v>1229</v>
      </c>
      <c r="AF139" s="316">
        <v>102</v>
      </c>
      <c r="AG139" s="316">
        <v>114</v>
      </c>
      <c r="AH139" s="316">
        <v>81</v>
      </c>
      <c r="AI139" s="317">
        <v>93</v>
      </c>
    </row>
    <row r="140" spans="7:35">
      <c r="AE140" s="315" t="s">
        <v>1231</v>
      </c>
      <c r="AF140" s="316">
        <v>97</v>
      </c>
      <c r="AG140" s="316">
        <v>108</v>
      </c>
      <c r="AH140" s="316">
        <v>76</v>
      </c>
      <c r="AI140" s="317">
        <v>88</v>
      </c>
    </row>
    <row r="141" spans="7:35">
      <c r="AE141" s="315" t="s">
        <v>1233</v>
      </c>
      <c r="AF141" s="316">
        <v>91</v>
      </c>
      <c r="AG141" s="316">
        <v>102</v>
      </c>
      <c r="AH141" s="316">
        <v>72</v>
      </c>
      <c r="AI141" s="317">
        <v>83</v>
      </c>
    </row>
    <row r="142" spans="7:35" ht="12" thickBot="1">
      <c r="AE142" s="312" t="s">
        <v>1235</v>
      </c>
      <c r="AF142" s="313">
        <v>82</v>
      </c>
      <c r="AG142" s="313">
        <v>91</v>
      </c>
      <c r="AH142" s="313">
        <v>65</v>
      </c>
      <c r="AI142" s="314">
        <v>74</v>
      </c>
    </row>
    <row r="143" spans="7:35">
      <c r="AE143" s="306" t="s">
        <v>1237</v>
      </c>
      <c r="AF143" s="307">
        <v>111</v>
      </c>
      <c r="AG143" s="307">
        <v>124</v>
      </c>
      <c r="AH143" s="307">
        <v>88</v>
      </c>
      <c r="AI143" s="308">
        <v>101</v>
      </c>
    </row>
    <row r="144" spans="7:35">
      <c r="AE144" s="315" t="s">
        <v>1239</v>
      </c>
      <c r="AF144" s="316">
        <v>101</v>
      </c>
      <c r="AG144" s="316">
        <v>113</v>
      </c>
      <c r="AH144" s="316">
        <v>80</v>
      </c>
      <c r="AI144" s="317">
        <v>92</v>
      </c>
    </row>
    <row r="145" spans="31:35">
      <c r="AE145" s="315" t="s">
        <v>1241</v>
      </c>
      <c r="AF145" s="316">
        <v>93</v>
      </c>
      <c r="AG145" s="316">
        <v>104</v>
      </c>
      <c r="AH145" s="316">
        <v>74</v>
      </c>
      <c r="AI145" s="317">
        <v>85</v>
      </c>
    </row>
    <row r="146" spans="31:35">
      <c r="AE146" s="315" t="s">
        <v>1243</v>
      </c>
      <c r="AF146" s="316">
        <v>87</v>
      </c>
      <c r="AG146" s="316">
        <v>97</v>
      </c>
      <c r="AH146" s="316">
        <v>69</v>
      </c>
      <c r="AI146" s="317">
        <v>79</v>
      </c>
    </row>
    <row r="147" spans="31:35" ht="12" thickBot="1">
      <c r="AE147" s="312" t="s">
        <v>1245</v>
      </c>
      <c r="AF147" s="313">
        <v>79</v>
      </c>
      <c r="AG147" s="313">
        <v>88</v>
      </c>
      <c r="AH147" s="313">
        <v>63</v>
      </c>
      <c r="AI147" s="314">
        <v>72</v>
      </c>
    </row>
    <row r="148" spans="31:35">
      <c r="AE148" s="306" t="s">
        <v>1247</v>
      </c>
      <c r="AF148" s="307">
        <v>104</v>
      </c>
      <c r="AG148" s="307">
        <v>115</v>
      </c>
      <c r="AH148" s="307">
        <v>82</v>
      </c>
      <c r="AI148" s="308">
        <v>94</v>
      </c>
    </row>
    <row r="149" spans="31:35">
      <c r="AE149" s="315" t="s">
        <v>1249</v>
      </c>
      <c r="AF149" s="316">
        <v>93</v>
      </c>
      <c r="AG149" s="316">
        <v>104</v>
      </c>
      <c r="AH149" s="316">
        <v>74</v>
      </c>
      <c r="AI149" s="317">
        <v>85</v>
      </c>
    </row>
    <row r="150" spans="31:35">
      <c r="AE150" s="315" t="s">
        <v>1251</v>
      </c>
      <c r="AF150" s="316">
        <v>88</v>
      </c>
      <c r="AG150" s="316">
        <v>98</v>
      </c>
      <c r="AH150" s="316">
        <v>70</v>
      </c>
      <c r="AI150" s="317">
        <v>80</v>
      </c>
    </row>
    <row r="151" spans="31:35">
      <c r="AE151" s="315" t="s">
        <v>1253</v>
      </c>
      <c r="AF151" s="316">
        <v>83</v>
      </c>
      <c r="AG151" s="316">
        <v>93</v>
      </c>
      <c r="AH151" s="316">
        <v>66</v>
      </c>
      <c r="AI151" s="317">
        <v>76</v>
      </c>
    </row>
    <row r="152" spans="31:35">
      <c r="AE152" s="315" t="s">
        <v>1255</v>
      </c>
      <c r="AF152" s="316">
        <v>78</v>
      </c>
      <c r="AG152" s="316">
        <v>87</v>
      </c>
      <c r="AH152" s="316">
        <v>62</v>
      </c>
      <c r="AI152" s="317">
        <v>71</v>
      </c>
    </row>
    <row r="153" spans="31:35">
      <c r="AE153" s="315" t="s">
        <v>1257</v>
      </c>
      <c r="AF153" s="316">
        <v>74</v>
      </c>
      <c r="AG153" s="316">
        <v>82</v>
      </c>
      <c r="AH153" s="316">
        <v>59</v>
      </c>
      <c r="AI153" s="317">
        <v>67</v>
      </c>
    </row>
    <row r="154" spans="31:35">
      <c r="AE154" s="315" t="s">
        <v>1259</v>
      </c>
      <c r="AF154" s="316">
        <v>68</v>
      </c>
      <c r="AG154" s="316">
        <v>76</v>
      </c>
      <c r="AH154" s="316">
        <v>55</v>
      </c>
      <c r="AI154" s="317">
        <v>62</v>
      </c>
    </row>
    <row r="155" spans="31:35">
      <c r="AE155" s="315" t="s">
        <v>1261</v>
      </c>
      <c r="AF155" s="316">
        <v>69</v>
      </c>
      <c r="AG155" s="316">
        <v>78</v>
      </c>
      <c r="AH155" s="316">
        <v>51</v>
      </c>
      <c r="AI155" s="317">
        <v>61</v>
      </c>
    </row>
    <row r="156" spans="31:35">
      <c r="AE156" s="315" t="s">
        <v>1263</v>
      </c>
      <c r="AF156" s="316">
        <v>65</v>
      </c>
      <c r="AG156" s="316">
        <v>74</v>
      </c>
      <c r="AH156" s="316">
        <v>48</v>
      </c>
      <c r="AI156" s="317">
        <v>57</v>
      </c>
    </row>
    <row r="157" spans="31:35">
      <c r="AE157" s="315" t="s">
        <v>1265</v>
      </c>
      <c r="AF157" s="316">
        <v>61</v>
      </c>
      <c r="AG157" s="316">
        <v>70</v>
      </c>
      <c r="AH157" s="316">
        <v>46</v>
      </c>
      <c r="AI157" s="317">
        <v>54</v>
      </c>
    </row>
    <row r="158" spans="31:35">
      <c r="AE158" s="315" t="s">
        <v>1267</v>
      </c>
      <c r="AF158" s="316">
        <v>57</v>
      </c>
      <c r="AG158" s="316">
        <v>65</v>
      </c>
      <c r="AH158" s="316">
        <v>43</v>
      </c>
      <c r="AI158" s="317">
        <v>51</v>
      </c>
    </row>
    <row r="159" spans="31:35">
      <c r="AE159" s="315" t="s">
        <v>1269</v>
      </c>
      <c r="AF159" s="316">
        <v>53</v>
      </c>
      <c r="AG159" s="316">
        <v>61</v>
      </c>
      <c r="AH159" s="316">
        <v>40</v>
      </c>
      <c r="AI159" s="317">
        <v>48</v>
      </c>
    </row>
    <row r="160" spans="31:35">
      <c r="AE160" s="315" t="s">
        <v>1271</v>
      </c>
      <c r="AF160" s="316">
        <v>49</v>
      </c>
      <c r="AG160" s="316">
        <v>56</v>
      </c>
      <c r="AH160" s="316">
        <v>37</v>
      </c>
      <c r="AI160" s="317">
        <v>44</v>
      </c>
    </row>
    <row r="161" spans="31:35">
      <c r="AE161" s="315" t="s">
        <v>1273</v>
      </c>
      <c r="AF161" s="316">
        <v>45</v>
      </c>
      <c r="AG161" s="316">
        <v>51</v>
      </c>
      <c r="AH161" s="316">
        <v>34</v>
      </c>
      <c r="AI161" s="317">
        <v>40</v>
      </c>
    </row>
    <row r="162" spans="31:35">
      <c r="AE162" s="315" t="s">
        <v>1275</v>
      </c>
      <c r="AF162" s="316">
        <v>42</v>
      </c>
      <c r="AG162" s="316">
        <v>47</v>
      </c>
      <c r="AH162" s="316">
        <v>31</v>
      </c>
      <c r="AI162" s="317">
        <v>37</v>
      </c>
    </row>
    <row r="163" spans="31:35">
      <c r="AE163" s="315" t="s">
        <v>1277</v>
      </c>
      <c r="AF163" s="316">
        <v>38</v>
      </c>
      <c r="AG163" s="316">
        <v>43</v>
      </c>
      <c r="AH163" s="316">
        <v>29</v>
      </c>
      <c r="AI163" s="317">
        <v>34</v>
      </c>
    </row>
    <row r="164" spans="31:35">
      <c r="AE164" s="315" t="s">
        <v>1279</v>
      </c>
      <c r="AF164" s="316">
        <v>32</v>
      </c>
      <c r="AG164" s="316">
        <v>36</v>
      </c>
      <c r="AH164" s="316">
        <v>24</v>
      </c>
      <c r="AI164" s="317">
        <v>29</v>
      </c>
    </row>
    <row r="165" spans="31:35" ht="12" thickBot="1">
      <c r="AE165" s="315" t="s">
        <v>1281</v>
      </c>
      <c r="AF165" s="316">
        <v>26</v>
      </c>
      <c r="AG165" s="316">
        <v>30</v>
      </c>
      <c r="AH165" s="316">
        <v>20</v>
      </c>
      <c r="AI165" s="317">
        <v>24</v>
      </c>
    </row>
    <row r="166" spans="31:35">
      <c r="AE166" s="306" t="s">
        <v>1283</v>
      </c>
      <c r="AF166" s="307">
        <v>97</v>
      </c>
      <c r="AG166" s="307">
        <v>108</v>
      </c>
      <c r="AH166" s="307">
        <v>79</v>
      </c>
      <c r="AI166" s="308">
        <v>90</v>
      </c>
    </row>
    <row r="167" spans="31:35">
      <c r="AE167" s="315" t="s">
        <v>1285</v>
      </c>
      <c r="AF167" s="316">
        <v>88</v>
      </c>
      <c r="AG167" s="316">
        <v>97</v>
      </c>
      <c r="AH167" s="316">
        <v>71</v>
      </c>
      <c r="AI167" s="317">
        <v>81</v>
      </c>
    </row>
    <row r="168" spans="31:35">
      <c r="AE168" s="315" t="s">
        <v>1287</v>
      </c>
      <c r="AF168" s="316">
        <v>81</v>
      </c>
      <c r="AG168" s="316">
        <v>89</v>
      </c>
      <c r="AH168" s="316">
        <v>66</v>
      </c>
      <c r="AI168" s="317">
        <v>74</v>
      </c>
    </row>
    <row r="169" spans="31:35">
      <c r="AE169" s="315" t="s">
        <v>1289</v>
      </c>
      <c r="AF169" s="316">
        <v>70</v>
      </c>
      <c r="AG169" s="316">
        <v>78</v>
      </c>
      <c r="AH169" s="316">
        <v>57</v>
      </c>
      <c r="AI169" s="317">
        <v>65</v>
      </c>
    </row>
    <row r="170" spans="31:35">
      <c r="AE170" s="315" t="s">
        <v>1291</v>
      </c>
      <c r="AF170" s="316">
        <v>64</v>
      </c>
      <c r="AG170" s="316">
        <v>70</v>
      </c>
      <c r="AH170" s="316">
        <v>52</v>
      </c>
      <c r="AI170" s="317">
        <v>59</v>
      </c>
    </row>
    <row r="171" spans="31:35">
      <c r="AE171" s="315" t="s">
        <v>1293</v>
      </c>
      <c r="AF171" s="316">
        <v>57</v>
      </c>
      <c r="AG171" s="316">
        <v>63</v>
      </c>
      <c r="AH171" s="316">
        <v>47</v>
      </c>
      <c r="AI171" s="317">
        <v>53</v>
      </c>
    </row>
    <row r="172" spans="31:35">
      <c r="AE172" s="315" t="s">
        <v>1295</v>
      </c>
      <c r="AF172" s="316">
        <v>54</v>
      </c>
      <c r="AG172" s="316">
        <v>60</v>
      </c>
      <c r="AH172" s="316">
        <v>44</v>
      </c>
      <c r="AI172" s="317">
        <v>50</v>
      </c>
    </row>
    <row r="173" spans="31:35">
      <c r="AE173" s="315" t="s">
        <v>1297</v>
      </c>
      <c r="AF173" s="316">
        <v>46</v>
      </c>
      <c r="AG173" s="316">
        <v>51</v>
      </c>
      <c r="AH173" s="316">
        <v>38</v>
      </c>
      <c r="AI173" s="317">
        <v>43</v>
      </c>
    </row>
    <row r="174" spans="31:35" ht="12" thickBot="1">
      <c r="AE174" s="312" t="s">
        <v>1299</v>
      </c>
      <c r="AF174" s="313">
        <v>39</v>
      </c>
      <c r="AG174" s="313">
        <v>44</v>
      </c>
      <c r="AH174" s="313">
        <v>33</v>
      </c>
      <c r="AI174" s="314">
        <v>37</v>
      </c>
    </row>
    <row r="175" spans="31:35">
      <c r="AE175" s="306" t="s">
        <v>1301</v>
      </c>
      <c r="AF175" s="307">
        <v>82</v>
      </c>
      <c r="AG175" s="307">
        <v>92</v>
      </c>
      <c r="AH175" s="307">
        <v>63</v>
      </c>
      <c r="AI175" s="308">
        <v>73</v>
      </c>
    </row>
    <row r="176" spans="31:35">
      <c r="AE176" s="315" t="s">
        <v>1303</v>
      </c>
      <c r="AF176" s="316">
        <v>76</v>
      </c>
      <c r="AG176" s="316">
        <v>85</v>
      </c>
      <c r="AH176" s="316">
        <v>58</v>
      </c>
      <c r="AI176" s="317">
        <v>68</v>
      </c>
    </row>
    <row r="177" spans="31:35">
      <c r="AE177" s="315" t="s">
        <v>1305</v>
      </c>
      <c r="AF177" s="316">
        <v>66</v>
      </c>
      <c r="AG177" s="316">
        <v>74</v>
      </c>
      <c r="AH177" s="316">
        <v>51</v>
      </c>
      <c r="AI177" s="317">
        <v>59</v>
      </c>
    </row>
    <row r="178" spans="31:35">
      <c r="AE178" s="315" t="s">
        <v>1307</v>
      </c>
      <c r="AF178" s="316">
        <v>60</v>
      </c>
      <c r="AG178" s="316">
        <v>67</v>
      </c>
      <c r="AH178" s="316">
        <v>46</v>
      </c>
      <c r="AI178" s="317">
        <v>54</v>
      </c>
    </row>
    <row r="179" spans="31:35">
      <c r="AE179" s="315" t="s">
        <v>1309</v>
      </c>
      <c r="AF179" s="316">
        <v>56</v>
      </c>
      <c r="AG179" s="316">
        <v>63</v>
      </c>
      <c r="AH179" s="316">
        <v>43</v>
      </c>
      <c r="AI179" s="317">
        <v>50</v>
      </c>
    </row>
    <row r="180" spans="31:35">
      <c r="AE180" s="315" t="s">
        <v>1311</v>
      </c>
      <c r="AF180" s="316">
        <v>51</v>
      </c>
      <c r="AG180" s="316">
        <v>58</v>
      </c>
      <c r="AH180" s="316">
        <v>40</v>
      </c>
      <c r="AI180" s="317">
        <v>46</v>
      </c>
    </row>
    <row r="181" spans="31:35">
      <c r="AE181" s="315" t="s">
        <v>1313</v>
      </c>
      <c r="AF181" s="316">
        <v>46</v>
      </c>
      <c r="AG181" s="316">
        <v>52</v>
      </c>
      <c r="AH181" s="316">
        <v>36</v>
      </c>
      <c r="AI181" s="317">
        <v>42</v>
      </c>
    </row>
    <row r="182" spans="31:35">
      <c r="AE182" s="315" t="s">
        <v>1315</v>
      </c>
      <c r="AF182" s="316">
        <v>42</v>
      </c>
      <c r="AG182" s="316">
        <v>48</v>
      </c>
      <c r="AH182" s="316">
        <v>33</v>
      </c>
      <c r="AI182" s="317">
        <v>38</v>
      </c>
    </row>
    <row r="183" spans="31:35">
      <c r="AE183" s="315" t="s">
        <v>1317</v>
      </c>
      <c r="AF183" s="316">
        <v>39</v>
      </c>
      <c r="AG183" s="316">
        <v>44</v>
      </c>
      <c r="AH183" s="316">
        <v>31</v>
      </c>
      <c r="AI183" s="317">
        <v>36</v>
      </c>
    </row>
    <row r="184" spans="31:35">
      <c r="AE184" s="315" t="s">
        <v>1319</v>
      </c>
      <c r="AF184" s="316">
        <v>34</v>
      </c>
      <c r="AG184" s="316">
        <v>39</v>
      </c>
      <c r="AH184" s="316">
        <v>27</v>
      </c>
      <c r="AI184" s="317">
        <v>31</v>
      </c>
    </row>
    <row r="185" spans="31:35" ht="12" thickBot="1">
      <c r="AE185" s="312" t="s">
        <v>1321</v>
      </c>
      <c r="AF185" s="313">
        <v>29</v>
      </c>
      <c r="AG185" s="313">
        <v>33</v>
      </c>
      <c r="AH185" s="313">
        <v>23</v>
      </c>
      <c r="AI185" s="314">
        <v>27</v>
      </c>
    </row>
    <row r="186" spans="31:35">
      <c r="AE186" s="306" t="s">
        <v>1323</v>
      </c>
      <c r="AF186" s="307">
        <v>76</v>
      </c>
      <c r="AG186" s="307">
        <v>85</v>
      </c>
      <c r="AH186" s="307">
        <v>59</v>
      </c>
      <c r="AI186" s="308">
        <v>68</v>
      </c>
    </row>
    <row r="187" spans="31:35">
      <c r="AE187" s="315" t="s">
        <v>1325</v>
      </c>
      <c r="AF187" s="316">
        <v>67</v>
      </c>
      <c r="AG187" s="316">
        <v>75</v>
      </c>
      <c r="AH187" s="316">
        <v>52</v>
      </c>
      <c r="AI187" s="317">
        <v>60</v>
      </c>
    </row>
    <row r="188" spans="31:35">
      <c r="AE188" s="315" t="s">
        <v>1327</v>
      </c>
      <c r="AF188" s="316">
        <v>61</v>
      </c>
      <c r="AG188" s="316">
        <v>68</v>
      </c>
      <c r="AH188" s="316">
        <v>47</v>
      </c>
      <c r="AI188" s="317">
        <v>55</v>
      </c>
    </row>
    <row r="189" spans="31:35" ht="12" thickBot="1">
      <c r="AE189" s="312" t="s">
        <v>1329</v>
      </c>
      <c r="AF189" s="313">
        <v>53</v>
      </c>
      <c r="AG189" s="313">
        <v>59</v>
      </c>
      <c r="AH189" s="313">
        <v>42</v>
      </c>
      <c r="AI189" s="314">
        <v>48</v>
      </c>
    </row>
    <row r="190" spans="31:35"/>
  </sheetData>
  <phoneticPr fontId="0" type="noConversion"/>
  <pageMargins left="0.75" right="0.75" top="1" bottom="1" header="0.4921259845" footer="0.4921259845"/>
  <pageSetup paperSize="9" scale="50" orientation="portrait" horizontalDpi="4294967292" verticalDpi="4294967292" r:id="rId1"/>
  <headerFooter alignWithMargins="0">
    <oddFooter>&amp;LLe &amp;D&amp;CProfilés &amp;A du &amp;F&amp;RPage &amp;P sur &amp;N</oddFooter>
  </headerFooter>
  <colBreaks count="3" manualBreakCount="3">
    <brk id="24" max="1048575" man="1"/>
    <brk id="47" max="1048575" man="1"/>
    <brk id="72" max="1048575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9"/>
  <dimension ref="A1:AM93"/>
  <sheetViews>
    <sheetView workbookViewId="0">
      <selection activeCell="L9" sqref="L9"/>
    </sheetView>
  </sheetViews>
  <sheetFormatPr defaultColWidth="9.140625" defaultRowHeight="12.75"/>
  <cols>
    <col min="1" max="1" width="8.140625" style="720" customWidth="1"/>
    <col min="2" max="5" width="10.28515625" style="720" customWidth="1"/>
    <col min="6" max="6" width="9.140625" style="720"/>
    <col min="7" max="7" width="14.140625" style="720" customWidth="1"/>
    <col min="8" max="8" width="10.85546875" style="720" customWidth="1"/>
    <col min="9" max="9" width="9.7109375" style="720" customWidth="1"/>
    <col min="10" max="10" width="12" style="720" customWidth="1"/>
    <col min="11" max="11" width="11.5703125" style="720" customWidth="1"/>
    <col min="12" max="12" width="11.28515625" style="720" customWidth="1"/>
    <col min="13" max="13" width="10.42578125" style="720" customWidth="1"/>
    <col min="14" max="14" width="10" style="720" customWidth="1"/>
    <col min="15" max="16" width="4.140625" style="720" customWidth="1"/>
    <col min="17" max="18" width="6.140625" style="720" customWidth="1"/>
    <col min="19" max="19" width="6" style="720" customWidth="1"/>
    <col min="20" max="20" width="7.42578125" style="720" customWidth="1"/>
    <col min="21" max="21" width="7.28515625" style="720" customWidth="1"/>
    <col min="22" max="22" width="6" style="720" customWidth="1"/>
    <col min="23" max="23" width="9" style="720" customWidth="1"/>
    <col min="24" max="26" width="6.85546875" style="720" customWidth="1"/>
    <col min="27" max="16384" width="9.140625" style="720"/>
  </cols>
  <sheetData>
    <row r="1" spans="1:39" ht="13.5" thickBot="1"/>
    <row r="2" spans="1:39" ht="16.5" customHeight="1" thickBot="1">
      <c r="A2" s="1739" t="s">
        <v>121</v>
      </c>
      <c r="B2" s="1740"/>
      <c r="C2" s="1740"/>
      <c r="D2" s="1740"/>
      <c r="E2" s="1740"/>
      <c r="F2" s="1740"/>
      <c r="G2" s="1740"/>
      <c r="H2" s="1740"/>
      <c r="I2" s="1740"/>
      <c r="J2" s="1740"/>
      <c r="K2" s="1741"/>
      <c r="L2" s="721"/>
    </row>
    <row r="3" spans="1:39" ht="15.75">
      <c r="A3" s="722"/>
      <c r="B3" s="723"/>
      <c r="C3" s="723"/>
      <c r="D3" s="723"/>
      <c r="E3" s="724"/>
      <c r="G3" s="725"/>
      <c r="H3" s="726"/>
      <c r="I3" s="726"/>
      <c r="J3" s="726"/>
      <c r="K3" s="727"/>
      <c r="L3" s="726"/>
      <c r="M3" s="728"/>
      <c r="N3" s="728"/>
      <c r="O3" s="728"/>
      <c r="P3" s="728"/>
      <c r="Q3" s="728"/>
      <c r="R3" s="728"/>
      <c r="S3" s="728"/>
      <c r="T3" s="728"/>
      <c r="U3" s="728"/>
      <c r="V3" s="728"/>
      <c r="W3" s="728"/>
      <c r="X3" s="728"/>
      <c r="Y3" s="728"/>
      <c r="Z3" s="728"/>
      <c r="AA3" s="729"/>
      <c r="AB3" s="729"/>
      <c r="AC3" s="729"/>
      <c r="AD3" s="729"/>
      <c r="AE3" s="729"/>
      <c r="AF3" s="729"/>
      <c r="AG3" s="729"/>
      <c r="AH3" s="729"/>
      <c r="AI3" s="729"/>
      <c r="AJ3" s="729"/>
      <c r="AK3" s="729"/>
      <c r="AL3" s="729"/>
      <c r="AM3" s="729"/>
    </row>
    <row r="4" spans="1:39" ht="15.75">
      <c r="A4" s="722" t="s">
        <v>127</v>
      </c>
      <c r="B4" s="722"/>
      <c r="C4" s="722"/>
      <c r="D4" s="722"/>
      <c r="E4" s="722"/>
      <c r="F4" s="730"/>
      <c r="G4" s="731"/>
      <c r="H4" s="732"/>
      <c r="I4" s="732"/>
      <c r="J4" s="732"/>
      <c r="K4" s="733"/>
      <c r="L4" s="734" t="s">
        <v>102</v>
      </c>
      <c r="M4" s="728"/>
      <c r="N4" s="728"/>
      <c r="O4" s="728"/>
      <c r="P4" s="728"/>
      <c r="Q4" s="728"/>
      <c r="R4" s="728"/>
      <c r="S4" s="728"/>
      <c r="T4" s="728"/>
      <c r="U4" s="728"/>
      <c r="V4" s="728"/>
      <c r="W4" s="728"/>
      <c r="X4" s="728"/>
      <c r="Y4" s="728"/>
      <c r="Z4" s="728"/>
      <c r="AA4" s="729"/>
      <c r="AB4" s="729"/>
      <c r="AC4" s="729"/>
      <c r="AD4" s="729"/>
      <c r="AE4" s="729"/>
      <c r="AF4" s="729"/>
      <c r="AG4" s="729"/>
      <c r="AH4" s="729"/>
      <c r="AI4" s="729"/>
      <c r="AJ4" s="729"/>
      <c r="AK4" s="729"/>
      <c r="AL4" s="729"/>
      <c r="AM4" s="729"/>
    </row>
    <row r="5" spans="1:39" ht="15.75">
      <c r="A5" s="735"/>
      <c r="B5" s="723"/>
      <c r="C5" s="723"/>
      <c r="D5" s="723"/>
      <c r="E5" s="724"/>
      <c r="F5" s="736"/>
      <c r="G5" s="725"/>
      <c r="H5" s="726"/>
      <c r="I5" s="726"/>
      <c r="J5" s="726"/>
      <c r="K5" s="737" t="s">
        <v>103</v>
      </c>
      <c r="L5" s="738"/>
      <c r="M5" s="728"/>
      <c r="N5" s="728"/>
      <c r="O5" s="728"/>
      <c r="P5" s="728"/>
      <c r="Q5" s="728"/>
      <c r="R5" s="728"/>
      <c r="S5" s="728"/>
      <c r="T5" s="728"/>
      <c r="U5" s="728"/>
      <c r="V5" s="728"/>
      <c r="W5" s="728"/>
      <c r="X5" s="728"/>
      <c r="Y5" s="728"/>
      <c r="Z5" s="728"/>
      <c r="AA5" s="729"/>
      <c r="AB5" s="729"/>
      <c r="AC5" s="729"/>
      <c r="AD5" s="729"/>
      <c r="AE5" s="729"/>
      <c r="AF5" s="729"/>
      <c r="AG5" s="729"/>
      <c r="AH5" s="729"/>
      <c r="AI5" s="729"/>
      <c r="AJ5" s="729"/>
      <c r="AK5" s="729"/>
      <c r="AL5" s="729"/>
      <c r="AM5" s="729"/>
    </row>
    <row r="6" spans="1:39" ht="15.75">
      <c r="A6" s="735"/>
      <c r="B6" s="723"/>
      <c r="C6" s="723"/>
      <c r="D6" s="723"/>
      <c r="E6" s="724"/>
      <c r="F6" s="736"/>
      <c r="G6" s="725"/>
      <c r="H6" s="726"/>
      <c r="I6" s="726"/>
      <c r="J6" s="726"/>
      <c r="K6" s="739"/>
      <c r="L6" s="740">
        <v>2100000</v>
      </c>
      <c r="M6" s="722"/>
      <c r="N6" s="722"/>
      <c r="O6" s="722"/>
      <c r="P6" s="722"/>
      <c r="Q6" s="722"/>
      <c r="R6" s="722"/>
      <c r="S6" s="722"/>
      <c r="T6" s="722"/>
      <c r="U6" s="722"/>
      <c r="V6" s="722"/>
      <c r="W6" s="722"/>
      <c r="X6" s="722"/>
      <c r="Y6" s="722"/>
      <c r="Z6" s="728"/>
      <c r="AA6" s="729"/>
      <c r="AB6" s="729"/>
      <c r="AC6" s="729"/>
      <c r="AD6" s="729"/>
      <c r="AE6" s="729"/>
      <c r="AF6" s="729"/>
      <c r="AG6" s="729"/>
      <c r="AH6" s="729"/>
      <c r="AI6" s="729"/>
      <c r="AJ6" s="729"/>
      <c r="AK6" s="729"/>
      <c r="AL6" s="729"/>
      <c r="AM6" s="729"/>
    </row>
    <row r="7" spans="1:39">
      <c r="A7" s="741" t="s">
        <v>49</v>
      </c>
      <c r="B7" s="742" t="s">
        <v>50</v>
      </c>
      <c r="C7" s="742"/>
      <c r="D7" s="742" t="s">
        <v>51</v>
      </c>
      <c r="E7" s="742"/>
      <c r="F7" s="743" t="s">
        <v>52</v>
      </c>
      <c r="G7" s="744" t="s">
        <v>53</v>
      </c>
      <c r="H7" s="745" t="s">
        <v>54</v>
      </c>
      <c r="I7" s="745"/>
      <c r="J7" s="744" t="s">
        <v>55</v>
      </c>
      <c r="K7" s="746"/>
      <c r="L7" s="747" t="s">
        <v>56</v>
      </c>
      <c r="M7" s="748"/>
      <c r="N7" s="748"/>
      <c r="O7" s="748"/>
      <c r="P7" s="748"/>
      <c r="Q7" s="749"/>
      <c r="R7" s="749"/>
      <c r="S7" s="749"/>
      <c r="T7" s="749"/>
      <c r="U7" s="749"/>
      <c r="V7" s="749"/>
      <c r="W7" s="749"/>
      <c r="X7" s="749"/>
      <c r="Y7" s="749"/>
      <c r="Z7" s="729"/>
      <c r="AA7" s="729"/>
      <c r="AB7" s="729"/>
      <c r="AC7" s="729"/>
      <c r="AD7" s="729"/>
      <c r="AE7" s="729"/>
      <c r="AF7" s="729"/>
      <c r="AG7" s="729"/>
      <c r="AH7" s="729"/>
      <c r="AI7" s="729"/>
      <c r="AJ7" s="729"/>
      <c r="AK7" s="729"/>
      <c r="AL7" s="729"/>
      <c r="AM7" s="729"/>
    </row>
    <row r="8" spans="1:39">
      <c r="A8" s="750" t="s">
        <v>57</v>
      </c>
      <c r="B8" s="751" t="s">
        <v>58</v>
      </c>
      <c r="C8" s="751" t="s">
        <v>59</v>
      </c>
      <c r="D8" s="751" t="s">
        <v>60</v>
      </c>
      <c r="E8" s="751" t="s">
        <v>61</v>
      </c>
      <c r="F8" s="752" t="s">
        <v>62</v>
      </c>
      <c r="G8" s="753" t="s">
        <v>63</v>
      </c>
      <c r="H8" s="754" t="s">
        <v>64</v>
      </c>
      <c r="I8" s="754" t="s">
        <v>601</v>
      </c>
      <c r="J8" s="754" t="s">
        <v>601</v>
      </c>
      <c r="K8" s="755"/>
      <c r="L8" s="756" t="s">
        <v>65</v>
      </c>
      <c r="M8" s="749"/>
      <c r="N8" s="749"/>
      <c r="O8" s="749"/>
      <c r="P8" s="749"/>
      <c r="Q8" s="749"/>
      <c r="R8" s="749"/>
      <c r="S8" s="749"/>
      <c r="T8" s="749"/>
      <c r="U8" s="749"/>
      <c r="V8" s="749"/>
      <c r="W8" s="749"/>
      <c r="X8" s="749"/>
      <c r="Y8" s="749"/>
      <c r="Z8" s="729"/>
      <c r="AA8" s="729"/>
      <c r="AB8" s="729"/>
      <c r="AC8" s="729"/>
      <c r="AD8" s="729"/>
      <c r="AE8" s="729"/>
      <c r="AF8" s="729"/>
      <c r="AG8" s="729"/>
      <c r="AH8" s="729"/>
      <c r="AI8" s="729"/>
      <c r="AJ8" s="729"/>
      <c r="AK8" s="729"/>
      <c r="AL8" s="729"/>
      <c r="AM8" s="729"/>
    </row>
    <row r="9" spans="1:39">
      <c r="A9" s="757">
        <v>1</v>
      </c>
      <c r="B9" s="758">
        <v>200</v>
      </c>
      <c r="C9" s="759">
        <f t="shared" ref="C9:C14" si="0">B9*10</f>
        <v>2000</v>
      </c>
      <c r="D9" s="760">
        <v>2000</v>
      </c>
      <c r="E9" s="760">
        <v>0</v>
      </c>
      <c r="F9" s="761">
        <f t="shared" ref="F9:F14" si="1">B9*(D9+E9)/2000</f>
        <v>200</v>
      </c>
      <c r="G9" s="762">
        <v>9.6</v>
      </c>
      <c r="H9" s="763">
        <v>300</v>
      </c>
      <c r="I9" s="764">
        <f t="shared" ref="I9:I14" si="2">G9*1000/H9</f>
        <v>32</v>
      </c>
      <c r="J9" s="764">
        <v>8</v>
      </c>
      <c r="K9" s="711"/>
      <c r="L9" s="765">
        <f t="shared" ref="L9:L14" si="3">$F9*$G9*$G9*$G9*$G9*10000000/(384*$L$6*J9)</f>
        <v>2633.1428571428569</v>
      </c>
      <c r="M9" s="766">
        <f>L9/4</f>
        <v>658.28571428571422</v>
      </c>
      <c r="N9" s="766"/>
      <c r="O9" s="766">
        <f>L9/2</f>
        <v>1316.5714285714284</v>
      </c>
      <c r="P9" s="766"/>
      <c r="Q9" s="721"/>
      <c r="R9" s="721"/>
      <c r="S9" s="721"/>
      <c r="T9" s="767"/>
      <c r="U9" s="768"/>
      <c r="V9" s="768"/>
      <c r="W9" s="721"/>
      <c r="X9" s="721"/>
      <c r="Y9" s="721"/>
      <c r="Z9" s="729"/>
      <c r="AA9" s="729"/>
      <c r="AB9" s="768"/>
      <c r="AC9" s="768"/>
      <c r="AD9" s="729"/>
      <c r="AE9" s="729"/>
      <c r="AF9" s="729"/>
      <c r="AG9" s="729"/>
      <c r="AH9" s="729"/>
      <c r="AI9" s="729"/>
      <c r="AJ9" s="729"/>
      <c r="AK9" s="729"/>
      <c r="AL9" s="729"/>
      <c r="AM9" s="729"/>
    </row>
    <row r="10" spans="1:39">
      <c r="A10" s="757">
        <v>2</v>
      </c>
      <c r="B10" s="1654">
        <v>800</v>
      </c>
      <c r="C10" s="759">
        <f t="shared" si="0"/>
        <v>8000</v>
      </c>
      <c r="D10" s="760">
        <v>2000</v>
      </c>
      <c r="E10" s="760">
        <f>D10</f>
        <v>2000</v>
      </c>
      <c r="F10" s="761">
        <f t="shared" si="1"/>
        <v>1600</v>
      </c>
      <c r="G10" s="762">
        <v>8</v>
      </c>
      <c r="H10" s="769">
        <v>300</v>
      </c>
      <c r="I10" s="770">
        <f t="shared" si="2"/>
        <v>26.666666666666668</v>
      </c>
      <c r="J10" s="764">
        <f>I10</f>
        <v>26.666666666666668</v>
      </c>
      <c r="K10" s="711"/>
      <c r="L10" s="765">
        <f t="shared" si="3"/>
        <v>3047.6190476190477</v>
      </c>
      <c r="M10" s="766"/>
      <c r="N10" s="766"/>
      <c r="O10" s="766"/>
      <c r="P10" s="766"/>
      <c r="Q10" s="721"/>
      <c r="R10" s="721"/>
      <c r="S10" s="721"/>
      <c r="T10" s="767"/>
      <c r="U10" s="768"/>
      <c r="V10" s="768"/>
      <c r="W10" s="721"/>
      <c r="X10" s="721"/>
      <c r="Y10" s="721"/>
      <c r="Z10" s="729"/>
      <c r="AA10" s="729"/>
      <c r="AB10" s="768"/>
      <c r="AC10" s="768"/>
      <c r="AD10" s="729"/>
      <c r="AE10" s="729"/>
      <c r="AF10" s="729"/>
      <c r="AG10" s="729"/>
      <c r="AH10" s="729"/>
      <c r="AI10" s="729"/>
      <c r="AJ10" s="729"/>
      <c r="AK10" s="729"/>
      <c r="AL10" s="729"/>
      <c r="AM10" s="729"/>
    </row>
    <row r="11" spans="1:39">
      <c r="A11" s="757">
        <v>3</v>
      </c>
      <c r="B11" s="648">
        <v>200</v>
      </c>
      <c r="C11" s="645">
        <f t="shared" si="0"/>
        <v>2000</v>
      </c>
      <c r="D11" s="647">
        <f>17500/2</f>
        <v>8750</v>
      </c>
      <c r="E11" s="647">
        <f>D11</f>
        <v>8750</v>
      </c>
      <c r="F11" s="648">
        <f t="shared" si="1"/>
        <v>1750</v>
      </c>
      <c r="G11" s="657">
        <v>18.75</v>
      </c>
      <c r="H11" s="769">
        <f>IF(G11&gt;2.99999,300,200)</f>
        <v>300</v>
      </c>
      <c r="I11" s="764">
        <f t="shared" si="2"/>
        <v>62.5</v>
      </c>
      <c r="J11" s="764">
        <f>I11</f>
        <v>62.5</v>
      </c>
      <c r="K11" s="711"/>
      <c r="L11" s="765">
        <f t="shared" si="3"/>
        <v>42915.34423828125</v>
      </c>
      <c r="M11" s="766"/>
      <c r="N11" s="766"/>
      <c r="O11" s="766"/>
      <c r="P11" s="766"/>
      <c r="Q11" s="721"/>
      <c r="R11" s="721"/>
      <c r="S11" s="721"/>
      <c r="T11" s="767"/>
      <c r="U11" s="768"/>
      <c r="V11" s="768"/>
      <c r="W11" s="721"/>
      <c r="X11" s="721"/>
      <c r="Y11" s="721"/>
      <c r="Z11" s="729"/>
      <c r="AA11" s="729"/>
      <c r="AB11" s="768"/>
      <c r="AC11" s="771"/>
      <c r="AD11" s="729"/>
      <c r="AE11" s="729"/>
      <c r="AF11" s="729"/>
      <c r="AG11" s="729"/>
      <c r="AH11" s="729"/>
      <c r="AI11" s="729"/>
      <c r="AJ11" s="729"/>
      <c r="AK11" s="729"/>
      <c r="AL11" s="729"/>
      <c r="AM11" s="729"/>
    </row>
    <row r="12" spans="1:39">
      <c r="A12" s="757">
        <v>4</v>
      </c>
      <c r="B12" s="648">
        <v>200</v>
      </c>
      <c r="C12" s="645">
        <f t="shared" si="0"/>
        <v>2000</v>
      </c>
      <c r="D12" s="647">
        <v>3500</v>
      </c>
      <c r="E12" s="647">
        <f>D12</f>
        <v>3500</v>
      </c>
      <c r="F12" s="648">
        <f t="shared" si="1"/>
        <v>700</v>
      </c>
      <c r="G12" s="657">
        <f>D11/1000</f>
        <v>8.75</v>
      </c>
      <c r="H12" s="769">
        <f>IF(G12&gt;2.99999,300,200)</f>
        <v>300</v>
      </c>
      <c r="I12" s="764">
        <f t="shared" si="2"/>
        <v>29.166666666666668</v>
      </c>
      <c r="J12" s="764">
        <f>I12</f>
        <v>29.166666666666668</v>
      </c>
      <c r="K12" s="711"/>
      <c r="L12" s="765">
        <f t="shared" si="3"/>
        <v>1744.5882161458333</v>
      </c>
      <c r="M12" s="766"/>
      <c r="N12" s="766"/>
      <c r="O12" s="766"/>
      <c r="P12" s="766"/>
      <c r="Q12" s="721"/>
      <c r="R12" s="721"/>
      <c r="S12" s="721"/>
      <c r="T12" s="767"/>
      <c r="U12" s="768"/>
      <c r="V12" s="768"/>
      <c r="W12" s="721"/>
      <c r="X12" s="721"/>
      <c r="Y12" s="721"/>
      <c r="Z12" s="729"/>
      <c r="AA12" s="729"/>
      <c r="AB12" s="729"/>
      <c r="AC12" s="729"/>
      <c r="AD12" s="729"/>
      <c r="AE12" s="729"/>
      <c r="AF12" s="729"/>
      <c r="AG12" s="729"/>
      <c r="AH12" s="729"/>
      <c r="AI12" s="729"/>
      <c r="AJ12" s="729"/>
      <c r="AK12" s="729"/>
      <c r="AL12" s="729"/>
      <c r="AM12" s="729"/>
    </row>
    <row r="13" spans="1:39">
      <c r="A13" s="757">
        <v>5</v>
      </c>
      <c r="B13" s="758">
        <v>0</v>
      </c>
      <c r="C13" s="759">
        <f t="shared" si="0"/>
        <v>0</v>
      </c>
      <c r="D13" s="760">
        <v>1500</v>
      </c>
      <c r="E13" s="760">
        <v>1500</v>
      </c>
      <c r="F13" s="761">
        <f t="shared" si="1"/>
        <v>0</v>
      </c>
      <c r="G13" s="762">
        <v>2.1</v>
      </c>
      <c r="H13" s="769">
        <f>IF(G13&gt;2.99999,300,200)</f>
        <v>200</v>
      </c>
      <c r="I13" s="764">
        <f t="shared" si="2"/>
        <v>10.5</v>
      </c>
      <c r="J13" s="764">
        <f>I13</f>
        <v>10.5</v>
      </c>
      <c r="K13" s="711"/>
      <c r="L13" s="765">
        <f t="shared" si="3"/>
        <v>0</v>
      </c>
      <c r="M13" s="766"/>
      <c r="N13" s="766"/>
      <c r="O13" s="766"/>
      <c r="P13" s="766"/>
      <c r="Q13" s="721"/>
      <c r="R13" s="721"/>
      <c r="S13" s="721"/>
      <c r="T13" s="767"/>
      <c r="U13" s="768"/>
      <c r="V13" s="768"/>
      <c r="W13" s="721"/>
      <c r="X13" s="721"/>
      <c r="Y13" s="721"/>
      <c r="Z13" s="729"/>
      <c r="AA13" s="729"/>
      <c r="AB13" s="729"/>
      <c r="AC13" s="729"/>
      <c r="AD13" s="729"/>
      <c r="AE13" s="729"/>
      <c r="AF13" s="729"/>
      <c r="AG13" s="729"/>
      <c r="AH13" s="729"/>
      <c r="AI13" s="729"/>
      <c r="AJ13" s="729"/>
      <c r="AK13" s="729"/>
      <c r="AL13" s="729"/>
      <c r="AM13" s="729"/>
    </row>
    <row r="14" spans="1:39">
      <c r="A14" s="757">
        <v>6</v>
      </c>
      <c r="B14" s="758">
        <v>0</v>
      </c>
      <c r="C14" s="759">
        <f t="shared" si="0"/>
        <v>0</v>
      </c>
      <c r="D14" s="760">
        <v>1550</v>
      </c>
      <c r="E14" s="760">
        <v>0</v>
      </c>
      <c r="F14" s="761">
        <f t="shared" si="1"/>
        <v>0</v>
      </c>
      <c r="G14" s="762">
        <v>2</v>
      </c>
      <c r="H14" s="769">
        <f>IF(G14&gt;2.99999,300,200)</f>
        <v>200</v>
      </c>
      <c r="I14" s="764">
        <f t="shared" si="2"/>
        <v>10</v>
      </c>
      <c r="J14" s="764">
        <v>8</v>
      </c>
      <c r="K14" s="711"/>
      <c r="L14" s="765">
        <f t="shared" si="3"/>
        <v>0</v>
      </c>
      <c r="M14" s="766"/>
      <c r="N14" s="766"/>
      <c r="O14" s="766"/>
      <c r="P14" s="766"/>
      <c r="Q14" s="721"/>
      <c r="R14" s="721"/>
      <c r="S14" s="721"/>
      <c r="T14" s="767"/>
      <c r="U14" s="768"/>
      <c r="V14" s="768"/>
      <c r="W14" s="721"/>
      <c r="X14" s="721"/>
      <c r="Y14" s="721"/>
      <c r="Z14" s="729"/>
      <c r="AA14" s="729"/>
      <c r="AB14" s="729"/>
      <c r="AC14" s="729"/>
      <c r="AD14" s="729"/>
      <c r="AE14" s="729"/>
      <c r="AF14" s="729"/>
      <c r="AG14" s="729"/>
      <c r="AH14" s="729"/>
      <c r="AI14" s="729"/>
      <c r="AJ14" s="729"/>
      <c r="AK14" s="729"/>
      <c r="AL14" s="729"/>
      <c r="AM14" s="729"/>
    </row>
    <row r="15" spans="1:39">
      <c r="M15" s="766"/>
      <c r="N15" s="766"/>
      <c r="O15" s="766"/>
      <c r="P15" s="766"/>
      <c r="Q15" s="721"/>
      <c r="R15" s="721"/>
      <c r="S15" s="721"/>
      <c r="T15" s="767"/>
      <c r="U15" s="768"/>
      <c r="V15" s="729"/>
      <c r="W15" s="729"/>
      <c r="X15" s="729"/>
      <c r="Y15" s="729"/>
      <c r="Z15" s="729"/>
      <c r="AA15" s="729"/>
      <c r="AB15" s="729"/>
      <c r="AC15" s="729"/>
      <c r="AD15" s="729"/>
      <c r="AE15" s="729"/>
      <c r="AF15" s="729"/>
      <c r="AG15" s="729"/>
      <c r="AH15" s="729"/>
      <c r="AI15" s="729"/>
      <c r="AJ15" s="729"/>
      <c r="AK15" s="729"/>
      <c r="AL15" s="729"/>
      <c r="AM15" s="729"/>
    </row>
    <row r="16" spans="1:39">
      <c r="M16" s="766"/>
      <c r="N16" s="766"/>
      <c r="O16" s="766"/>
      <c r="P16" s="766"/>
      <c r="Q16" s="721"/>
      <c r="R16" s="721"/>
      <c r="S16" s="721"/>
      <c r="T16" s="767"/>
      <c r="U16" s="721"/>
      <c r="V16" s="729"/>
      <c r="W16" s="729"/>
      <c r="X16" s="729"/>
      <c r="Y16" s="729"/>
      <c r="Z16" s="729"/>
      <c r="AA16" s="729"/>
      <c r="AB16" s="729"/>
      <c r="AC16" s="729"/>
      <c r="AD16" s="729"/>
      <c r="AE16" s="729"/>
      <c r="AF16" s="729"/>
      <c r="AG16" s="729"/>
      <c r="AH16" s="729"/>
      <c r="AI16" s="729"/>
      <c r="AJ16" s="729"/>
      <c r="AK16" s="729"/>
      <c r="AL16" s="729"/>
      <c r="AM16" s="729"/>
    </row>
    <row r="17" spans="1:39" ht="15.75">
      <c r="A17" s="722" t="s">
        <v>128</v>
      </c>
      <c r="B17" s="722"/>
      <c r="C17" s="722"/>
      <c r="D17" s="722"/>
      <c r="E17" s="722"/>
      <c r="F17" s="730"/>
      <c r="G17" s="731"/>
      <c r="H17" s="731"/>
      <c r="I17" s="732"/>
      <c r="J17" s="732"/>
      <c r="M17" s="766"/>
      <c r="N17" s="766"/>
      <c r="O17" s="766"/>
      <c r="P17" s="766"/>
      <c r="Q17" s="721"/>
      <c r="R17" s="721"/>
      <c r="S17" s="721"/>
      <c r="T17" s="767"/>
      <c r="U17" s="721"/>
      <c r="V17" s="729"/>
      <c r="W17" s="729"/>
      <c r="X17" s="729"/>
      <c r="Y17" s="729"/>
      <c r="Z17" s="729"/>
      <c r="AA17" s="729"/>
      <c r="AB17" s="729"/>
      <c r="AC17" s="729"/>
      <c r="AD17" s="729"/>
      <c r="AE17" s="729"/>
      <c r="AF17" s="729"/>
    </row>
    <row r="18" spans="1:39" ht="15.75">
      <c r="A18" s="722"/>
      <c r="B18" s="722"/>
      <c r="C18" s="722"/>
      <c r="D18" s="722"/>
      <c r="E18" s="722"/>
      <c r="F18" s="730"/>
      <c r="G18" s="731"/>
      <c r="H18" s="731"/>
      <c r="I18" s="732"/>
      <c r="J18" s="772" t="s">
        <v>122</v>
      </c>
      <c r="K18" s="773">
        <v>700</v>
      </c>
      <c r="L18" s="772" t="s">
        <v>123</v>
      </c>
      <c r="M18" s="774">
        <v>1440</v>
      </c>
      <c r="N18" s="766"/>
      <c r="O18" s="766"/>
      <c r="P18" s="766"/>
      <c r="Q18" s="721"/>
      <c r="R18" s="721"/>
      <c r="S18" s="721"/>
      <c r="T18" s="767"/>
      <c r="U18" s="721"/>
      <c r="V18" s="729"/>
      <c r="W18" s="729"/>
      <c r="X18" s="729"/>
      <c r="Y18" s="729"/>
      <c r="Z18" s="729"/>
      <c r="AA18" s="729"/>
      <c r="AB18" s="729"/>
      <c r="AC18" s="729"/>
      <c r="AD18" s="729"/>
      <c r="AE18" s="729"/>
      <c r="AF18" s="729"/>
    </row>
    <row r="19" spans="1:39">
      <c r="A19" s="741" t="s">
        <v>49</v>
      </c>
      <c r="B19" s="742" t="s">
        <v>50</v>
      </c>
      <c r="C19" s="742"/>
      <c r="D19" s="742" t="s">
        <v>51</v>
      </c>
      <c r="E19" s="742"/>
      <c r="F19" s="775" t="s">
        <v>66</v>
      </c>
      <c r="G19" s="776" t="s">
        <v>53</v>
      </c>
      <c r="H19" s="776" t="s">
        <v>112</v>
      </c>
      <c r="I19" s="777"/>
      <c r="J19" s="778" t="s">
        <v>124</v>
      </c>
      <c r="K19" s="778" t="s">
        <v>125</v>
      </c>
      <c r="L19" s="778" t="s">
        <v>124</v>
      </c>
      <c r="M19" s="778" t="s">
        <v>125</v>
      </c>
      <c r="N19" s="729"/>
      <c r="O19" s="729"/>
      <c r="P19" s="729"/>
      <c r="Q19" s="729"/>
      <c r="R19" s="729"/>
      <c r="S19" s="729"/>
      <c r="T19" s="729"/>
      <c r="U19" s="729"/>
      <c r="V19" s="729"/>
      <c r="W19" s="729"/>
      <c r="X19" s="729"/>
      <c r="Y19" s="729"/>
      <c r="Z19" s="729"/>
      <c r="AA19" s="729"/>
      <c r="AB19" s="729"/>
      <c r="AC19" s="729"/>
      <c r="AD19" s="729"/>
      <c r="AE19" s="729"/>
      <c r="AF19" s="729"/>
    </row>
    <row r="20" spans="1:39">
      <c r="A20" s="750" t="s">
        <v>57</v>
      </c>
      <c r="B20" s="751" t="s">
        <v>58</v>
      </c>
      <c r="C20" s="751" t="s">
        <v>59</v>
      </c>
      <c r="D20" s="751" t="s">
        <v>60</v>
      </c>
      <c r="E20" s="751" t="s">
        <v>61</v>
      </c>
      <c r="F20" s="752" t="s">
        <v>62</v>
      </c>
      <c r="G20" s="753" t="s">
        <v>63</v>
      </c>
      <c r="H20" s="754" t="s">
        <v>116</v>
      </c>
      <c r="I20" s="754" t="s">
        <v>126</v>
      </c>
      <c r="J20" s="754" t="s">
        <v>72</v>
      </c>
      <c r="K20" s="779" t="s">
        <v>72</v>
      </c>
      <c r="L20" s="754" t="s">
        <v>72</v>
      </c>
      <c r="M20" s="779" t="s">
        <v>72</v>
      </c>
    </row>
    <row r="21" spans="1:39">
      <c r="A21" s="780">
        <v>1</v>
      </c>
      <c r="B21" s="781">
        <f t="shared" ref="B21:B26" si="4">B9</f>
        <v>200</v>
      </c>
      <c r="C21" s="782">
        <f t="shared" ref="C21:C26" si="5">B21*10</f>
        <v>2000</v>
      </c>
      <c r="D21" s="783">
        <f t="shared" ref="D21:E26" si="6">D9</f>
        <v>2000</v>
      </c>
      <c r="E21" s="783">
        <f t="shared" si="6"/>
        <v>0</v>
      </c>
      <c r="F21" s="761">
        <f t="shared" ref="F21:F26" si="7">B21*(D21+E21)/2000</f>
        <v>200</v>
      </c>
      <c r="G21" s="784">
        <f t="shared" ref="G21:G26" si="8">G9</f>
        <v>9.6</v>
      </c>
      <c r="H21" s="784">
        <f t="shared" ref="H21:H26" si="9">F21*G21*G21/12</f>
        <v>1536</v>
      </c>
      <c r="I21" s="784">
        <f t="shared" ref="I21:I26" si="10">+F21*G21*G21/24</f>
        <v>768</v>
      </c>
      <c r="J21" s="785">
        <f t="shared" ref="J21:K26" si="11">H21*100/$K$18</f>
        <v>219.42857142857142</v>
      </c>
      <c r="K21" s="785">
        <f t="shared" si="11"/>
        <v>109.71428571428571</v>
      </c>
      <c r="L21" s="786">
        <f t="shared" ref="L21:M26" si="12">H21*100/$M$18</f>
        <v>106.66666666666667</v>
      </c>
      <c r="M21" s="786">
        <f t="shared" si="12"/>
        <v>53.333333333333336</v>
      </c>
      <c r="N21" s="807">
        <f>M21/4</f>
        <v>13.333333333333334</v>
      </c>
    </row>
    <row r="22" spans="1:39">
      <c r="A22" s="787">
        <v>2</v>
      </c>
      <c r="B22" s="761">
        <f t="shared" si="4"/>
        <v>800</v>
      </c>
      <c r="C22" s="788">
        <f t="shared" si="5"/>
        <v>8000</v>
      </c>
      <c r="D22" s="789">
        <f t="shared" si="6"/>
        <v>2000</v>
      </c>
      <c r="E22" s="789">
        <f t="shared" si="6"/>
        <v>2000</v>
      </c>
      <c r="F22" s="761">
        <f t="shared" si="7"/>
        <v>1600</v>
      </c>
      <c r="G22" s="762">
        <f t="shared" si="8"/>
        <v>8</v>
      </c>
      <c r="H22" s="762">
        <f t="shared" si="9"/>
        <v>8533.3333333333339</v>
      </c>
      <c r="I22" s="762">
        <f t="shared" si="10"/>
        <v>4266.666666666667</v>
      </c>
      <c r="J22" s="790">
        <f t="shared" si="11"/>
        <v>1219.047619047619</v>
      </c>
      <c r="K22" s="790">
        <f t="shared" si="11"/>
        <v>609.52380952380952</v>
      </c>
      <c r="L22" s="770">
        <f t="shared" si="12"/>
        <v>592.59259259259261</v>
      </c>
      <c r="M22" s="770">
        <f t="shared" si="12"/>
        <v>296.2962962962963</v>
      </c>
    </row>
    <row r="23" spans="1:39">
      <c r="A23" s="791">
        <v>3</v>
      </c>
      <c r="B23" s="761">
        <f t="shared" si="4"/>
        <v>200</v>
      </c>
      <c r="C23" s="788">
        <f t="shared" si="5"/>
        <v>2000</v>
      </c>
      <c r="D23" s="789">
        <f t="shared" si="6"/>
        <v>8750</v>
      </c>
      <c r="E23" s="789">
        <f t="shared" si="6"/>
        <v>8750</v>
      </c>
      <c r="F23" s="761">
        <f t="shared" si="7"/>
        <v>1750</v>
      </c>
      <c r="G23" s="762">
        <f t="shared" si="8"/>
        <v>18.75</v>
      </c>
      <c r="H23" s="762">
        <f t="shared" si="9"/>
        <v>51269.53125</v>
      </c>
      <c r="I23" s="762">
        <f t="shared" si="10"/>
        <v>25634.765625</v>
      </c>
      <c r="J23" s="790">
        <f t="shared" si="11"/>
        <v>7324.21875</v>
      </c>
      <c r="K23" s="790">
        <f t="shared" si="11"/>
        <v>3662.109375</v>
      </c>
      <c r="L23" s="770">
        <f t="shared" si="12"/>
        <v>3560.3841145833335</v>
      </c>
      <c r="M23" s="770">
        <f t="shared" si="12"/>
        <v>1780.1920572916667</v>
      </c>
    </row>
    <row r="24" spans="1:39">
      <c r="A24" s="791">
        <v>4</v>
      </c>
      <c r="B24" s="761">
        <f t="shared" si="4"/>
        <v>200</v>
      </c>
      <c r="C24" s="788">
        <f t="shared" si="5"/>
        <v>2000</v>
      </c>
      <c r="D24" s="789">
        <f t="shared" si="6"/>
        <v>3500</v>
      </c>
      <c r="E24" s="789">
        <f t="shared" si="6"/>
        <v>3500</v>
      </c>
      <c r="F24" s="761">
        <f t="shared" si="7"/>
        <v>700</v>
      </c>
      <c r="G24" s="762">
        <f t="shared" si="8"/>
        <v>8.75</v>
      </c>
      <c r="H24" s="762">
        <f t="shared" si="9"/>
        <v>4466.145833333333</v>
      </c>
      <c r="I24" s="762">
        <f t="shared" si="10"/>
        <v>2233.0729166666665</v>
      </c>
      <c r="J24" s="790">
        <f t="shared" si="11"/>
        <v>638.02083333333326</v>
      </c>
      <c r="K24" s="790">
        <f t="shared" si="11"/>
        <v>319.01041666666663</v>
      </c>
      <c r="L24" s="770">
        <f t="shared" si="12"/>
        <v>310.1490162037037</v>
      </c>
      <c r="M24" s="770">
        <f t="shared" si="12"/>
        <v>155.07450810185185</v>
      </c>
    </row>
    <row r="25" spans="1:39">
      <c r="A25" s="791">
        <v>5</v>
      </c>
      <c r="B25" s="761">
        <f t="shared" si="4"/>
        <v>0</v>
      </c>
      <c r="C25" s="788">
        <f t="shared" si="5"/>
        <v>0</v>
      </c>
      <c r="D25" s="789">
        <f t="shared" si="6"/>
        <v>1500</v>
      </c>
      <c r="E25" s="789">
        <f t="shared" si="6"/>
        <v>1500</v>
      </c>
      <c r="F25" s="761">
        <f t="shared" si="7"/>
        <v>0</v>
      </c>
      <c r="G25" s="762">
        <f t="shared" si="8"/>
        <v>2.1</v>
      </c>
      <c r="H25" s="762">
        <f t="shared" si="9"/>
        <v>0</v>
      </c>
      <c r="I25" s="762">
        <f t="shared" si="10"/>
        <v>0</v>
      </c>
      <c r="J25" s="790">
        <f t="shared" si="11"/>
        <v>0</v>
      </c>
      <c r="K25" s="790">
        <f t="shared" si="11"/>
        <v>0</v>
      </c>
      <c r="L25" s="770">
        <f t="shared" si="12"/>
        <v>0</v>
      </c>
      <c r="M25" s="770">
        <f t="shared" si="12"/>
        <v>0</v>
      </c>
    </row>
    <row r="26" spans="1:39">
      <c r="A26" s="791">
        <v>6</v>
      </c>
      <c r="B26" s="761">
        <f t="shared" si="4"/>
        <v>0</v>
      </c>
      <c r="C26" s="788">
        <f t="shared" si="5"/>
        <v>0</v>
      </c>
      <c r="D26" s="789">
        <f t="shared" si="6"/>
        <v>1550</v>
      </c>
      <c r="E26" s="789">
        <f t="shared" si="6"/>
        <v>0</v>
      </c>
      <c r="F26" s="761">
        <f t="shared" si="7"/>
        <v>0</v>
      </c>
      <c r="G26" s="762">
        <f t="shared" si="8"/>
        <v>2</v>
      </c>
      <c r="H26" s="762">
        <f t="shared" si="9"/>
        <v>0</v>
      </c>
      <c r="I26" s="762">
        <f t="shared" si="10"/>
        <v>0</v>
      </c>
      <c r="J26" s="790">
        <f t="shared" si="11"/>
        <v>0</v>
      </c>
      <c r="K26" s="790">
        <f t="shared" si="11"/>
        <v>0</v>
      </c>
      <c r="L26" s="770">
        <f t="shared" si="12"/>
        <v>0</v>
      </c>
      <c r="M26" s="770">
        <f t="shared" si="12"/>
        <v>0</v>
      </c>
    </row>
    <row r="27" spans="1:39" ht="13.5" thickBot="1"/>
    <row r="28" spans="1:39" ht="16.5" customHeight="1" thickBot="1">
      <c r="A28" s="1739" t="s">
        <v>466</v>
      </c>
      <c r="B28" s="1740"/>
      <c r="C28" s="1740"/>
      <c r="D28" s="1740"/>
      <c r="E28" s="1740"/>
      <c r="F28" s="1740"/>
      <c r="G28" s="1740"/>
      <c r="H28" s="1740"/>
      <c r="I28" s="1740"/>
      <c r="J28" s="1740"/>
      <c r="K28" s="1741"/>
      <c r="L28" s="721"/>
    </row>
    <row r="29" spans="1:39" ht="15.75">
      <c r="A29" s="1369" t="s">
        <v>127</v>
      </c>
      <c r="B29" s="723"/>
      <c r="C29" s="723"/>
      <c r="D29" s="723"/>
      <c r="E29" s="724"/>
      <c r="G29" s="725"/>
      <c r="H29" s="726"/>
      <c r="I29" s="726"/>
      <c r="J29" s="726"/>
      <c r="K29" s="727"/>
      <c r="L29" s="726"/>
      <c r="M29" s="728"/>
      <c r="N29" s="728"/>
      <c r="O29" s="728"/>
      <c r="P29" s="728"/>
      <c r="Q29" s="728"/>
      <c r="R29" s="728"/>
      <c r="S29" s="728"/>
      <c r="T29" s="728"/>
      <c r="U29" s="728"/>
      <c r="V29" s="728"/>
      <c r="W29" s="728"/>
      <c r="X29" s="728"/>
      <c r="Y29" s="728"/>
      <c r="Z29" s="728"/>
      <c r="AA29" s="729"/>
      <c r="AB29" s="729"/>
      <c r="AC29" s="729"/>
      <c r="AD29" s="729"/>
      <c r="AE29" s="729"/>
      <c r="AF29" s="729"/>
      <c r="AG29" s="729"/>
      <c r="AH29" s="729"/>
      <c r="AI29" s="729"/>
      <c r="AJ29" s="729"/>
      <c r="AK29" s="729"/>
      <c r="AL29" s="729"/>
      <c r="AM29" s="729"/>
    </row>
    <row r="30" spans="1:39">
      <c r="A30" s="741" t="s">
        <v>49</v>
      </c>
      <c r="B30" s="743" t="s">
        <v>467</v>
      </c>
      <c r="C30" s="744" t="s">
        <v>53</v>
      </c>
      <c r="D30" s="745" t="s">
        <v>54</v>
      </c>
      <c r="E30" s="745"/>
      <c r="F30" s="744" t="s">
        <v>55</v>
      </c>
      <c r="G30" s="747" t="s">
        <v>56</v>
      </c>
      <c r="H30" s="748"/>
      <c r="I30" s="748"/>
      <c r="J30" s="748"/>
      <c r="K30" s="748"/>
      <c r="L30" s="749"/>
      <c r="M30" s="749"/>
      <c r="N30" s="749"/>
      <c r="O30" s="749"/>
      <c r="P30" s="749"/>
      <c r="Q30" s="749"/>
      <c r="R30" s="749"/>
      <c r="S30" s="749"/>
      <c r="T30" s="749"/>
      <c r="U30" s="729"/>
      <c r="V30" s="729"/>
      <c r="W30" s="729"/>
      <c r="X30" s="729"/>
      <c r="Y30" s="729"/>
      <c r="Z30" s="729"/>
      <c r="AA30" s="729"/>
      <c r="AB30" s="729"/>
      <c r="AC30" s="729"/>
      <c r="AD30" s="729"/>
      <c r="AE30" s="729"/>
      <c r="AF30" s="729"/>
      <c r="AG30" s="729"/>
      <c r="AH30" s="729"/>
    </row>
    <row r="31" spans="1:39">
      <c r="A31" s="750" t="s">
        <v>57</v>
      </c>
      <c r="B31" s="752" t="s">
        <v>468</v>
      </c>
      <c r="C31" s="753" t="s">
        <v>63</v>
      </c>
      <c r="D31" s="754" t="s">
        <v>64</v>
      </c>
      <c r="E31" s="754" t="s">
        <v>601</v>
      </c>
      <c r="F31" s="754" t="s">
        <v>601</v>
      </c>
      <c r="G31" s="756" t="s">
        <v>65</v>
      </c>
      <c r="H31" s="749"/>
      <c r="I31" s="749"/>
      <c r="J31" s="749"/>
      <c r="K31" s="749"/>
      <c r="L31" s="749"/>
      <c r="M31" s="749"/>
      <c r="N31" s="749"/>
      <c r="O31" s="749"/>
      <c r="P31" s="749"/>
      <c r="Q31" s="749"/>
      <c r="R31" s="749"/>
      <c r="S31" s="749"/>
      <c r="T31" s="749"/>
      <c r="U31" s="729"/>
      <c r="V31" s="729"/>
      <c r="W31" s="729"/>
      <c r="X31" s="729"/>
      <c r="Y31" s="729"/>
      <c r="Z31" s="729"/>
      <c r="AA31" s="729"/>
      <c r="AB31" s="729"/>
      <c r="AC31" s="729"/>
      <c r="AD31" s="729"/>
      <c r="AE31" s="729"/>
      <c r="AF31" s="729"/>
      <c r="AG31" s="729"/>
      <c r="AH31" s="729"/>
    </row>
    <row r="32" spans="1:39">
      <c r="A32" s="757">
        <v>1</v>
      </c>
      <c r="B32" s="761">
        <v>25000</v>
      </c>
      <c r="C32" s="762">
        <v>0.9</v>
      </c>
      <c r="D32" s="763">
        <v>1000</v>
      </c>
      <c r="E32" s="764">
        <f>C32*1000/D32</f>
        <v>0.9</v>
      </c>
      <c r="F32" s="764">
        <f>E32</f>
        <v>0.9</v>
      </c>
      <c r="G32" s="765">
        <f>$B32*$C32*$C32*$C32*$C32*10000000/(192*2100000*F32)</f>
        <v>452.00892857142856</v>
      </c>
      <c r="H32" s="766"/>
      <c r="I32" s="766"/>
      <c r="J32" s="766"/>
      <c r="K32" s="766"/>
      <c r="L32" s="721"/>
      <c r="M32" s="721"/>
      <c r="N32" s="721"/>
      <c r="O32" s="767"/>
      <c r="P32" s="768"/>
      <c r="Q32" s="768"/>
      <c r="R32" s="721"/>
      <c r="S32" s="721"/>
      <c r="T32" s="721"/>
      <c r="U32" s="729"/>
      <c r="V32" s="729"/>
      <c r="W32" s="768"/>
      <c r="X32" s="768"/>
      <c r="Y32" s="729"/>
      <c r="Z32" s="729"/>
      <c r="AA32" s="729"/>
      <c r="AB32" s="729"/>
      <c r="AC32" s="729"/>
      <c r="AD32" s="729"/>
      <c r="AE32" s="729"/>
      <c r="AF32" s="729"/>
      <c r="AG32" s="729"/>
      <c r="AH32" s="729"/>
    </row>
    <row r="33" spans="1:39">
      <c r="H33" s="766"/>
      <c r="I33" s="766"/>
      <c r="J33" s="766"/>
      <c r="K33" s="766"/>
      <c r="L33" s="721"/>
      <c r="M33" s="721"/>
      <c r="N33" s="721"/>
      <c r="O33" s="767"/>
      <c r="P33" s="721"/>
      <c r="Q33" s="729"/>
      <c r="R33" s="729"/>
      <c r="S33" s="729"/>
      <c r="T33" s="729"/>
      <c r="U33" s="729"/>
      <c r="V33" s="729"/>
      <c r="W33" s="729"/>
      <c r="X33" s="729"/>
      <c r="Y33" s="729"/>
      <c r="Z33" s="729"/>
      <c r="AA33" s="729"/>
      <c r="AB33" s="729"/>
      <c r="AC33" s="729"/>
      <c r="AD33" s="729"/>
      <c r="AE33" s="729"/>
      <c r="AF33" s="729"/>
      <c r="AG33" s="729"/>
      <c r="AH33" s="729"/>
    </row>
    <row r="34" spans="1:39" ht="15.75">
      <c r="A34" s="1369" t="s">
        <v>128</v>
      </c>
      <c r="B34" s="722"/>
      <c r="C34" s="722"/>
      <c r="D34" s="722"/>
      <c r="E34" s="722"/>
      <c r="F34" s="730"/>
      <c r="G34" s="731"/>
      <c r="H34" s="731"/>
      <c r="I34" s="732"/>
      <c r="J34" s="732"/>
      <c r="M34" s="766"/>
      <c r="N34" s="766"/>
      <c r="O34" s="766"/>
      <c r="P34" s="766"/>
      <c r="Q34" s="721"/>
      <c r="R34" s="721"/>
      <c r="S34" s="721"/>
      <c r="T34" s="767"/>
      <c r="U34" s="721"/>
      <c r="V34" s="729"/>
      <c r="W34" s="729"/>
      <c r="X34" s="729"/>
      <c r="Y34" s="729"/>
      <c r="Z34" s="729"/>
      <c r="AA34" s="729"/>
      <c r="AB34" s="729"/>
      <c r="AC34" s="729"/>
      <c r="AD34" s="729"/>
      <c r="AE34" s="729"/>
      <c r="AF34" s="729"/>
    </row>
    <row r="35" spans="1:39">
      <c r="A35" s="741" t="s">
        <v>49</v>
      </c>
      <c r="B35" s="743" t="s">
        <v>467</v>
      </c>
      <c r="C35" s="776" t="s">
        <v>53</v>
      </c>
      <c r="D35" s="776" t="s">
        <v>112</v>
      </c>
      <c r="E35" s="777"/>
      <c r="F35" s="1366" t="s">
        <v>469</v>
      </c>
      <c r="G35" s="1370" t="s">
        <v>124</v>
      </c>
      <c r="H35" s="749"/>
      <c r="I35" s="729"/>
      <c r="J35" s="729"/>
      <c r="K35" s="729"/>
      <c r="L35" s="729"/>
      <c r="M35" s="729"/>
      <c r="N35" s="729"/>
      <c r="O35" s="729"/>
      <c r="P35" s="729"/>
      <c r="Q35" s="729"/>
      <c r="R35" s="729"/>
      <c r="S35" s="729"/>
      <c r="T35" s="729"/>
      <c r="U35" s="729"/>
      <c r="V35" s="729"/>
      <c r="W35" s="729"/>
      <c r="X35" s="729"/>
      <c r="Y35" s="729"/>
      <c r="Z35" s="729"/>
    </row>
    <row r="36" spans="1:39">
      <c r="A36" s="750" t="s">
        <v>57</v>
      </c>
      <c r="B36" s="752" t="s">
        <v>468</v>
      </c>
      <c r="C36" s="753" t="s">
        <v>63</v>
      </c>
      <c r="D36" s="754" t="s">
        <v>116</v>
      </c>
      <c r="E36" s="754" t="s">
        <v>126</v>
      </c>
      <c r="F36" s="1367" t="s">
        <v>71</v>
      </c>
      <c r="G36" s="1368" t="s">
        <v>72</v>
      </c>
      <c r="H36" s="748"/>
    </row>
    <row r="37" spans="1:39">
      <c r="A37" s="1371">
        <v>1</v>
      </c>
      <c r="B37" s="1372">
        <f>B32</f>
        <v>25000</v>
      </c>
      <c r="C37" s="1373">
        <f>C32</f>
        <v>0.9</v>
      </c>
      <c r="D37" s="1373">
        <f>B37*C37/8</f>
        <v>2812.5</v>
      </c>
      <c r="E37" s="1373">
        <f>D37</f>
        <v>2812.5</v>
      </c>
      <c r="F37" s="1374">
        <v>1400</v>
      </c>
      <c r="G37" s="1375">
        <f>D37*100/F37</f>
        <v>200.89285714285714</v>
      </c>
      <c r="H37" s="732"/>
    </row>
    <row r="39" spans="1:39">
      <c r="A39" s="749"/>
      <c r="B39" s="749"/>
      <c r="C39" s="749"/>
      <c r="D39" s="749"/>
      <c r="E39" s="729"/>
      <c r="F39" s="625"/>
      <c r="G39" s="653"/>
      <c r="H39" s="674" t="s">
        <v>98</v>
      </c>
      <c r="I39" s="641" t="s">
        <v>99</v>
      </c>
      <c r="J39" s="639" t="s">
        <v>1873</v>
      </c>
      <c r="K39" s="729"/>
      <c r="L39" s="729"/>
      <c r="M39" s="729"/>
      <c r="N39" s="729"/>
      <c r="O39" s="729"/>
      <c r="P39" s="729"/>
      <c r="Q39" s="729"/>
      <c r="R39" s="729"/>
      <c r="S39" s="729"/>
      <c r="T39" s="729"/>
      <c r="U39" s="729"/>
      <c r="V39" s="729"/>
      <c r="W39" s="729"/>
      <c r="X39" s="729"/>
      <c r="Y39" s="729"/>
      <c r="Z39" s="729"/>
      <c r="AA39" s="729"/>
      <c r="AB39" s="729"/>
      <c r="AC39" s="729"/>
      <c r="AD39" s="729"/>
      <c r="AE39" s="729"/>
      <c r="AF39" s="729"/>
      <c r="AG39" s="729"/>
      <c r="AH39" s="729"/>
      <c r="AI39" s="729"/>
      <c r="AJ39" s="729"/>
      <c r="AK39" s="729"/>
      <c r="AL39" s="729"/>
      <c r="AM39" s="729"/>
    </row>
    <row r="40" spans="1:39">
      <c r="A40" s="768"/>
      <c r="B40" s="768"/>
      <c r="C40" s="792"/>
      <c r="D40" s="792"/>
      <c r="E40" s="766"/>
      <c r="F40" s="675">
        <v>8</v>
      </c>
      <c r="G40" s="676">
        <v>26</v>
      </c>
      <c r="H40" s="677">
        <v>2</v>
      </c>
      <c r="I40" s="678">
        <v>15</v>
      </c>
      <c r="J40" s="679">
        <v>39</v>
      </c>
      <c r="K40" s="729"/>
      <c r="L40" s="729"/>
      <c r="M40" s="729"/>
      <c r="N40" s="729"/>
      <c r="O40" s="729"/>
      <c r="P40" s="729"/>
      <c r="Q40" s="729"/>
      <c r="R40" s="729"/>
      <c r="S40" s="729"/>
      <c r="T40" s="729"/>
      <c r="U40" s="729"/>
      <c r="V40" s="729"/>
      <c r="W40" s="729"/>
      <c r="X40" s="729"/>
      <c r="Y40" s="729"/>
      <c r="Z40" s="729"/>
      <c r="AA40" s="729"/>
      <c r="AB40" s="729"/>
      <c r="AC40" s="729"/>
      <c r="AD40" s="729"/>
      <c r="AE40" s="729"/>
      <c r="AF40" s="729"/>
      <c r="AG40" s="729"/>
      <c r="AH40" s="729"/>
      <c r="AI40" s="729"/>
      <c r="AJ40" s="729"/>
      <c r="AK40" s="729"/>
      <c r="AL40" s="729"/>
      <c r="AM40" s="729"/>
    </row>
    <row r="41" spans="1:39">
      <c r="A41" s="794"/>
      <c r="B41" s="766"/>
      <c r="C41" s="766"/>
      <c r="D41" s="766"/>
      <c r="E41" s="792"/>
      <c r="F41" s="677"/>
      <c r="G41" s="625"/>
      <c r="H41" s="680">
        <f>INDEX(Wel.yn,$E$93)</f>
        <v>442</v>
      </c>
      <c r="I41" s="685">
        <f>INDEX(IIyn,$E$93)</f>
        <v>5740</v>
      </c>
      <c r="J41" s="684">
        <f>INDEX(Gn,$E$93)</f>
        <v>41.9</v>
      </c>
      <c r="K41" s="748"/>
      <c r="L41" s="748"/>
      <c r="M41" s="748"/>
      <c r="N41" s="795"/>
      <c r="O41" s="729"/>
      <c r="P41" s="796"/>
      <c r="Q41" s="748"/>
      <c r="R41" s="748"/>
      <c r="S41" s="748"/>
      <c r="T41" s="749"/>
      <c r="U41" s="749"/>
      <c r="V41" s="749"/>
      <c r="W41" s="749"/>
      <c r="X41" s="749"/>
      <c r="Y41" s="749"/>
      <c r="Z41" s="749"/>
      <c r="AA41" s="749"/>
      <c r="AB41" s="749"/>
      <c r="AC41" s="729"/>
      <c r="AD41" s="729"/>
      <c r="AE41" s="729"/>
      <c r="AF41" s="729"/>
      <c r="AG41" s="729"/>
      <c r="AH41" s="729"/>
      <c r="AI41" s="729"/>
      <c r="AJ41" s="729"/>
      <c r="AK41" s="729"/>
      <c r="AL41" s="729"/>
      <c r="AM41" s="729"/>
    </row>
    <row r="42" spans="1:39">
      <c r="A42" s="792"/>
      <c r="B42" s="797"/>
      <c r="C42" s="766"/>
      <c r="D42" s="766"/>
      <c r="E42" s="792"/>
      <c r="F42" s="677"/>
      <c r="G42" s="625"/>
      <c r="H42" s="680">
        <f>INDEX(Wel.y,$F$93)</f>
        <v>252</v>
      </c>
      <c r="I42" s="685">
        <f>INDEX(Iy,$F$93)</f>
        <v>2772</v>
      </c>
      <c r="J42" s="684">
        <f>INDEX(G,$F$93)</f>
        <v>26.2</v>
      </c>
      <c r="K42" s="749"/>
      <c r="L42" s="749"/>
      <c r="M42" s="749"/>
      <c r="N42" s="749"/>
      <c r="O42" s="749"/>
      <c r="P42" s="749"/>
      <c r="Q42" s="749"/>
      <c r="R42" s="749"/>
      <c r="S42" s="749"/>
      <c r="T42" s="749"/>
      <c r="U42" s="749"/>
      <c r="V42" s="749"/>
      <c r="W42" s="749"/>
      <c r="X42" s="749"/>
      <c r="Y42" s="749"/>
      <c r="Z42" s="749"/>
      <c r="AA42" s="749"/>
      <c r="AB42" s="749"/>
      <c r="AC42" s="729"/>
      <c r="AD42" s="729"/>
      <c r="AE42" s="729"/>
      <c r="AF42" s="729"/>
      <c r="AG42" s="729"/>
      <c r="AH42" s="729"/>
      <c r="AI42" s="729"/>
      <c r="AJ42" s="729"/>
      <c r="AK42" s="729"/>
      <c r="AL42" s="729"/>
      <c r="AM42" s="729"/>
    </row>
    <row r="43" spans="1:39">
      <c r="A43" s="768"/>
      <c r="B43" s="729"/>
      <c r="C43" s="729"/>
      <c r="D43" s="729"/>
      <c r="E43" s="793"/>
      <c r="F43" s="677"/>
      <c r="G43" s="625"/>
      <c r="H43" s="680">
        <f>INDEX(Wel.yhe,$G$93)</f>
        <v>215.6</v>
      </c>
      <c r="I43" s="685">
        <f>INDEX(IIyhe,$G$93)</f>
        <v>1509</v>
      </c>
      <c r="J43" s="684">
        <f>INDEX(Ghe,$G$93)</f>
        <v>33.700000000000003</v>
      </c>
      <c r="K43" s="729"/>
      <c r="L43" s="729"/>
      <c r="M43" s="729"/>
      <c r="N43" s="729"/>
      <c r="O43" s="729"/>
      <c r="P43" s="766"/>
      <c r="Q43" s="766"/>
      <c r="R43" s="766"/>
      <c r="S43" s="766"/>
      <c r="T43" s="721"/>
      <c r="U43" s="721"/>
      <c r="V43" s="721"/>
      <c r="W43" s="767"/>
      <c r="X43" s="768"/>
      <c r="Y43" s="768"/>
      <c r="Z43" s="721"/>
      <c r="AA43" s="721"/>
      <c r="AB43" s="721"/>
      <c r="AC43" s="729"/>
      <c r="AD43" s="729"/>
      <c r="AE43" s="729"/>
      <c r="AF43" s="729"/>
      <c r="AG43" s="729"/>
      <c r="AH43" s="729"/>
      <c r="AI43" s="729"/>
      <c r="AJ43" s="729"/>
      <c r="AK43" s="729"/>
      <c r="AL43" s="729"/>
      <c r="AM43" s="729"/>
    </row>
    <row r="44" spans="1:39">
      <c r="A44" s="768"/>
      <c r="B44" s="729"/>
      <c r="C44" s="729"/>
      <c r="D44" s="793"/>
      <c r="E44" s="729"/>
      <c r="F44" s="677"/>
      <c r="G44" s="625"/>
      <c r="H44" s="680">
        <f>INDEX(Wu,$H$93)</f>
        <v>41.2</v>
      </c>
      <c r="I44" s="685">
        <f>INDEX(Iyu,$H$93)</f>
        <v>206</v>
      </c>
      <c r="J44" s="684">
        <f>INDEX(Gu,$H$93)</f>
        <v>10.6</v>
      </c>
      <c r="K44" s="729"/>
      <c r="L44" s="729"/>
      <c r="M44" s="729"/>
      <c r="N44" s="729"/>
      <c r="O44" s="729"/>
      <c r="P44" s="766"/>
      <c r="Q44" s="766"/>
      <c r="R44" s="766"/>
      <c r="S44" s="766"/>
      <c r="T44" s="721"/>
      <c r="U44" s="721"/>
      <c r="V44" s="721"/>
      <c r="W44" s="767"/>
      <c r="X44" s="768"/>
      <c r="Y44" s="768"/>
      <c r="Z44" s="721"/>
      <c r="AA44" s="721"/>
      <c r="AB44" s="721"/>
      <c r="AC44" s="729"/>
      <c r="AD44" s="729"/>
      <c r="AE44" s="729"/>
      <c r="AF44" s="729"/>
      <c r="AG44" s="729"/>
      <c r="AH44" s="729"/>
      <c r="AI44" s="729"/>
      <c r="AJ44" s="729"/>
      <c r="AK44" s="729"/>
      <c r="AL44" s="729"/>
      <c r="AM44" s="729"/>
    </row>
    <row r="45" spans="1:39">
      <c r="A45" s="768"/>
      <c r="B45" s="729"/>
      <c r="C45" s="729"/>
      <c r="D45" s="793"/>
      <c r="E45" s="729"/>
      <c r="F45" s="677"/>
      <c r="G45" s="625"/>
      <c r="H45" s="680">
        <f>INDEX(WyzL,$I$93)</f>
        <v>19.940000000000001</v>
      </c>
      <c r="I45" s="685">
        <f>INDEX(IIyzL,$I$93)</f>
        <v>144.80000000000001</v>
      </c>
      <c r="J45" s="684">
        <f>INDEX(GL,$I$93)</f>
        <v>12.2</v>
      </c>
      <c r="K45" s="729"/>
      <c r="L45" s="729"/>
      <c r="M45" s="729"/>
      <c r="N45" s="729"/>
      <c r="O45" s="729"/>
      <c r="P45" s="729"/>
      <c r="Q45" s="729"/>
      <c r="R45" s="729"/>
      <c r="S45" s="729"/>
      <c r="T45" s="729"/>
      <c r="U45" s="729"/>
      <c r="V45" s="729"/>
      <c r="W45" s="729"/>
      <c r="X45" s="729"/>
      <c r="Y45" s="729"/>
      <c r="Z45" s="729"/>
      <c r="AA45" s="729"/>
      <c r="AB45" s="729"/>
      <c r="AC45" s="729"/>
      <c r="AD45" s="729"/>
      <c r="AE45" s="729"/>
      <c r="AF45" s="729"/>
      <c r="AG45" s="729"/>
      <c r="AH45" s="729"/>
      <c r="AI45" s="729"/>
      <c r="AJ45" s="729"/>
      <c r="AK45" s="729"/>
      <c r="AL45" s="729"/>
      <c r="AM45" s="729"/>
    </row>
    <row r="46" spans="1:39">
      <c r="A46" s="794"/>
      <c r="B46" s="766"/>
      <c r="C46" s="766"/>
      <c r="D46" s="766"/>
      <c r="E46" s="792"/>
      <c r="F46" s="677"/>
      <c r="G46" s="677"/>
      <c r="H46" s="677"/>
      <c r="I46" s="677"/>
      <c r="J46" s="677"/>
      <c r="K46" s="729"/>
      <c r="L46" s="729"/>
      <c r="M46" s="729"/>
      <c r="N46" s="729"/>
      <c r="O46" s="729"/>
      <c r="P46" s="729"/>
      <c r="Q46" s="729"/>
      <c r="R46" s="729"/>
      <c r="S46" s="729"/>
      <c r="T46" s="729"/>
      <c r="U46" s="729"/>
      <c r="V46" s="729"/>
      <c r="W46" s="729"/>
      <c r="X46" s="729"/>
      <c r="Y46" s="729"/>
      <c r="Z46" s="729"/>
      <c r="AA46" s="729"/>
      <c r="AB46" s="729"/>
      <c r="AC46" s="729"/>
      <c r="AD46" s="729"/>
      <c r="AE46" s="729"/>
      <c r="AF46" s="729"/>
      <c r="AG46" s="729"/>
      <c r="AH46" s="729"/>
      <c r="AI46" s="729"/>
      <c r="AJ46" s="729"/>
      <c r="AK46" s="729"/>
      <c r="AL46" s="729"/>
      <c r="AM46" s="729"/>
    </row>
    <row r="47" spans="1:39">
      <c r="A47" s="792"/>
      <c r="B47" s="797"/>
      <c r="C47" s="766"/>
      <c r="D47" s="766"/>
      <c r="E47" s="792"/>
      <c r="F47" s="794"/>
      <c r="G47" s="794"/>
      <c r="H47" s="729"/>
      <c r="I47" s="729"/>
      <c r="J47" s="729"/>
      <c r="K47" s="729"/>
      <c r="L47" s="729"/>
      <c r="M47" s="729"/>
      <c r="N47" s="729"/>
      <c r="O47" s="729"/>
      <c r="P47" s="729"/>
      <c r="Q47" s="729"/>
      <c r="R47" s="729"/>
      <c r="S47" s="729"/>
      <c r="T47" s="729"/>
      <c r="U47" s="729"/>
      <c r="V47" s="729"/>
      <c r="W47" s="729"/>
      <c r="X47" s="729"/>
      <c r="Y47" s="729"/>
      <c r="Z47" s="729"/>
      <c r="AA47" s="729"/>
      <c r="AB47" s="729"/>
      <c r="AC47" s="729"/>
      <c r="AD47" s="729"/>
      <c r="AE47" s="729"/>
      <c r="AF47" s="729"/>
      <c r="AG47" s="729"/>
      <c r="AH47" s="729"/>
      <c r="AI47" s="729"/>
      <c r="AJ47" s="729"/>
      <c r="AK47" s="729"/>
      <c r="AL47" s="729"/>
      <c r="AM47" s="729"/>
    </row>
    <row r="48" spans="1:39">
      <c r="A48" s="768"/>
      <c r="B48" s="729"/>
      <c r="C48" s="729"/>
      <c r="D48" s="729"/>
      <c r="E48" s="793"/>
      <c r="F48" s="729"/>
      <c r="G48" s="792"/>
      <c r="H48" s="729"/>
      <c r="I48" s="729"/>
      <c r="J48" s="729"/>
      <c r="K48" s="729"/>
      <c r="L48" s="729"/>
      <c r="M48" s="729"/>
      <c r="N48" s="729"/>
      <c r="O48" s="729"/>
      <c r="P48" s="729"/>
      <c r="Q48" s="729"/>
      <c r="R48" s="729"/>
      <c r="S48" s="729"/>
      <c r="T48" s="729"/>
      <c r="U48" s="729"/>
      <c r="V48" s="729"/>
      <c r="W48" s="729"/>
      <c r="X48" s="729"/>
      <c r="Y48" s="729"/>
      <c r="Z48" s="729"/>
      <c r="AA48" s="729"/>
      <c r="AB48" s="729"/>
      <c r="AC48" s="729"/>
      <c r="AD48" s="729"/>
      <c r="AE48" s="729"/>
      <c r="AF48" s="729"/>
      <c r="AG48" s="729"/>
      <c r="AH48" s="729"/>
      <c r="AI48" s="729"/>
      <c r="AJ48" s="729"/>
      <c r="AK48" s="729"/>
      <c r="AL48" s="729"/>
      <c r="AM48" s="729"/>
    </row>
    <row r="49" spans="1:39">
      <c r="A49" s="768"/>
      <c r="B49" s="729"/>
      <c r="C49" s="729"/>
      <c r="D49" s="793"/>
      <c r="E49" s="729"/>
      <c r="F49" s="729"/>
      <c r="G49" s="729"/>
      <c r="H49" s="729"/>
      <c r="I49" s="729"/>
      <c r="J49" s="729"/>
      <c r="K49" s="729"/>
      <c r="L49" s="729"/>
      <c r="M49" s="729"/>
      <c r="N49" s="729"/>
      <c r="O49" s="729"/>
      <c r="P49" s="729"/>
      <c r="Q49" s="729"/>
      <c r="R49" s="729"/>
      <c r="S49" s="729"/>
      <c r="T49" s="729"/>
      <c r="U49" s="729"/>
      <c r="V49" s="729"/>
      <c r="W49" s="729"/>
      <c r="X49" s="729"/>
      <c r="Y49" s="729"/>
      <c r="Z49" s="729"/>
      <c r="AA49" s="729"/>
      <c r="AB49" s="729"/>
      <c r="AC49" s="729"/>
      <c r="AD49" s="729"/>
      <c r="AE49" s="729"/>
      <c r="AF49" s="729"/>
      <c r="AG49" s="729"/>
      <c r="AH49" s="729"/>
      <c r="AI49" s="729"/>
      <c r="AJ49" s="729"/>
      <c r="AK49" s="729"/>
      <c r="AL49" s="729"/>
      <c r="AM49" s="729"/>
    </row>
    <row r="50" spans="1:39">
      <c r="A50" s="768"/>
      <c r="B50" s="729"/>
      <c r="C50" s="729"/>
      <c r="D50" s="793"/>
      <c r="E50" s="729"/>
      <c r="F50" s="729"/>
      <c r="G50" s="793"/>
      <c r="H50" s="729"/>
      <c r="I50" s="729"/>
      <c r="J50" s="729"/>
      <c r="K50" s="729"/>
      <c r="L50" s="729"/>
      <c r="M50" s="729"/>
      <c r="N50" s="729"/>
      <c r="O50" s="729"/>
      <c r="P50" s="729"/>
      <c r="Q50" s="729"/>
      <c r="R50" s="729"/>
      <c r="S50" s="729"/>
      <c r="T50" s="729"/>
      <c r="U50" s="729"/>
      <c r="V50" s="729"/>
      <c r="W50" s="729"/>
      <c r="X50" s="729"/>
      <c r="Y50" s="729"/>
      <c r="Z50" s="729"/>
      <c r="AA50" s="729"/>
      <c r="AB50" s="729"/>
      <c r="AC50" s="729"/>
      <c r="AD50" s="729"/>
      <c r="AE50" s="729"/>
      <c r="AF50" s="729"/>
      <c r="AG50" s="729"/>
      <c r="AH50" s="729"/>
      <c r="AI50" s="729"/>
      <c r="AJ50" s="729"/>
      <c r="AK50" s="729"/>
      <c r="AL50" s="729"/>
      <c r="AM50" s="729"/>
    </row>
    <row r="51" spans="1:39">
      <c r="A51" s="768"/>
      <c r="B51" s="729"/>
      <c r="C51" s="729"/>
      <c r="D51" s="793"/>
      <c r="E51" s="729"/>
      <c r="F51" s="729"/>
      <c r="G51" s="729"/>
      <c r="H51" s="729"/>
      <c r="I51" s="729"/>
      <c r="J51" s="729"/>
      <c r="K51" s="729"/>
      <c r="L51" s="729"/>
      <c r="M51" s="729"/>
      <c r="N51" s="729"/>
      <c r="O51" s="729"/>
      <c r="P51" s="729"/>
      <c r="Q51" s="729"/>
      <c r="R51" s="729"/>
      <c r="S51" s="729"/>
      <c r="T51" s="729"/>
      <c r="U51" s="729"/>
      <c r="V51" s="729"/>
      <c r="W51" s="729"/>
      <c r="X51" s="729"/>
      <c r="Y51" s="729"/>
      <c r="Z51" s="729"/>
      <c r="AA51" s="729"/>
      <c r="AB51" s="729"/>
      <c r="AC51" s="729"/>
      <c r="AD51" s="729"/>
      <c r="AE51" s="729"/>
      <c r="AF51" s="729"/>
      <c r="AG51" s="729"/>
      <c r="AH51" s="729"/>
      <c r="AI51" s="729"/>
      <c r="AJ51" s="729"/>
      <c r="AK51" s="729"/>
      <c r="AL51" s="729"/>
      <c r="AM51" s="729"/>
    </row>
    <row r="52" spans="1:39">
      <c r="A52" s="771"/>
      <c r="B52" s="795"/>
      <c r="C52" s="795"/>
      <c r="D52" s="798"/>
      <c r="E52" s="729"/>
      <c r="F52" s="729"/>
      <c r="G52" s="729"/>
      <c r="H52" s="729"/>
      <c r="I52" s="729"/>
      <c r="J52" s="729"/>
      <c r="K52" s="729"/>
      <c r="L52" s="729"/>
      <c r="M52" s="729"/>
      <c r="N52" s="729"/>
      <c r="O52" s="729"/>
      <c r="P52" s="729"/>
      <c r="Q52" s="729"/>
      <c r="R52" s="729"/>
      <c r="S52" s="729"/>
      <c r="T52" s="729"/>
      <c r="U52" s="729"/>
      <c r="V52" s="729"/>
      <c r="W52" s="729"/>
      <c r="X52" s="729"/>
      <c r="Y52" s="729"/>
      <c r="Z52" s="729"/>
      <c r="AA52" s="729"/>
      <c r="AB52" s="729"/>
      <c r="AC52" s="729"/>
      <c r="AD52" s="729"/>
      <c r="AE52" s="729"/>
      <c r="AF52" s="729"/>
      <c r="AG52" s="729"/>
      <c r="AH52" s="729"/>
      <c r="AI52" s="729"/>
      <c r="AJ52" s="729"/>
      <c r="AK52" s="729"/>
      <c r="AL52" s="729"/>
      <c r="AM52" s="729"/>
    </row>
    <row r="53" spans="1:39">
      <c r="A53" s="799"/>
      <c r="B53" s="800"/>
      <c r="C53" s="800"/>
      <c r="D53" s="801"/>
      <c r="E53" s="800"/>
      <c r="F53" s="729"/>
      <c r="G53" s="729"/>
      <c r="H53" s="729"/>
      <c r="I53" s="729"/>
      <c r="J53" s="729"/>
      <c r="K53" s="729"/>
      <c r="L53" s="729"/>
      <c r="M53" s="729"/>
      <c r="N53" s="729"/>
      <c r="O53" s="729"/>
      <c r="P53" s="729"/>
      <c r="Q53" s="729"/>
      <c r="R53" s="729"/>
      <c r="S53" s="729"/>
      <c r="T53" s="729"/>
      <c r="U53" s="729"/>
      <c r="V53" s="729"/>
      <c r="W53" s="729"/>
      <c r="X53" s="729"/>
      <c r="Y53" s="729"/>
      <c r="Z53" s="729"/>
      <c r="AA53" s="729"/>
      <c r="AB53" s="729"/>
      <c r="AC53" s="729"/>
      <c r="AD53" s="729"/>
      <c r="AE53" s="729"/>
      <c r="AF53" s="729"/>
      <c r="AG53" s="729"/>
      <c r="AH53" s="729"/>
      <c r="AI53" s="729"/>
      <c r="AJ53" s="729"/>
      <c r="AK53" s="729"/>
      <c r="AL53" s="729"/>
      <c r="AM53" s="729"/>
    </row>
    <row r="54" spans="1:39">
      <c r="A54" s="793"/>
      <c r="B54" s="729"/>
      <c r="C54" s="793"/>
      <c r="D54" s="793"/>
      <c r="E54" s="793"/>
      <c r="F54" s="721"/>
      <c r="G54" s="793"/>
      <c r="H54" s="729"/>
      <c r="I54" s="729"/>
      <c r="J54" s="729"/>
      <c r="K54" s="729"/>
      <c r="L54" s="729"/>
      <c r="M54" s="729"/>
      <c r="N54" s="729"/>
      <c r="O54" s="729"/>
      <c r="P54" s="729"/>
      <c r="Q54" s="729"/>
      <c r="R54" s="729"/>
      <c r="S54" s="729"/>
      <c r="T54" s="729"/>
      <c r="U54" s="729"/>
      <c r="V54" s="729"/>
      <c r="W54" s="729"/>
      <c r="X54" s="729"/>
      <c r="Y54" s="729"/>
      <c r="Z54" s="729"/>
      <c r="AA54" s="729"/>
      <c r="AB54" s="729"/>
      <c r="AC54" s="729"/>
      <c r="AD54" s="729"/>
      <c r="AE54" s="729"/>
      <c r="AF54" s="729"/>
      <c r="AG54" s="729"/>
      <c r="AH54" s="729"/>
      <c r="AI54" s="729"/>
      <c r="AJ54" s="729"/>
      <c r="AK54" s="729"/>
      <c r="AL54" s="729"/>
      <c r="AM54" s="729"/>
    </row>
    <row r="55" spans="1:39">
      <c r="A55" s="793"/>
      <c r="B55" s="729"/>
      <c r="C55" s="793"/>
      <c r="D55" s="793"/>
      <c r="E55" s="793"/>
      <c r="F55" s="721"/>
      <c r="G55" s="793"/>
      <c r="H55" s="729"/>
      <c r="I55" s="729"/>
      <c r="J55" s="729"/>
      <c r="K55" s="729"/>
      <c r="L55" s="729"/>
      <c r="M55" s="729"/>
      <c r="N55" s="729"/>
      <c r="O55" s="729"/>
      <c r="P55" s="729"/>
      <c r="Q55" s="729"/>
      <c r="R55" s="729"/>
      <c r="S55" s="729"/>
      <c r="T55" s="729"/>
      <c r="U55" s="729"/>
      <c r="V55" s="729"/>
      <c r="W55" s="729"/>
      <c r="X55" s="729"/>
      <c r="Y55" s="729"/>
      <c r="Z55" s="729"/>
      <c r="AA55" s="729"/>
      <c r="AB55" s="729"/>
      <c r="AC55" s="729"/>
      <c r="AD55" s="729"/>
      <c r="AE55" s="729"/>
      <c r="AF55" s="729"/>
      <c r="AG55" s="729"/>
      <c r="AH55" s="729"/>
      <c r="AI55" s="729"/>
      <c r="AJ55" s="729"/>
      <c r="AK55" s="729"/>
      <c r="AL55" s="729"/>
      <c r="AM55" s="729"/>
    </row>
    <row r="56" spans="1:39">
      <c r="A56" s="768"/>
      <c r="B56" s="729"/>
      <c r="C56" s="729"/>
      <c r="D56" s="793"/>
      <c r="E56" s="793"/>
      <c r="F56" s="721"/>
      <c r="G56" s="793"/>
      <c r="H56" s="729"/>
      <c r="I56" s="729"/>
      <c r="J56" s="729"/>
      <c r="K56" s="729"/>
      <c r="L56" s="729"/>
      <c r="M56" s="729"/>
      <c r="N56" s="729"/>
      <c r="O56" s="729"/>
      <c r="P56" s="729"/>
      <c r="Q56" s="729"/>
      <c r="R56" s="729"/>
      <c r="S56" s="729"/>
      <c r="T56" s="729"/>
      <c r="U56" s="729"/>
      <c r="V56" s="729"/>
      <c r="W56" s="729"/>
      <c r="X56" s="729"/>
      <c r="Y56" s="729"/>
      <c r="Z56" s="729"/>
      <c r="AA56" s="729"/>
      <c r="AB56" s="729"/>
      <c r="AC56" s="729"/>
      <c r="AD56" s="729"/>
      <c r="AE56" s="729"/>
      <c r="AF56" s="729"/>
      <c r="AG56" s="729"/>
      <c r="AH56" s="729"/>
      <c r="AI56" s="729"/>
      <c r="AJ56" s="729"/>
      <c r="AK56" s="729"/>
      <c r="AL56" s="729"/>
      <c r="AM56" s="729"/>
    </row>
    <row r="57" spans="1:39">
      <c r="A57" s="768"/>
      <c r="B57" s="729"/>
      <c r="C57" s="729"/>
      <c r="D57" s="793"/>
      <c r="E57" s="729"/>
      <c r="F57" s="729"/>
      <c r="G57" s="729"/>
      <c r="H57" s="729"/>
      <c r="I57" s="729"/>
      <c r="J57" s="729"/>
      <c r="K57" s="729"/>
      <c r="L57" s="729"/>
      <c r="M57" s="729"/>
      <c r="N57" s="729"/>
      <c r="O57" s="729"/>
      <c r="P57" s="729"/>
      <c r="Q57" s="729"/>
      <c r="R57" s="729"/>
      <c r="S57" s="729"/>
      <c r="T57" s="729"/>
      <c r="U57" s="729"/>
      <c r="V57" s="729"/>
      <c r="W57" s="729"/>
      <c r="X57" s="729"/>
      <c r="Y57" s="729"/>
      <c r="Z57" s="729"/>
      <c r="AA57" s="729"/>
      <c r="AB57" s="729"/>
      <c r="AC57" s="729"/>
      <c r="AD57" s="729"/>
      <c r="AE57" s="729"/>
      <c r="AF57" s="729"/>
      <c r="AG57" s="729"/>
      <c r="AH57" s="729"/>
      <c r="AI57" s="729"/>
      <c r="AJ57" s="729"/>
      <c r="AK57" s="729"/>
      <c r="AL57" s="729"/>
      <c r="AM57" s="729"/>
    </row>
    <row r="58" spans="1:39">
      <c r="A58" s="768"/>
      <c r="B58" s="729"/>
      <c r="C58" s="729"/>
      <c r="D58" s="793"/>
      <c r="E58" s="729"/>
      <c r="F58" s="729"/>
      <c r="G58" s="729"/>
      <c r="H58" s="729"/>
      <c r="I58" s="729"/>
      <c r="J58" s="729"/>
      <c r="K58" s="729"/>
      <c r="L58" s="729"/>
      <c r="M58" s="729"/>
      <c r="N58" s="729"/>
      <c r="O58" s="729"/>
      <c r="P58" s="729"/>
      <c r="Q58" s="729"/>
      <c r="R58" s="729"/>
      <c r="S58" s="729"/>
      <c r="T58" s="729"/>
      <c r="U58" s="729"/>
      <c r="V58" s="729"/>
      <c r="W58" s="729"/>
      <c r="X58" s="729"/>
      <c r="Y58" s="729"/>
      <c r="Z58" s="729"/>
      <c r="AA58" s="729"/>
      <c r="AB58" s="729"/>
      <c r="AC58" s="729"/>
      <c r="AD58" s="729"/>
      <c r="AE58" s="729"/>
      <c r="AF58" s="729"/>
      <c r="AG58" s="729"/>
      <c r="AH58" s="729"/>
      <c r="AI58" s="729"/>
      <c r="AJ58" s="729"/>
      <c r="AK58" s="729"/>
      <c r="AL58" s="729"/>
      <c r="AM58" s="729"/>
    </row>
    <row r="59" spans="1:39">
      <c r="A59" s="768"/>
      <c r="B59" s="729"/>
      <c r="C59" s="729"/>
      <c r="D59" s="793"/>
      <c r="E59" s="729"/>
      <c r="F59" s="729"/>
      <c r="G59" s="729"/>
      <c r="H59" s="729"/>
      <c r="I59" s="729"/>
      <c r="J59" s="729"/>
      <c r="K59" s="729"/>
      <c r="L59" s="729"/>
      <c r="M59" s="729"/>
      <c r="N59" s="729"/>
      <c r="O59" s="729"/>
      <c r="P59" s="729"/>
      <c r="Q59" s="729"/>
      <c r="R59" s="729"/>
      <c r="S59" s="729"/>
      <c r="T59" s="729"/>
      <c r="U59" s="729"/>
      <c r="V59" s="729"/>
      <c r="W59" s="729"/>
      <c r="X59" s="729"/>
      <c r="Y59" s="729"/>
      <c r="Z59" s="729"/>
      <c r="AA59" s="729"/>
      <c r="AB59" s="729"/>
      <c r="AC59" s="729"/>
      <c r="AD59" s="729"/>
      <c r="AE59" s="729"/>
      <c r="AF59" s="729"/>
      <c r="AG59" s="729"/>
      <c r="AH59" s="729"/>
      <c r="AI59" s="729"/>
      <c r="AJ59" s="729"/>
      <c r="AK59" s="729"/>
      <c r="AL59" s="729"/>
      <c r="AM59" s="729"/>
    </row>
    <row r="60" spans="1:39">
      <c r="A60" s="768"/>
      <c r="B60" s="729"/>
      <c r="C60" s="729"/>
      <c r="D60" s="793"/>
      <c r="E60" s="729"/>
      <c r="F60" s="729"/>
      <c r="G60" s="729"/>
      <c r="H60" s="729"/>
      <c r="I60" s="729"/>
      <c r="J60" s="729"/>
      <c r="K60" s="729"/>
      <c r="L60" s="729"/>
      <c r="M60" s="729"/>
      <c r="N60" s="729"/>
      <c r="O60" s="729"/>
      <c r="P60" s="729"/>
      <c r="Q60" s="729"/>
      <c r="R60" s="729"/>
      <c r="S60" s="729"/>
      <c r="T60" s="729"/>
      <c r="U60" s="729"/>
      <c r="V60" s="729"/>
      <c r="W60" s="729"/>
      <c r="X60" s="729"/>
      <c r="Y60" s="729"/>
      <c r="Z60" s="729"/>
      <c r="AA60" s="729"/>
      <c r="AB60" s="729"/>
      <c r="AC60" s="729"/>
      <c r="AD60" s="729"/>
      <c r="AE60" s="729"/>
      <c r="AF60" s="729"/>
      <c r="AG60" s="729"/>
      <c r="AH60" s="729"/>
      <c r="AI60" s="729"/>
      <c r="AJ60" s="729"/>
      <c r="AK60" s="729"/>
      <c r="AL60" s="729"/>
      <c r="AM60" s="729"/>
    </row>
    <row r="61" spans="1:39">
      <c r="A61" s="768"/>
      <c r="B61" s="729"/>
      <c r="C61" s="729"/>
      <c r="D61" s="793"/>
      <c r="E61" s="729"/>
      <c r="F61" s="729"/>
      <c r="G61" s="729"/>
      <c r="H61" s="729"/>
      <c r="I61" s="729"/>
      <c r="J61" s="729"/>
      <c r="K61" s="729"/>
      <c r="L61" s="729"/>
      <c r="M61" s="729"/>
      <c r="N61" s="729"/>
      <c r="O61" s="729"/>
      <c r="P61" s="729"/>
      <c r="Q61" s="729"/>
      <c r="R61" s="729"/>
      <c r="S61" s="729"/>
      <c r="T61" s="729"/>
      <c r="U61" s="729"/>
      <c r="V61" s="729"/>
      <c r="W61" s="729"/>
      <c r="X61" s="729"/>
      <c r="Y61" s="729"/>
      <c r="Z61" s="729"/>
      <c r="AA61" s="729"/>
      <c r="AB61" s="729"/>
      <c r="AC61" s="729"/>
      <c r="AD61" s="729"/>
      <c r="AE61" s="729"/>
      <c r="AF61" s="729"/>
      <c r="AG61" s="729"/>
      <c r="AH61" s="729"/>
      <c r="AI61" s="729"/>
      <c r="AJ61" s="729"/>
      <c r="AK61" s="729"/>
      <c r="AL61" s="729"/>
      <c r="AM61" s="729"/>
    </row>
    <row r="62" spans="1:39">
      <c r="A62" s="768"/>
      <c r="B62" s="729"/>
      <c r="C62" s="729"/>
      <c r="D62" s="793"/>
      <c r="E62" s="729"/>
      <c r="F62" s="729"/>
      <c r="G62" s="729"/>
      <c r="H62" s="729"/>
      <c r="I62" s="729"/>
      <c r="J62" s="729"/>
      <c r="K62" s="729"/>
      <c r="L62" s="729"/>
      <c r="M62" s="729"/>
      <c r="N62" s="729"/>
      <c r="O62" s="729"/>
      <c r="P62" s="729"/>
      <c r="Q62" s="729"/>
      <c r="R62" s="729"/>
      <c r="S62" s="729"/>
      <c r="T62" s="729"/>
      <c r="U62" s="729"/>
      <c r="V62" s="729"/>
      <c r="W62" s="729"/>
      <c r="X62" s="729"/>
      <c r="Y62" s="729"/>
      <c r="Z62" s="729"/>
      <c r="AA62" s="729"/>
      <c r="AB62" s="729"/>
      <c r="AC62" s="729"/>
      <c r="AD62" s="729"/>
      <c r="AE62" s="729"/>
      <c r="AF62" s="729"/>
      <c r="AG62" s="729"/>
      <c r="AH62" s="729"/>
      <c r="AI62" s="729"/>
      <c r="AJ62" s="729"/>
      <c r="AK62" s="729"/>
      <c r="AL62" s="729"/>
      <c r="AM62" s="729"/>
    </row>
    <row r="63" spans="1:39">
      <c r="A63" s="802"/>
      <c r="D63" s="803"/>
    </row>
    <row r="64" spans="1:39">
      <c r="A64" s="802"/>
      <c r="D64" s="803"/>
    </row>
    <row r="65" spans="1:5">
      <c r="A65" s="802"/>
      <c r="D65" s="803"/>
    </row>
    <row r="66" spans="1:5">
      <c r="A66" s="802"/>
      <c r="D66" s="803"/>
    </row>
    <row r="67" spans="1:5">
      <c r="A67" s="802"/>
      <c r="D67" s="803"/>
    </row>
    <row r="68" spans="1:5">
      <c r="A68" s="802"/>
      <c r="D68" s="803"/>
    </row>
    <row r="69" spans="1:5">
      <c r="A69" s="802"/>
      <c r="D69" s="803"/>
    </row>
    <row r="70" spans="1:5">
      <c r="A70" s="802"/>
      <c r="D70" s="803"/>
      <c r="E70" s="802"/>
    </row>
    <row r="71" spans="1:5">
      <c r="A71" s="802"/>
      <c r="D71" s="803"/>
      <c r="E71" s="804"/>
    </row>
    <row r="72" spans="1:5">
      <c r="A72" s="805"/>
      <c r="B72" s="806"/>
      <c r="C72" s="806"/>
      <c r="D72" s="803"/>
    </row>
    <row r="73" spans="1:5">
      <c r="A73" s="802"/>
      <c r="D73" s="803"/>
    </row>
    <row r="74" spans="1:5">
      <c r="A74" s="807"/>
      <c r="D74" s="808"/>
    </row>
    <row r="93" spans="5:9">
      <c r="E93" s="720">
        <v>9</v>
      </c>
      <c r="F93" s="720">
        <v>22</v>
      </c>
      <c r="G93" s="720">
        <v>13</v>
      </c>
      <c r="H93" s="720">
        <v>1</v>
      </c>
      <c r="I93" s="720">
        <v>1</v>
      </c>
    </row>
  </sheetData>
  <mergeCells count="2">
    <mergeCell ref="A2:K2"/>
    <mergeCell ref="A28:K28"/>
  </mergeCells>
  <phoneticPr fontId="68" type="noConversion"/>
  <pageMargins left="0.75" right="0.75" top="1" bottom="1" header="0.5" footer="0.5"/>
  <pageSetup paperSize="9" orientation="portrait" horizontalDpi="300" verticalDpi="30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8673" r:id="rId4" name="Drop Down 1">
              <controlPr defaultSize="0" autoLine="0" autoPict="0">
                <anchor moveWithCells="1">
                  <from>
                    <xdr:col>5</xdr:col>
                    <xdr:colOff>800100</xdr:colOff>
                    <xdr:row>40</xdr:row>
                    <xdr:rowOff>171450</xdr:rowOff>
                  </from>
                  <to>
                    <xdr:col>6</xdr:col>
                    <xdr:colOff>723900</xdr:colOff>
                    <xdr:row>42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4" r:id="rId5" name="Drop Down 2">
              <controlPr defaultSize="0" autoLine="0" autoPict="0">
                <anchor moveWithCells="1">
                  <from>
                    <xdr:col>5</xdr:col>
                    <xdr:colOff>800100</xdr:colOff>
                    <xdr:row>39</xdr:row>
                    <xdr:rowOff>133350</xdr:rowOff>
                  </from>
                  <to>
                    <xdr:col>6</xdr:col>
                    <xdr:colOff>704850</xdr:colOff>
                    <xdr:row>41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5" r:id="rId6" name="Drop Down 3">
              <controlPr defaultSize="0" autoLine="0" autoPict="0">
                <anchor moveWithCells="1">
                  <from>
                    <xdr:col>6</xdr:col>
                    <xdr:colOff>0</xdr:colOff>
                    <xdr:row>41</xdr:row>
                    <xdr:rowOff>152400</xdr:rowOff>
                  </from>
                  <to>
                    <xdr:col>6</xdr:col>
                    <xdr:colOff>714375</xdr:colOff>
                    <xdr:row>43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6" r:id="rId7" name="Drop Down 4">
              <controlPr defaultSize="0" autoLine="0" autoPict="0">
                <anchor moveWithCells="1">
                  <from>
                    <xdr:col>5</xdr:col>
                    <xdr:colOff>800100</xdr:colOff>
                    <xdr:row>43</xdr:row>
                    <xdr:rowOff>28575</xdr:rowOff>
                  </from>
                  <to>
                    <xdr:col>6</xdr:col>
                    <xdr:colOff>714375</xdr:colOff>
                    <xdr:row>44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7" r:id="rId8" name="Drop Down 5">
              <controlPr defaultSize="0" autoLine="0" autoPict="0">
                <anchor moveWithCells="1">
                  <from>
                    <xdr:col>5</xdr:col>
                    <xdr:colOff>314325</xdr:colOff>
                    <xdr:row>44</xdr:row>
                    <xdr:rowOff>9525</xdr:rowOff>
                  </from>
                  <to>
                    <xdr:col>6</xdr:col>
                    <xdr:colOff>742950</xdr:colOff>
                    <xdr:row>45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8"/>
  <dimension ref="A1:AJ79"/>
  <sheetViews>
    <sheetView topLeftCell="A8" workbookViewId="0">
      <selection activeCell="S23" sqref="S23"/>
    </sheetView>
  </sheetViews>
  <sheetFormatPr defaultColWidth="9.140625" defaultRowHeight="12"/>
  <cols>
    <col min="1" max="1" width="9.140625" style="1545"/>
    <col min="2" max="2" width="11.42578125" style="1545" customWidth="1"/>
    <col min="3" max="3" width="9.140625" style="1545"/>
    <col min="4" max="5" width="9.85546875" style="1545" customWidth="1"/>
    <col min="6" max="7" width="9.140625" style="1545"/>
    <col min="8" max="9" width="10.28515625" style="1545" bestFit="1" customWidth="1"/>
    <col min="10" max="10" width="9.140625" style="1545"/>
    <col min="11" max="11" width="11.28515625" style="1545" bestFit="1" customWidth="1"/>
    <col min="12" max="12" width="10.42578125" style="1545" customWidth="1"/>
    <col min="13" max="18" width="9.28515625" style="1545" bestFit="1" customWidth="1"/>
    <col min="19" max="19" width="11.28515625" style="1545" bestFit="1" customWidth="1"/>
    <col min="20" max="20" width="12.140625" style="1545" bestFit="1" customWidth="1"/>
    <col min="21" max="21" width="9.28515625" style="1545" bestFit="1" customWidth="1"/>
    <col min="22" max="22" width="12.140625" style="1545" bestFit="1" customWidth="1"/>
    <col min="23" max="24" width="9.28515625" style="1545" bestFit="1" customWidth="1"/>
    <col min="25" max="25" width="9.140625" style="1545"/>
    <col min="26" max="26" width="5" style="1545" bestFit="1" customWidth="1"/>
    <col min="27" max="27" width="5.5703125" style="1545" bestFit="1" customWidth="1"/>
    <col min="28" max="28" width="6" style="1545" bestFit="1" customWidth="1"/>
    <col min="29" max="29" width="6.5703125" style="1545" bestFit="1" customWidth="1"/>
    <col min="30" max="30" width="10" style="1545" bestFit="1" customWidth="1"/>
    <col min="31" max="31" width="7" style="1545" bestFit="1" customWidth="1"/>
    <col min="32" max="32" width="6.42578125" style="1545" bestFit="1" customWidth="1"/>
    <col min="33" max="33" width="15" style="1545" bestFit="1" customWidth="1"/>
    <col min="34" max="16384" width="9.140625" style="1545"/>
  </cols>
  <sheetData>
    <row r="1" spans="1:36">
      <c r="A1" s="1742" t="s">
        <v>2520</v>
      </c>
      <c r="B1" s="1743"/>
      <c r="C1" s="1743"/>
      <c r="D1" s="1743"/>
      <c r="E1" s="1743"/>
      <c r="F1" s="1743"/>
      <c r="G1" s="1743"/>
      <c r="H1" s="1743"/>
      <c r="I1" s="1743"/>
      <c r="J1" s="1743"/>
      <c r="K1" s="1743"/>
      <c r="L1" s="1743"/>
    </row>
    <row r="2" spans="1:36">
      <c r="A2" s="1546"/>
      <c r="B2" s="1547"/>
      <c r="C2" s="1547"/>
      <c r="D2" s="1547"/>
      <c r="E2" s="1548"/>
      <c r="G2" s="1549"/>
      <c r="H2" s="1550"/>
      <c r="I2" s="1550"/>
      <c r="J2" s="1550"/>
      <c r="K2" s="1551"/>
      <c r="L2" s="1550"/>
      <c r="M2" s="1552"/>
      <c r="N2" s="1552"/>
      <c r="O2" s="1552"/>
      <c r="P2" s="1552"/>
      <c r="Q2" s="1552"/>
      <c r="R2" s="1552"/>
      <c r="S2" s="1552"/>
      <c r="T2" s="1552"/>
      <c r="U2" s="1552"/>
      <c r="V2" s="1552"/>
      <c r="W2" s="1552"/>
      <c r="X2" s="1552"/>
      <c r="Y2" s="1552"/>
      <c r="Z2" s="1552"/>
      <c r="AA2" s="1552"/>
    </row>
    <row r="3" spans="1:36">
      <c r="A3" s="1553" t="s">
        <v>100</v>
      </c>
      <c r="B3" s="1546"/>
      <c r="C3" s="1546"/>
      <c r="D3" s="1546"/>
      <c r="E3" s="1546"/>
      <c r="F3" s="1554"/>
      <c r="G3" s="1555"/>
      <c r="H3" s="1556"/>
      <c r="I3" s="1556"/>
      <c r="J3" s="1556"/>
      <c r="K3" s="1551"/>
      <c r="M3" s="1552"/>
      <c r="N3" s="1552"/>
      <c r="O3" s="1552"/>
      <c r="P3" s="1552"/>
      <c r="Q3" s="1552"/>
      <c r="R3" s="1552"/>
      <c r="S3" s="1552"/>
      <c r="T3" s="1552"/>
      <c r="U3" s="1552"/>
      <c r="V3" s="1552"/>
      <c r="W3" s="1552"/>
      <c r="X3" s="1552"/>
      <c r="Y3" s="1552"/>
      <c r="Z3" s="1552"/>
      <c r="AA3" s="1552"/>
    </row>
    <row r="4" spans="1:36" ht="12.75" thickBot="1">
      <c r="A4" s="1552"/>
      <c r="B4" s="1547"/>
      <c r="C4" s="1547"/>
      <c r="D4" s="1547"/>
      <c r="E4" s="1548"/>
      <c r="F4" s="1557"/>
      <c r="G4" s="1549"/>
      <c r="H4" s="1550"/>
      <c r="I4" s="1550"/>
      <c r="J4" s="1550"/>
      <c r="K4" s="1551"/>
      <c r="M4" s="1552"/>
      <c r="N4" s="1552"/>
      <c r="O4" s="1552"/>
      <c r="P4" s="1552"/>
      <c r="Q4" s="1552"/>
      <c r="R4" s="1552"/>
      <c r="S4" s="1552"/>
      <c r="T4" s="1552"/>
      <c r="U4" s="1552"/>
      <c r="V4" s="1552"/>
      <c r="W4" s="1552"/>
      <c r="X4" s="1552"/>
      <c r="Y4" s="1552"/>
      <c r="Z4" s="1552"/>
      <c r="AA4" s="1552"/>
    </row>
    <row r="5" spans="1:36">
      <c r="A5" s="1552"/>
      <c r="B5" s="1547"/>
      <c r="C5" s="1547"/>
      <c r="D5" s="1547"/>
      <c r="E5" s="1548"/>
      <c r="F5" s="1557"/>
      <c r="G5" s="1549"/>
      <c r="H5" s="1550"/>
      <c r="I5" s="1550"/>
      <c r="J5" s="1550"/>
      <c r="K5" s="1551"/>
      <c r="M5" s="1558" t="s">
        <v>104</v>
      </c>
      <c r="N5" s="1559"/>
      <c r="O5" s="1559"/>
      <c r="P5" s="1559"/>
      <c r="Q5" s="1559"/>
      <c r="R5" s="1559"/>
      <c r="S5" s="1559"/>
      <c r="T5" s="1559"/>
      <c r="U5" s="1559"/>
      <c r="V5" s="1559"/>
      <c r="W5" s="1559"/>
      <c r="X5" s="1560"/>
      <c r="Y5" s="1552"/>
    </row>
    <row r="6" spans="1:36">
      <c r="A6" s="1561" t="s">
        <v>49</v>
      </c>
      <c r="B6" s="1528" t="s">
        <v>50</v>
      </c>
      <c r="C6" s="1528"/>
      <c r="D6" s="1528" t="s">
        <v>51</v>
      </c>
      <c r="E6" s="1528"/>
      <c r="F6" s="1529" t="s">
        <v>52</v>
      </c>
      <c r="G6" s="1530" t="s">
        <v>53</v>
      </c>
      <c r="H6" s="1528" t="s">
        <v>54</v>
      </c>
      <c r="I6" s="1528"/>
      <c r="J6" s="1530" t="s">
        <v>55</v>
      </c>
      <c r="K6" s="2" t="s">
        <v>56</v>
      </c>
      <c r="M6" s="1562" t="s">
        <v>132</v>
      </c>
      <c r="N6" s="1528"/>
      <c r="O6" s="1528"/>
      <c r="P6" s="1528"/>
      <c r="Q6" s="1529" t="s">
        <v>578</v>
      </c>
      <c r="R6" s="1529" t="s">
        <v>572</v>
      </c>
      <c r="S6" s="1529" t="s">
        <v>56</v>
      </c>
      <c r="T6" s="1529" t="s">
        <v>1952</v>
      </c>
      <c r="U6" s="1529" t="s">
        <v>105</v>
      </c>
      <c r="V6" s="1529" t="s">
        <v>106</v>
      </c>
      <c r="W6" s="1529" t="s">
        <v>0</v>
      </c>
      <c r="X6" s="1563" t="s">
        <v>107</v>
      </c>
    </row>
    <row r="7" spans="1:36">
      <c r="A7" s="1564" t="s">
        <v>57</v>
      </c>
      <c r="B7" s="1565" t="s">
        <v>58</v>
      </c>
      <c r="C7" s="1565" t="s">
        <v>59</v>
      </c>
      <c r="D7" s="1565" t="s">
        <v>60</v>
      </c>
      <c r="E7" s="1565" t="s">
        <v>61</v>
      </c>
      <c r="F7" s="1566" t="s">
        <v>62</v>
      </c>
      <c r="G7" s="1567" t="s">
        <v>63</v>
      </c>
      <c r="H7" s="1568" t="s">
        <v>64</v>
      </c>
      <c r="I7" s="1568" t="s">
        <v>601</v>
      </c>
      <c r="J7" s="1568" t="s">
        <v>601</v>
      </c>
      <c r="K7" s="1569" t="s">
        <v>65</v>
      </c>
      <c r="M7" s="1570" t="s">
        <v>570</v>
      </c>
      <c r="N7" s="1571" t="s">
        <v>1746</v>
      </c>
      <c r="O7" s="1571" t="s">
        <v>108</v>
      </c>
      <c r="P7" s="1571" t="s">
        <v>109</v>
      </c>
      <c r="Q7" s="1566" t="s">
        <v>110</v>
      </c>
      <c r="R7" s="1566" t="s">
        <v>599</v>
      </c>
      <c r="S7" s="1566" t="s">
        <v>111</v>
      </c>
      <c r="T7" s="1566" t="s">
        <v>72</v>
      </c>
      <c r="U7" s="1566" t="s">
        <v>607</v>
      </c>
      <c r="V7" s="1566" t="s">
        <v>111</v>
      </c>
      <c r="W7" s="1566" t="s">
        <v>72</v>
      </c>
      <c r="X7" s="1572" t="s">
        <v>607</v>
      </c>
      <c r="Z7" s="1573" t="s">
        <v>2512</v>
      </c>
      <c r="AA7" s="1573" t="s">
        <v>2513</v>
      </c>
      <c r="AB7" s="1573" t="s">
        <v>1884</v>
      </c>
      <c r="AC7" s="1573" t="s">
        <v>155</v>
      </c>
      <c r="AD7" s="1573" t="s">
        <v>2510</v>
      </c>
      <c r="AE7" s="1573" t="s">
        <v>2511</v>
      </c>
      <c r="AF7" s="1545" t="s">
        <v>2519</v>
      </c>
      <c r="AG7" s="1545" t="s">
        <v>2514</v>
      </c>
    </row>
    <row r="8" spans="1:36">
      <c r="A8" s="1574">
        <v>1</v>
      </c>
      <c r="B8" s="1575">
        <v>200</v>
      </c>
      <c r="C8" s="1576">
        <f>B8*10</f>
        <v>2000</v>
      </c>
      <c r="D8" s="1577">
        <v>11000</v>
      </c>
      <c r="E8" s="1577">
        <v>0</v>
      </c>
      <c r="F8" s="1578">
        <f>B8*(D8+E8)/2000</f>
        <v>1100</v>
      </c>
      <c r="G8" s="1713">
        <v>11</v>
      </c>
      <c r="H8" s="1580">
        <v>300</v>
      </c>
      <c r="I8" s="1581">
        <f>G8*1000/H8</f>
        <v>36.666666666666664</v>
      </c>
      <c r="J8" s="1582">
        <f>I8</f>
        <v>36.666666666666664</v>
      </c>
      <c r="K8" s="1583">
        <f>$F8*$G8*$G8*$G8*$G8*10000000/(158*2100000*$J8)</f>
        <v>13237.793851717903</v>
      </c>
      <c r="M8" s="1584">
        <v>250</v>
      </c>
      <c r="N8" s="1585">
        <v>100</v>
      </c>
      <c r="O8" s="1585">
        <v>4</v>
      </c>
      <c r="P8" s="1585">
        <f>O8</f>
        <v>4</v>
      </c>
      <c r="Q8" s="1586">
        <f>(N8*M8-(N8-2*O8)*(M8-2*P8))/100</f>
        <v>27.36</v>
      </c>
      <c r="R8" s="1587">
        <f>0.785*Q8</f>
        <v>21.477599999999999</v>
      </c>
      <c r="S8" s="1714">
        <f>(N8*M8*M8*M8-(N8-2*O8)*(M8-2*P8)*(M8-2*P8)*(M8-2*P8))/12/10000</f>
        <v>2155.2592</v>
      </c>
      <c r="T8" s="1586">
        <f>2*10*S8/M8</f>
        <v>172.42073600000001</v>
      </c>
      <c r="U8" s="1586">
        <f>SQRT(S8/Q8)</f>
        <v>8.8754770895570143</v>
      </c>
      <c r="V8" s="1588">
        <f>(M8*N8*N8*N8-(M8-2*P8)*(N8-2*O8)*(N8-2*O8)*(N8-2*O8))/12/10000</f>
        <v>512.97919999999999</v>
      </c>
      <c r="W8" s="1586">
        <f>2*10*V8/N8</f>
        <v>102.59584</v>
      </c>
      <c r="X8" s="1589">
        <f>SQRT(V8/Q8)</f>
        <v>4.3300392337808988</v>
      </c>
      <c r="Z8" s="1545">
        <v>10.5</v>
      </c>
      <c r="AA8" s="1590">
        <f>X8</f>
        <v>4.3300392337808988</v>
      </c>
      <c r="AB8" s="1591">
        <f>Z8*100/AA8</f>
        <v>242.4920291272193</v>
      </c>
      <c r="AC8" s="1545">
        <v>3.7</v>
      </c>
      <c r="AD8" s="1545">
        <v>0.1</v>
      </c>
      <c r="AE8" s="1545">
        <f>AD8*Z8</f>
        <v>1.05</v>
      </c>
      <c r="AF8" s="1590">
        <f>Q8</f>
        <v>27.36</v>
      </c>
      <c r="AG8" s="1592">
        <f>AE8*AC8/Q8</f>
        <v>0.14199561403508773</v>
      </c>
      <c r="AH8" s="1645">
        <f>R8/D8*1000</f>
        <v>1.952509090909091</v>
      </c>
      <c r="AI8" s="1545">
        <v>350</v>
      </c>
      <c r="AJ8" s="1645">
        <f>AI8*AH8</f>
        <v>683.37818181818182</v>
      </c>
    </row>
    <row r="9" spans="1:36">
      <c r="A9" s="1574">
        <v>2</v>
      </c>
      <c r="B9" s="1575">
        <v>100</v>
      </c>
      <c r="C9" s="1576">
        <f>B9*10</f>
        <v>1000</v>
      </c>
      <c r="D9" s="1577">
        <v>3000</v>
      </c>
      <c r="E9" s="1577">
        <v>0</v>
      </c>
      <c r="F9" s="1578">
        <f>B9*(D9+E9)/2000</f>
        <v>150</v>
      </c>
      <c r="G9" s="1713">
        <f>4*0.8125</f>
        <v>3.25</v>
      </c>
      <c r="H9" s="1580">
        <v>250</v>
      </c>
      <c r="I9" s="1581">
        <f>G9*1000/H9</f>
        <v>13</v>
      </c>
      <c r="J9" s="1582">
        <f>I9</f>
        <v>13</v>
      </c>
      <c r="K9" s="1583">
        <f>$F9*$G9*$G9*$G9*$G9*10000000/(158*2100000*$J9)</f>
        <v>38.797609629294755</v>
      </c>
      <c r="M9" s="1593"/>
      <c r="N9" s="1594"/>
      <c r="O9" s="1594"/>
      <c r="P9" s="1594"/>
      <c r="Q9" s="1595"/>
      <c r="R9" s="1587"/>
      <c r="S9" s="1596"/>
      <c r="T9" s="1595"/>
      <c r="U9" s="1595"/>
      <c r="V9" s="1597"/>
      <c r="W9" s="1595"/>
      <c r="X9" s="1598"/>
      <c r="AG9" s="1599"/>
    </row>
    <row r="10" spans="1:36">
      <c r="M10" s="1600"/>
      <c r="N10" s="1600"/>
      <c r="O10" s="1600"/>
      <c r="P10" s="1600"/>
      <c r="Q10" s="1600"/>
      <c r="R10" s="1600"/>
      <c r="S10" s="1600"/>
      <c r="T10" s="1600"/>
      <c r="U10" s="1600"/>
      <c r="V10" s="1600"/>
      <c r="W10" s="1600"/>
      <c r="X10" s="1600"/>
      <c r="Y10" s="1600"/>
      <c r="AC10" s="1600"/>
      <c r="AD10" s="1600" t="s">
        <v>2515</v>
      </c>
      <c r="AE10" s="1600" t="s">
        <v>2516</v>
      </c>
      <c r="AG10" s="1601" t="s">
        <v>2517</v>
      </c>
    </row>
    <row r="11" spans="1:36">
      <c r="A11" s="1546" t="s">
        <v>2521</v>
      </c>
      <c r="B11" s="1546"/>
      <c r="C11" s="1546"/>
      <c r="D11" s="1546"/>
      <c r="E11" s="1546"/>
      <c r="F11" s="1554"/>
      <c r="G11" s="1555"/>
      <c r="H11" s="1555"/>
      <c r="I11" s="1556"/>
      <c r="J11" s="1556"/>
      <c r="M11" s="1600"/>
      <c r="N11" s="1600"/>
      <c r="O11" s="1600"/>
      <c r="P11" s="1600"/>
      <c r="Q11" s="1600"/>
      <c r="R11" s="1600"/>
      <c r="S11" s="1600"/>
      <c r="T11" s="1600"/>
      <c r="U11" s="1600"/>
      <c r="V11" s="1600"/>
      <c r="W11" s="1600"/>
      <c r="X11" s="1600"/>
      <c r="Y11" s="1600"/>
      <c r="AC11" s="1600"/>
      <c r="AD11" s="1602">
        <f>H14</f>
        <v>14255.114062332656</v>
      </c>
      <c r="AE11" s="1602">
        <f>T8</f>
        <v>172.42073600000001</v>
      </c>
      <c r="AG11" s="1601">
        <f>AD11*100/1000/AE11</f>
        <v>8.2676332284839891</v>
      </c>
    </row>
    <row r="12" spans="1:36">
      <c r="A12" s="1561" t="s">
        <v>49</v>
      </c>
      <c r="B12" s="1528" t="s">
        <v>50</v>
      </c>
      <c r="C12" s="1528"/>
      <c r="D12" s="1528" t="s">
        <v>51</v>
      </c>
      <c r="E12" s="1528"/>
      <c r="F12" s="1529" t="s">
        <v>66</v>
      </c>
      <c r="G12" s="1530" t="s">
        <v>53</v>
      </c>
      <c r="H12" s="1530" t="s">
        <v>112</v>
      </c>
      <c r="I12" s="1531"/>
      <c r="J12" s="1532" t="s">
        <v>68</v>
      </c>
      <c r="K12" s="1744" t="s">
        <v>113</v>
      </c>
      <c r="L12" s="1745"/>
      <c r="M12" s="1600"/>
      <c r="N12" s="1600"/>
      <c r="O12" s="1600"/>
      <c r="P12" s="1600"/>
      <c r="Q12" s="1600"/>
      <c r="R12" s="1600"/>
      <c r="S12" s="1600"/>
      <c r="T12" s="1600"/>
      <c r="U12" s="1600"/>
      <c r="V12" s="1600"/>
      <c r="W12" s="1600"/>
      <c r="X12" s="1600"/>
      <c r="Y12" s="1600"/>
      <c r="Z12" s="1600"/>
      <c r="AA12" s="1600"/>
      <c r="AB12" s="1600"/>
      <c r="AC12" s="1600"/>
      <c r="AG12" s="1601" t="s">
        <v>2518</v>
      </c>
    </row>
    <row r="13" spans="1:36">
      <c r="A13" s="1564" t="s">
        <v>57</v>
      </c>
      <c r="B13" s="1565" t="s">
        <v>58</v>
      </c>
      <c r="C13" s="1565" t="s">
        <v>59</v>
      </c>
      <c r="D13" s="1565" t="s">
        <v>60</v>
      </c>
      <c r="E13" s="1565" t="s">
        <v>61</v>
      </c>
      <c r="F13" s="1566" t="s">
        <v>62</v>
      </c>
      <c r="G13" s="1567" t="s">
        <v>63</v>
      </c>
      <c r="H13" s="1568" t="s">
        <v>116</v>
      </c>
      <c r="I13" s="1568" t="s">
        <v>117</v>
      </c>
      <c r="J13" s="1568" t="s">
        <v>71</v>
      </c>
      <c r="K13" s="1603" t="s">
        <v>116</v>
      </c>
      <c r="L13" s="1603" t="s">
        <v>118</v>
      </c>
      <c r="M13" s="1600"/>
      <c r="N13" s="1600"/>
      <c r="O13" s="1600"/>
      <c r="P13" s="1600"/>
      <c r="Q13" s="1600"/>
      <c r="R13" s="1600"/>
      <c r="S13" s="1600"/>
      <c r="T13" s="1600"/>
      <c r="U13" s="1600"/>
      <c r="V13" s="1600"/>
      <c r="W13" s="1600"/>
      <c r="X13" s="1600"/>
      <c r="Y13" s="1600"/>
      <c r="Z13" s="1600"/>
      <c r="AA13" s="1600"/>
      <c r="AB13" s="1600"/>
      <c r="AC13" s="1600"/>
      <c r="AG13" s="1604">
        <f>AG11+AG8</f>
        <v>8.4096288425190764</v>
      </c>
    </row>
    <row r="14" spans="1:36">
      <c r="A14" s="1605">
        <f>A8</f>
        <v>1</v>
      </c>
      <c r="B14" s="1575">
        <f>B8</f>
        <v>200</v>
      </c>
      <c r="C14" s="1576">
        <f>B14*10</f>
        <v>2000</v>
      </c>
      <c r="D14" s="1577">
        <f t="shared" ref="D14:G15" si="0">D8</f>
        <v>11000</v>
      </c>
      <c r="E14" s="1577">
        <f t="shared" si="0"/>
        <v>0</v>
      </c>
      <c r="F14" s="1578">
        <f t="shared" si="0"/>
        <v>1100</v>
      </c>
      <c r="G14" s="1579">
        <f t="shared" si="0"/>
        <v>11</v>
      </c>
      <c r="H14" s="1606">
        <f>F14*G14*G14/9.337</f>
        <v>14255.114062332656</v>
      </c>
      <c r="I14" s="1606">
        <f>F14*G14*G14/12.953</f>
        <v>10275.611827375898</v>
      </c>
      <c r="J14" s="1607">
        <v>1600</v>
      </c>
      <c r="K14" s="1608">
        <f>H14*100/J14</f>
        <v>890.94462889579097</v>
      </c>
      <c r="L14" s="1608">
        <f>I14*100/J14</f>
        <v>642.22573921099365</v>
      </c>
      <c r="M14" s="1600"/>
      <c r="N14" s="1600"/>
      <c r="O14" s="1600"/>
      <c r="P14" s="1600"/>
      <c r="Q14" s="1600"/>
      <c r="R14" s="1600"/>
      <c r="S14" s="1600"/>
      <c r="T14" s="1600"/>
      <c r="U14" s="1600"/>
      <c r="V14" s="1600"/>
      <c r="W14" s="1600"/>
      <c r="X14" s="1600"/>
      <c r="Y14" s="1600"/>
      <c r="Z14" s="1600"/>
      <c r="AA14" s="1600"/>
      <c r="AB14" s="1600"/>
      <c r="AC14" s="1600"/>
      <c r="AG14" s="1599"/>
    </row>
    <row r="15" spans="1:36">
      <c r="A15" s="1605">
        <f>A9</f>
        <v>2</v>
      </c>
      <c r="B15" s="1575">
        <f>B9</f>
        <v>100</v>
      </c>
      <c r="C15" s="1576">
        <f>B15*10</f>
        <v>1000</v>
      </c>
      <c r="D15" s="1577">
        <f t="shared" si="0"/>
        <v>3000</v>
      </c>
      <c r="E15" s="1577">
        <f t="shared" si="0"/>
        <v>0</v>
      </c>
      <c r="F15" s="1578">
        <f t="shared" si="0"/>
        <v>150</v>
      </c>
      <c r="G15" s="1579">
        <f t="shared" si="0"/>
        <v>3.25</v>
      </c>
      <c r="H15" s="1606">
        <f>F15*G15*G15/9.337</f>
        <v>169.68780122094893</v>
      </c>
      <c r="I15" s="1606">
        <f>F15*G15*G15/12.953</f>
        <v>122.31722380915619</v>
      </c>
      <c r="J15" s="1607">
        <v>1200</v>
      </c>
      <c r="K15" s="1608">
        <f>H15*100/J15</f>
        <v>14.140650101745745</v>
      </c>
      <c r="L15" s="1608">
        <f>I15*100/J15</f>
        <v>10.193101984096348</v>
      </c>
      <c r="M15" s="1600"/>
      <c r="N15" s="1600"/>
    </row>
    <row r="18" spans="1:26">
      <c r="A18" s="1742" t="s">
        <v>2522</v>
      </c>
      <c r="B18" s="1743"/>
      <c r="C18" s="1743"/>
      <c r="D18" s="1743"/>
      <c r="E18" s="1743"/>
      <c r="F18" s="1743"/>
      <c r="G18" s="1743"/>
      <c r="H18" s="1743"/>
      <c r="I18" s="1743"/>
      <c r="J18" s="1743"/>
      <c r="K18" s="1743"/>
      <c r="L18" s="1743"/>
      <c r="M18" s="1535"/>
      <c r="N18" s="1535"/>
      <c r="O18" s="1535"/>
      <c r="P18" s="1535"/>
      <c r="Q18" s="1535"/>
      <c r="R18" s="1535"/>
      <c r="S18" s="1535"/>
    </row>
    <row r="19" spans="1:26">
      <c r="A19" s="1546"/>
      <c r="B19" s="1547"/>
      <c r="C19" s="1547"/>
      <c r="D19" s="1547"/>
      <c r="E19" s="1548"/>
      <c r="G19" s="1549"/>
      <c r="H19" s="1550"/>
      <c r="I19" s="1550"/>
      <c r="J19" s="1550"/>
      <c r="K19" s="1551"/>
      <c r="L19" s="1550"/>
      <c r="M19" s="1609"/>
      <c r="N19" s="1610"/>
      <c r="O19" s="1533"/>
      <c r="P19" s="1535"/>
      <c r="Q19" s="1534"/>
      <c r="R19" s="1535"/>
      <c r="S19" s="1609"/>
      <c r="T19" s="1552"/>
      <c r="U19" s="1552"/>
      <c r="V19" s="1552"/>
      <c r="W19" s="1552"/>
      <c r="X19" s="1552"/>
      <c r="Y19" s="1552"/>
      <c r="Z19" s="1552"/>
    </row>
    <row r="20" spans="1:26">
      <c r="A20" s="1553" t="s">
        <v>100</v>
      </c>
      <c r="B20" s="1546"/>
      <c r="C20" s="1546"/>
      <c r="D20" s="1546"/>
      <c r="E20" s="1546"/>
      <c r="F20" s="1554"/>
      <c r="G20" s="1555"/>
      <c r="H20" s="1556"/>
      <c r="I20" s="1556"/>
      <c r="J20" s="1556"/>
      <c r="K20" s="1611" t="s">
        <v>101</v>
      </c>
      <c r="L20" s="1612" t="s">
        <v>102</v>
      </c>
      <c r="M20" s="1609"/>
      <c r="N20" s="1535"/>
      <c r="O20" s="1535"/>
      <c r="P20" s="1613"/>
      <c r="Q20" s="1613"/>
      <c r="R20" s="1613"/>
      <c r="S20" s="1609"/>
      <c r="T20" s="1552"/>
      <c r="U20" s="1552"/>
      <c r="V20" s="1552"/>
      <c r="W20" s="1552"/>
      <c r="X20" s="1552"/>
      <c r="Y20" s="1552"/>
      <c r="Z20" s="1552"/>
    </row>
    <row r="21" spans="1:26">
      <c r="A21" s="1552"/>
      <c r="B21" s="1547"/>
      <c r="C21" s="1547"/>
      <c r="D21" s="1547"/>
      <c r="E21" s="1548"/>
      <c r="F21" s="1557"/>
      <c r="G21" s="1549"/>
      <c r="H21" s="1550"/>
      <c r="I21" s="1550"/>
      <c r="J21" s="1550"/>
      <c r="K21" s="1614" t="s">
        <v>103</v>
      </c>
      <c r="L21" s="1615"/>
      <c r="M21" s="1609"/>
      <c r="N21" s="1535"/>
      <c r="O21" s="1535"/>
      <c r="P21" s="1613"/>
      <c r="Q21" s="1613"/>
      <c r="R21" s="1613"/>
      <c r="S21" s="1609"/>
      <c r="T21" s="1552"/>
      <c r="U21" s="1552"/>
      <c r="V21" s="1552"/>
      <c r="W21" s="1552"/>
      <c r="X21" s="1552"/>
      <c r="Y21" s="1552"/>
      <c r="Z21" s="1552"/>
    </row>
    <row r="22" spans="1:26">
      <c r="A22" s="1552"/>
      <c r="B22" s="1547"/>
      <c r="C22" s="1547"/>
      <c r="D22" s="1547"/>
      <c r="E22" s="1548"/>
      <c r="F22" s="1557"/>
      <c r="G22" s="1549"/>
      <c r="H22" s="1550"/>
      <c r="I22" s="1550"/>
      <c r="J22" s="1550"/>
      <c r="K22" s="1616">
        <v>700000</v>
      </c>
      <c r="L22" s="1617">
        <v>2100000</v>
      </c>
      <c r="M22" s="1618"/>
      <c r="N22" s="1535"/>
      <c r="O22" s="1535">
        <v>40</v>
      </c>
      <c r="P22" s="1613">
        <v>60</v>
      </c>
      <c r="Q22" s="1613">
        <f>O22/P22</f>
        <v>0.66666666666666663</v>
      </c>
      <c r="R22" s="1613"/>
      <c r="S22" s="1618"/>
      <c r="T22" s="1546"/>
      <c r="U22" s="1546"/>
      <c r="V22" s="1546"/>
      <c r="W22" s="1546"/>
      <c r="X22" s="1546"/>
      <c r="Y22" s="1546"/>
      <c r="Z22" s="1619"/>
    </row>
    <row r="23" spans="1:26">
      <c r="A23" s="1561" t="s">
        <v>49</v>
      </c>
      <c r="B23" s="1528" t="s">
        <v>50</v>
      </c>
      <c r="C23" s="1528"/>
      <c r="D23" s="1528" t="s">
        <v>51</v>
      </c>
      <c r="E23" s="1528"/>
      <c r="F23" s="1529" t="s">
        <v>52</v>
      </c>
      <c r="G23" s="1530" t="s">
        <v>53</v>
      </c>
      <c r="H23" s="1528" t="s">
        <v>54</v>
      </c>
      <c r="I23" s="1528"/>
      <c r="J23" s="1530" t="s">
        <v>55</v>
      </c>
      <c r="K23" s="1620" t="s">
        <v>56</v>
      </c>
      <c r="L23" s="2" t="s">
        <v>56</v>
      </c>
      <c r="M23" s="1618"/>
      <c r="N23" s="1535"/>
      <c r="O23" s="1535"/>
      <c r="P23" s="1613"/>
      <c r="Q23" s="1613"/>
      <c r="R23" s="1613"/>
      <c r="S23" s="1533"/>
      <c r="T23" s="1621"/>
      <c r="U23" s="1621"/>
      <c r="V23" s="1621"/>
      <c r="W23" s="1621"/>
      <c r="X23" s="1621"/>
      <c r="Y23" s="1621"/>
      <c r="Z23" s="1622"/>
    </row>
    <row r="24" spans="1:26">
      <c r="A24" s="1564" t="s">
        <v>57</v>
      </c>
      <c r="B24" s="1565" t="s">
        <v>58</v>
      </c>
      <c r="C24" s="1565" t="s">
        <v>59</v>
      </c>
      <c r="D24" s="1565" t="s">
        <v>60</v>
      </c>
      <c r="E24" s="1565" t="s">
        <v>61</v>
      </c>
      <c r="F24" s="1566" t="s">
        <v>62</v>
      </c>
      <c r="G24" s="1567" t="s">
        <v>63</v>
      </c>
      <c r="H24" s="1568" t="s">
        <v>64</v>
      </c>
      <c r="I24" s="1568" t="s">
        <v>601</v>
      </c>
      <c r="J24" s="1568" t="s">
        <v>601</v>
      </c>
      <c r="K24" s="1623" t="s">
        <v>65</v>
      </c>
      <c r="L24" s="1569" t="s">
        <v>65</v>
      </c>
      <c r="M24" s="1533"/>
      <c r="N24" s="1535"/>
      <c r="O24" s="1535"/>
      <c r="P24" s="1613"/>
      <c r="Q24" s="1613"/>
      <c r="R24" s="1613"/>
      <c r="S24" s="1533"/>
      <c r="T24" s="1621"/>
      <c r="U24" s="1621"/>
      <c r="V24" s="1621"/>
      <c r="W24" s="1621"/>
      <c r="X24" s="1621"/>
      <c r="Y24" s="1621"/>
      <c r="Z24" s="1622"/>
    </row>
    <row r="25" spans="1:26">
      <c r="A25" s="1574">
        <v>1</v>
      </c>
      <c r="B25" s="1624">
        <v>264.8</v>
      </c>
      <c r="C25" s="1576">
        <f>B25*10</f>
        <v>2648</v>
      </c>
      <c r="D25" s="1625">
        <v>9600</v>
      </c>
      <c r="E25" s="1577">
        <f>D25</f>
        <v>9600</v>
      </c>
      <c r="F25" s="1578">
        <f t="shared" ref="F25:F30" si="1">B25*(D25+E25)/2000</f>
        <v>2542.08</v>
      </c>
      <c r="G25" s="1579">
        <v>13</v>
      </c>
      <c r="H25" s="1626">
        <v>300</v>
      </c>
      <c r="I25" s="1579">
        <f t="shared" ref="I25:I30" si="2">G25*1000/H25</f>
        <v>43.333333333333336</v>
      </c>
      <c r="J25" s="1627">
        <v>20</v>
      </c>
      <c r="K25" s="1628">
        <f t="shared" ref="K25:K30" si="3">$F25*$G25*$G25*$G25*$G25*10000000/(147.71*K$22*J25)</f>
        <v>351095.03602619033</v>
      </c>
      <c r="L25" s="1629">
        <f t="shared" ref="L25:L30" si="4">$F25*$G25*$G25*$G25*$G25*10000000/(147.71*L$22*J25)</f>
        <v>117031.67867539678</v>
      </c>
      <c r="M25" s="1630">
        <f>L25/2</f>
        <v>58515.839337698388</v>
      </c>
      <c r="N25" s="1631">
        <f>K35/2</f>
        <v>1534.3268571428573</v>
      </c>
      <c r="O25" s="1631">
        <f>M25/N25*20</f>
        <v>762.75585042763964</v>
      </c>
      <c r="P25" s="1535"/>
      <c r="Q25" s="1535"/>
      <c r="R25" s="1535"/>
      <c r="S25" s="1534"/>
      <c r="T25" s="1632"/>
      <c r="U25" s="1633"/>
      <c r="V25" s="1633"/>
      <c r="W25" s="1633"/>
      <c r="X25" s="1633"/>
      <c r="Y25" s="1633"/>
      <c r="Z25" s="1622"/>
    </row>
    <row r="26" spans="1:26">
      <c r="A26" s="1574">
        <v>2</v>
      </c>
      <c r="B26" s="1624">
        <v>225</v>
      </c>
      <c r="C26" s="1576">
        <v>2000</v>
      </c>
      <c r="D26" s="1625">
        <v>9000</v>
      </c>
      <c r="E26" s="1577">
        <f>D26</f>
        <v>9000</v>
      </c>
      <c r="F26" s="1578">
        <f t="shared" si="1"/>
        <v>2025</v>
      </c>
      <c r="G26" s="1579">
        <v>16</v>
      </c>
      <c r="H26" s="1626">
        <f>IF(G26&gt;2.99999,300,200)</f>
        <v>300</v>
      </c>
      <c r="I26" s="1627">
        <f t="shared" si="2"/>
        <v>53.333333333333336</v>
      </c>
      <c r="J26" s="1627">
        <f>I26</f>
        <v>53.333333333333336</v>
      </c>
      <c r="K26" s="1628">
        <f t="shared" si="3"/>
        <v>240656.88559629387</v>
      </c>
      <c r="L26" s="1629">
        <f t="shared" si="4"/>
        <v>80218.961865431294</v>
      </c>
      <c r="M26" s="1610"/>
      <c r="N26" s="1610"/>
      <c r="O26" s="1610"/>
      <c r="P26" s="1610"/>
      <c r="Q26" s="1534"/>
      <c r="R26" s="1534"/>
      <c r="S26" s="1534"/>
      <c r="T26" s="1632"/>
      <c r="U26" s="1633"/>
      <c r="V26" s="1633"/>
      <c r="W26" s="1633"/>
      <c r="X26" s="1633"/>
      <c r="Y26" s="1633"/>
      <c r="Z26" s="1622"/>
    </row>
    <row r="27" spans="1:26">
      <c r="A27" s="1574">
        <v>3</v>
      </c>
      <c r="B27" s="1624">
        <v>60</v>
      </c>
      <c r="C27" s="1576">
        <f>B27*10</f>
        <v>600</v>
      </c>
      <c r="D27" s="1625">
        <f>D25</f>
        <v>9600</v>
      </c>
      <c r="E27" s="1577">
        <f>D27</f>
        <v>9600</v>
      </c>
      <c r="F27" s="1578">
        <f t="shared" si="1"/>
        <v>576</v>
      </c>
      <c r="G27" s="1579">
        <v>9</v>
      </c>
      <c r="H27" s="1626">
        <f>IF(G27&gt;2.99999,300,200)</f>
        <v>300</v>
      </c>
      <c r="I27" s="1627">
        <f t="shared" si="2"/>
        <v>30</v>
      </c>
      <c r="J27" s="1627">
        <f>I27</f>
        <v>30</v>
      </c>
      <c r="K27" s="1628">
        <f t="shared" si="3"/>
        <v>12183.254833312378</v>
      </c>
      <c r="L27" s="1629">
        <f t="shared" si="4"/>
        <v>4061.0849444374594</v>
      </c>
      <c r="M27" s="1610"/>
      <c r="N27" s="1610"/>
      <c r="O27" s="1610"/>
      <c r="P27" s="1610"/>
      <c r="Q27" s="1534"/>
      <c r="R27" s="1534"/>
      <c r="S27" s="1534"/>
      <c r="T27" s="1632"/>
      <c r="U27" s="1633"/>
      <c r="V27" s="1633"/>
      <c r="W27" s="1633"/>
      <c r="X27" s="1633"/>
      <c r="Y27" s="1633"/>
      <c r="Z27" s="1622"/>
    </row>
    <row r="28" spans="1:26">
      <c r="A28" s="1574">
        <v>4</v>
      </c>
      <c r="B28" s="1624">
        <v>60</v>
      </c>
      <c r="C28" s="1576">
        <f>B28*10</f>
        <v>600</v>
      </c>
      <c r="D28" s="1625">
        <v>700</v>
      </c>
      <c r="E28" s="1577">
        <v>700</v>
      </c>
      <c r="F28" s="1578">
        <f t="shared" si="1"/>
        <v>42</v>
      </c>
      <c r="G28" s="1579">
        <v>4</v>
      </c>
      <c r="H28" s="1626">
        <f>IF(G28&gt;2.99999,300,200)</f>
        <v>300</v>
      </c>
      <c r="I28" s="1627">
        <f t="shared" si="2"/>
        <v>13.333333333333334</v>
      </c>
      <c r="J28" s="1627">
        <f>I28</f>
        <v>13.333333333333334</v>
      </c>
      <c r="K28" s="1628">
        <f t="shared" si="3"/>
        <v>77.990657369169313</v>
      </c>
      <c r="L28" s="1629">
        <f t="shared" si="4"/>
        <v>25.996885789723105</v>
      </c>
      <c r="M28" s="1610"/>
      <c r="N28" s="1610"/>
      <c r="O28" s="1610"/>
      <c r="P28" s="1610"/>
      <c r="Q28" s="1534"/>
      <c r="R28" s="1534"/>
      <c r="S28" s="1534"/>
      <c r="T28" s="1632"/>
      <c r="U28" s="1633"/>
      <c r="V28" s="1633"/>
      <c r="W28" s="1633"/>
      <c r="X28" s="1633"/>
      <c r="Y28" s="1633"/>
      <c r="Z28" s="1622"/>
    </row>
    <row r="29" spans="1:26">
      <c r="A29" s="1574">
        <v>5</v>
      </c>
      <c r="B29" s="1624">
        <v>60</v>
      </c>
      <c r="C29" s="1576">
        <f>B29*10</f>
        <v>600</v>
      </c>
      <c r="D29" s="1625">
        <v>1500</v>
      </c>
      <c r="E29" s="1577">
        <v>1500</v>
      </c>
      <c r="F29" s="1578">
        <f t="shared" si="1"/>
        <v>90</v>
      </c>
      <c r="G29" s="1579">
        <v>4</v>
      </c>
      <c r="H29" s="1626">
        <f>IF(G29&gt;2.99999,300,200)</f>
        <v>300</v>
      </c>
      <c r="I29" s="1627">
        <f t="shared" si="2"/>
        <v>13.333333333333334</v>
      </c>
      <c r="J29" s="1627">
        <f>I29</f>
        <v>13.333333333333334</v>
      </c>
      <c r="K29" s="1628">
        <f t="shared" si="3"/>
        <v>167.12283721964852</v>
      </c>
      <c r="L29" s="1629">
        <f t="shared" si="4"/>
        <v>55.707612406549515</v>
      </c>
      <c r="M29" s="1610"/>
      <c r="N29" s="1610"/>
      <c r="O29" s="1610"/>
      <c r="P29" s="1610"/>
      <c r="Q29" s="1534"/>
      <c r="R29" s="1534"/>
      <c r="S29" s="1534"/>
      <c r="T29" s="1632"/>
      <c r="U29" s="1633"/>
      <c r="V29" s="1633"/>
      <c r="W29" s="1633"/>
      <c r="X29" s="1633"/>
      <c r="Y29" s="1633"/>
      <c r="Z29" s="1622"/>
    </row>
    <row r="30" spans="1:26">
      <c r="A30" s="1574">
        <v>6</v>
      </c>
      <c r="B30" s="1624">
        <v>390</v>
      </c>
      <c r="C30" s="1576">
        <f>B30*10</f>
        <v>3900</v>
      </c>
      <c r="D30" s="1625">
        <v>1550</v>
      </c>
      <c r="E30" s="1577">
        <v>0</v>
      </c>
      <c r="F30" s="1578">
        <f t="shared" si="1"/>
        <v>302.25</v>
      </c>
      <c r="G30" s="1579">
        <v>4</v>
      </c>
      <c r="H30" s="1626">
        <f>IF(G30&gt;2.99999,300,200)</f>
        <v>300</v>
      </c>
      <c r="I30" s="1627">
        <f t="shared" si="2"/>
        <v>13.333333333333334</v>
      </c>
      <c r="J30" s="1627">
        <v>8</v>
      </c>
      <c r="K30" s="1628">
        <f t="shared" si="3"/>
        <v>935.42365832664393</v>
      </c>
      <c r="L30" s="1629">
        <f t="shared" si="4"/>
        <v>311.80788610888129</v>
      </c>
      <c r="M30" s="1600"/>
      <c r="N30" s="1600"/>
      <c r="O30" s="1600"/>
      <c r="P30" s="1600"/>
      <c r="Q30" s="1633"/>
      <c r="R30" s="1633"/>
      <c r="S30" s="1633"/>
      <c r="T30" s="1632"/>
      <c r="U30" s="1633"/>
      <c r="V30" s="1633"/>
      <c r="W30" s="1633"/>
      <c r="X30" s="1633"/>
      <c r="Y30" s="1633"/>
      <c r="Z30" s="1622"/>
    </row>
    <row r="31" spans="1:26">
      <c r="M31" s="1634"/>
      <c r="N31" s="1635"/>
      <c r="O31" s="1635"/>
      <c r="P31" s="1635"/>
      <c r="Q31" s="1587"/>
      <c r="R31" s="1587"/>
      <c r="S31" s="1587"/>
      <c r="T31" s="1636"/>
      <c r="U31" s="1587"/>
    </row>
    <row r="32" spans="1:26">
      <c r="A32" s="1546" t="s">
        <v>2521</v>
      </c>
      <c r="B32" s="1546"/>
      <c r="C32" s="1546"/>
      <c r="D32" s="1546"/>
      <c r="E32" s="1546"/>
      <c r="F32" s="1554"/>
      <c r="G32" s="1555"/>
      <c r="H32" s="1555"/>
      <c r="I32" s="1556"/>
      <c r="J32" s="1556"/>
      <c r="M32" s="1637"/>
      <c r="N32" s="1594"/>
      <c r="O32" s="1594"/>
      <c r="P32" s="1594"/>
      <c r="Q32" s="1595"/>
      <c r="R32" s="1586"/>
      <c r="S32" s="1586"/>
      <c r="T32" s="1638"/>
      <c r="U32" s="1595"/>
    </row>
    <row r="33" spans="1:34">
      <c r="A33" s="1561" t="s">
        <v>49</v>
      </c>
      <c r="B33" s="1528" t="s">
        <v>50</v>
      </c>
      <c r="C33" s="1528"/>
      <c r="D33" s="1528" t="s">
        <v>51</v>
      </c>
      <c r="E33" s="1528"/>
      <c r="F33" s="1529" t="s">
        <v>66</v>
      </c>
      <c r="G33" s="1530" t="s">
        <v>53</v>
      </c>
      <c r="H33" s="1530" t="s">
        <v>112</v>
      </c>
      <c r="I33" s="1531"/>
      <c r="J33" s="1532" t="s">
        <v>68</v>
      </c>
      <c r="K33" s="1744" t="s">
        <v>113</v>
      </c>
      <c r="L33" s="1745"/>
      <c r="M33" s="1532" t="s">
        <v>114</v>
      </c>
      <c r="N33" s="1532" t="s">
        <v>115</v>
      </c>
    </row>
    <row r="34" spans="1:34">
      <c r="A34" s="1564" t="s">
        <v>57</v>
      </c>
      <c r="B34" s="1565" t="s">
        <v>58</v>
      </c>
      <c r="C34" s="1565" t="s">
        <v>59</v>
      </c>
      <c r="D34" s="1565" t="s">
        <v>60</v>
      </c>
      <c r="E34" s="1565" t="s">
        <v>61</v>
      </c>
      <c r="F34" s="1566" t="s">
        <v>62</v>
      </c>
      <c r="G34" s="1567" t="s">
        <v>63</v>
      </c>
      <c r="H34" s="1568" t="s">
        <v>116</v>
      </c>
      <c r="I34" s="1568" t="s">
        <v>117</v>
      </c>
      <c r="J34" s="1639" t="s">
        <v>71</v>
      </c>
      <c r="K34" s="1603" t="s">
        <v>116</v>
      </c>
      <c r="L34" s="1603" t="s">
        <v>118</v>
      </c>
      <c r="M34" s="1568" t="s">
        <v>119</v>
      </c>
      <c r="N34" s="1568" t="s">
        <v>110</v>
      </c>
      <c r="O34" s="1545" t="s">
        <v>240</v>
      </c>
      <c r="P34" s="1545" t="s">
        <v>120</v>
      </c>
      <c r="Q34" s="1545" t="s">
        <v>435</v>
      </c>
      <c r="R34" s="1545" t="s">
        <v>434</v>
      </c>
      <c r="S34" s="1545" t="s">
        <v>457</v>
      </c>
      <c r="T34" s="1545" t="s">
        <v>110</v>
      </c>
      <c r="U34" s="1545" t="s">
        <v>599</v>
      </c>
      <c r="V34" s="1545" t="s">
        <v>436</v>
      </c>
      <c r="W34" s="1545" t="s">
        <v>58</v>
      </c>
    </row>
    <row r="35" spans="1:34">
      <c r="A35" s="1624">
        <f>A25</f>
        <v>1</v>
      </c>
      <c r="B35" s="1576">
        <f>B25</f>
        <v>264.8</v>
      </c>
      <c r="C35" s="1640">
        <f t="shared" ref="C35:C40" si="5">B35*10</f>
        <v>2648</v>
      </c>
      <c r="D35" s="1577">
        <f>D25</f>
        <v>9600</v>
      </c>
      <c r="E35" s="1578">
        <f>E25</f>
        <v>9600</v>
      </c>
      <c r="F35" s="1624">
        <f>F25</f>
        <v>2542.08</v>
      </c>
      <c r="G35" s="1641">
        <f>G25</f>
        <v>13</v>
      </c>
      <c r="H35" s="1640">
        <f t="shared" ref="H35:H40" si="6">F35*G35*G35/10</f>
        <v>42961.152000000002</v>
      </c>
      <c r="I35" s="1576">
        <f t="shared" ref="I35:I40" si="7">F35*G35*G35/12.5</f>
        <v>34368.921600000001</v>
      </c>
      <c r="J35" s="1642">
        <v>1400</v>
      </c>
      <c r="K35" s="1643">
        <f t="shared" ref="K35:K40" si="8">H35*100/J35</f>
        <v>3068.6537142857146</v>
      </c>
      <c r="L35" s="1644">
        <f t="shared" ref="L35:L40" si="9">I35*100/J35</f>
        <v>2454.9229714285716</v>
      </c>
      <c r="M35" s="1625">
        <f t="shared" ref="M35:M40" si="10">1.143*G35*F35</f>
        <v>37772.76672</v>
      </c>
      <c r="N35" s="1577">
        <f t="shared" ref="N35:N40" si="11">M35/300</f>
        <v>125.9092224</v>
      </c>
      <c r="O35" s="1545">
        <f>H35/1000</f>
        <v>42.961151999999998</v>
      </c>
      <c r="P35" s="1545">
        <v>5</v>
      </c>
      <c r="Q35" s="1545">
        <f>O35/P35</f>
        <v>8.5922304</v>
      </c>
      <c r="R35" s="1545">
        <f>Q35/2</f>
        <v>4.2961152</v>
      </c>
      <c r="S35" s="1545">
        <v>1.2</v>
      </c>
      <c r="T35" s="1545">
        <f>R35/S35</f>
        <v>3.5800960000000002</v>
      </c>
      <c r="U35" s="1591">
        <f>T35*0.785</f>
        <v>2.8103753600000001</v>
      </c>
      <c r="V35" s="1545">
        <f>U35*5.5</f>
        <v>15.45706448</v>
      </c>
      <c r="W35" s="1545">
        <f>V35/25</f>
        <v>0.61828257919999996</v>
      </c>
    </row>
    <row r="36" spans="1:34">
      <c r="A36" s="1624">
        <f>A26</f>
        <v>2</v>
      </c>
      <c r="B36" s="1576">
        <f>B26</f>
        <v>225</v>
      </c>
      <c r="C36" s="1640">
        <f t="shared" si="5"/>
        <v>2250</v>
      </c>
      <c r="D36" s="1577">
        <f>D26</f>
        <v>9000</v>
      </c>
      <c r="E36" s="1578">
        <f>E26</f>
        <v>9000</v>
      </c>
      <c r="F36" s="1624">
        <f>B36*(D36+E36)/2000</f>
        <v>2025</v>
      </c>
      <c r="G36" s="1641">
        <f>G26</f>
        <v>16</v>
      </c>
      <c r="H36" s="1640">
        <f t="shared" si="6"/>
        <v>51840</v>
      </c>
      <c r="I36" s="1576">
        <f t="shared" si="7"/>
        <v>41472</v>
      </c>
      <c r="J36" s="1642">
        <f>J35</f>
        <v>1400</v>
      </c>
      <c r="K36" s="1643">
        <f t="shared" si="8"/>
        <v>3702.8571428571427</v>
      </c>
      <c r="L36" s="1644">
        <f t="shared" si="9"/>
        <v>2962.2857142857142</v>
      </c>
      <c r="M36" s="1625">
        <f t="shared" si="10"/>
        <v>37033.199999999997</v>
      </c>
      <c r="N36" s="1577">
        <f t="shared" si="11"/>
        <v>123.44399999999999</v>
      </c>
    </row>
    <row r="37" spans="1:34">
      <c r="A37" s="1624">
        <v>3</v>
      </c>
      <c r="B37" s="1576">
        <f>B27</f>
        <v>60</v>
      </c>
      <c r="C37" s="1640">
        <f t="shared" si="5"/>
        <v>600</v>
      </c>
      <c r="D37" s="1577">
        <f>D27</f>
        <v>9600</v>
      </c>
      <c r="E37" s="1578">
        <f>E27</f>
        <v>9600</v>
      </c>
      <c r="F37" s="1624">
        <f>B37*(D37+E37)/2000</f>
        <v>576</v>
      </c>
      <c r="G37" s="1641">
        <f>G27</f>
        <v>9</v>
      </c>
      <c r="H37" s="1640">
        <f t="shared" si="6"/>
        <v>4665.6000000000004</v>
      </c>
      <c r="I37" s="1576">
        <f t="shared" si="7"/>
        <v>3732.48</v>
      </c>
      <c r="J37" s="1642">
        <f>J36</f>
        <v>1400</v>
      </c>
      <c r="K37" s="1643">
        <f t="shared" si="8"/>
        <v>333.25714285714292</v>
      </c>
      <c r="L37" s="1644">
        <f t="shared" si="9"/>
        <v>266.60571428571427</v>
      </c>
      <c r="M37" s="1625">
        <f t="shared" si="10"/>
        <v>5925.3120000000008</v>
      </c>
      <c r="N37" s="1577">
        <f t="shared" si="11"/>
        <v>19.751040000000003</v>
      </c>
    </row>
    <row r="38" spans="1:34">
      <c r="A38" s="1624">
        <v>4</v>
      </c>
      <c r="B38" s="1576">
        <v>60</v>
      </c>
      <c r="C38" s="1640">
        <f t="shared" si="5"/>
        <v>600</v>
      </c>
      <c r="D38" s="1577">
        <v>700</v>
      </c>
      <c r="E38" s="1578">
        <v>700</v>
      </c>
      <c r="F38" s="1624">
        <f>B38*(D38+E38)/2000</f>
        <v>42</v>
      </c>
      <c r="G38" s="1641">
        <v>1.5</v>
      </c>
      <c r="H38" s="1640">
        <f t="shared" si="6"/>
        <v>9.4499999999999993</v>
      </c>
      <c r="I38" s="1576">
        <f t="shared" si="7"/>
        <v>7.56</v>
      </c>
      <c r="J38" s="1642">
        <f>J37</f>
        <v>1400</v>
      </c>
      <c r="K38" s="1643">
        <f t="shared" si="8"/>
        <v>0.67499999999999993</v>
      </c>
      <c r="L38" s="1644">
        <f t="shared" si="9"/>
        <v>0.54</v>
      </c>
      <c r="M38" s="1625">
        <f t="shared" si="10"/>
        <v>72.009</v>
      </c>
      <c r="N38" s="1577">
        <f t="shared" si="11"/>
        <v>0.24002999999999999</v>
      </c>
    </row>
    <row r="39" spans="1:34">
      <c r="A39" s="1624">
        <v>5</v>
      </c>
      <c r="B39" s="1576">
        <v>60</v>
      </c>
      <c r="C39" s="1640">
        <f t="shared" si="5"/>
        <v>600</v>
      </c>
      <c r="D39" s="1577">
        <v>1500</v>
      </c>
      <c r="E39" s="1578">
        <v>1500</v>
      </c>
      <c r="F39" s="1624">
        <f>B39*(D39+E39)/2000</f>
        <v>90</v>
      </c>
      <c r="G39" s="1641">
        <v>2.1</v>
      </c>
      <c r="H39" s="1640">
        <f t="shared" si="6"/>
        <v>39.690000000000005</v>
      </c>
      <c r="I39" s="1576">
        <f t="shared" si="7"/>
        <v>31.752000000000002</v>
      </c>
      <c r="J39" s="1642">
        <f>J38</f>
        <v>1400</v>
      </c>
      <c r="K39" s="1643">
        <f t="shared" si="8"/>
        <v>2.8350000000000004</v>
      </c>
      <c r="L39" s="1644">
        <f t="shared" si="9"/>
        <v>2.2680000000000002</v>
      </c>
      <c r="M39" s="1625">
        <f t="shared" si="10"/>
        <v>216.02700000000002</v>
      </c>
      <c r="N39" s="1577">
        <f t="shared" si="11"/>
        <v>0.72009000000000001</v>
      </c>
    </row>
    <row r="40" spans="1:34">
      <c r="A40" s="1624">
        <v>6</v>
      </c>
      <c r="B40" s="1576">
        <v>390</v>
      </c>
      <c r="C40" s="1640">
        <f t="shared" si="5"/>
        <v>3900</v>
      </c>
      <c r="D40" s="1577">
        <v>1550</v>
      </c>
      <c r="E40" s="1578">
        <v>0</v>
      </c>
      <c r="F40" s="1624">
        <f>B40*(D40+E40)/2000</f>
        <v>302.25</v>
      </c>
      <c r="G40" s="1641">
        <v>2</v>
      </c>
      <c r="H40" s="1640">
        <f t="shared" si="6"/>
        <v>120.9</v>
      </c>
      <c r="I40" s="1576">
        <f t="shared" si="7"/>
        <v>96.72</v>
      </c>
      <c r="J40" s="1642">
        <f>J39</f>
        <v>1400</v>
      </c>
      <c r="K40" s="1643">
        <f t="shared" si="8"/>
        <v>8.6357142857142861</v>
      </c>
      <c r="L40" s="1644">
        <f t="shared" si="9"/>
        <v>6.9085714285714284</v>
      </c>
      <c r="M40" s="1625">
        <f t="shared" si="10"/>
        <v>690.94349999999997</v>
      </c>
      <c r="N40" s="1577">
        <f t="shared" si="11"/>
        <v>2.3031449999999998</v>
      </c>
    </row>
    <row r="41" spans="1:34">
      <c r="A41" s="1622"/>
      <c r="B41" s="1622"/>
      <c r="C41" s="1622"/>
      <c r="D41" s="1622"/>
      <c r="E41" s="1622"/>
      <c r="F41" s="1622"/>
      <c r="G41" s="1622"/>
      <c r="H41" s="1622"/>
      <c r="I41" s="1622"/>
      <c r="K41" s="1645"/>
      <c r="L41" s="1645"/>
    </row>
    <row r="42" spans="1:34">
      <c r="K42" s="1646">
        <f>2*L25/K35</f>
        <v>76.275585042763964</v>
      </c>
      <c r="L42" s="1545">
        <v>18.8</v>
      </c>
      <c r="M42" s="1646">
        <f>L42*8/32</f>
        <v>4.7</v>
      </c>
    </row>
    <row r="43" spans="1:34">
      <c r="H43" s="1545">
        <f>H35/1</f>
        <v>42961.152000000002</v>
      </c>
      <c r="I43" s="1545" t="s">
        <v>75</v>
      </c>
    </row>
    <row r="44" spans="1:34">
      <c r="H44" s="1545">
        <f>H43/1000</f>
        <v>42.961151999999998</v>
      </c>
      <c r="I44" s="1545" t="s">
        <v>110</v>
      </c>
    </row>
    <row r="45" spans="1:34">
      <c r="A45" s="1742" t="s">
        <v>2523</v>
      </c>
      <c r="B45" s="1743"/>
      <c r="C45" s="1743"/>
      <c r="D45" s="1743"/>
      <c r="E45" s="1743"/>
      <c r="F45" s="1743"/>
      <c r="G45" s="1743"/>
      <c r="H45" s="1743"/>
      <c r="I45" s="1743"/>
      <c r="J45" s="1743"/>
      <c r="K45" s="1743"/>
      <c r="L45" s="1743"/>
    </row>
    <row r="46" spans="1:34">
      <c r="A46" s="1546"/>
      <c r="B46" s="1547"/>
      <c r="C46" s="1547"/>
      <c r="D46" s="1547"/>
      <c r="E46" s="1548"/>
      <c r="G46" s="1549"/>
      <c r="H46" s="1550"/>
      <c r="I46" s="1550"/>
      <c r="J46" s="1550"/>
      <c r="K46" s="1551"/>
      <c r="L46" s="1550"/>
      <c r="M46" s="1552"/>
      <c r="N46" s="1552"/>
      <c r="O46" s="1552"/>
      <c r="P46" s="1552"/>
      <c r="Q46" s="1552"/>
      <c r="R46" s="1552"/>
      <c r="S46" s="1552"/>
      <c r="T46" s="1552"/>
      <c r="U46" s="1552"/>
      <c r="V46" s="1552"/>
      <c r="W46" s="1552"/>
      <c r="X46" s="1552"/>
      <c r="Y46" s="1552"/>
      <c r="Z46" s="1552"/>
    </row>
    <row r="47" spans="1:34" ht="12.75" thickBot="1">
      <c r="A47" s="1647" t="s">
        <v>100</v>
      </c>
      <c r="B47" s="1546"/>
      <c r="C47" s="1546"/>
      <c r="D47" s="1546"/>
      <c r="E47" s="1546"/>
      <c r="F47" s="1554"/>
      <c r="G47" s="1555"/>
      <c r="H47" s="1556"/>
      <c r="I47" s="1556"/>
      <c r="J47" s="1556"/>
      <c r="K47" s="1556"/>
      <c r="L47" s="1556"/>
      <c r="M47" s="1552"/>
      <c r="N47" s="1552"/>
      <c r="O47" s="1552"/>
      <c r="P47" s="1552"/>
      <c r="Q47" s="1552"/>
      <c r="R47" s="1552"/>
      <c r="S47" s="1552"/>
      <c r="T47" s="1552"/>
      <c r="U47" s="1552"/>
      <c r="V47" s="1552"/>
      <c r="W47" s="1552"/>
      <c r="X47" s="1552"/>
      <c r="Y47" s="1552"/>
      <c r="Z47" s="1552"/>
    </row>
    <row r="48" spans="1:34">
      <c r="A48" s="1552"/>
      <c r="B48" s="1547"/>
      <c r="C48" s="1547"/>
      <c r="D48" s="1547"/>
      <c r="E48" s="1548"/>
      <c r="F48" s="1557"/>
      <c r="G48" s="1549"/>
      <c r="H48" s="1550"/>
      <c r="I48" s="1550"/>
      <c r="J48" s="1550"/>
      <c r="K48" s="1550"/>
      <c r="L48" s="1550"/>
      <c r="M48" s="1558" t="s">
        <v>104</v>
      </c>
      <c r="N48" s="1559"/>
      <c r="O48" s="1559"/>
      <c r="P48" s="1559"/>
      <c r="Q48" s="1559"/>
      <c r="R48" s="1559"/>
      <c r="S48" s="1559"/>
      <c r="T48" s="1559"/>
      <c r="U48" s="1559"/>
      <c r="V48" s="1559"/>
      <c r="W48" s="1559"/>
      <c r="X48" s="1560"/>
      <c r="Y48" s="1619"/>
      <c r="Z48" s="1619"/>
      <c r="AA48" s="1622"/>
      <c r="AB48" s="1622"/>
      <c r="AC48" s="1622"/>
      <c r="AD48" s="1622"/>
      <c r="AE48" s="1622"/>
      <c r="AF48" s="1622"/>
      <c r="AG48" s="1622"/>
      <c r="AH48" s="1622"/>
    </row>
    <row r="49" spans="1:34">
      <c r="A49" s="1552"/>
      <c r="B49" s="1547"/>
      <c r="C49" s="1547"/>
      <c r="D49" s="1547"/>
      <c r="E49" s="1548"/>
      <c r="F49" s="1557"/>
      <c r="G49" s="1549"/>
      <c r="H49" s="1550"/>
      <c r="I49" s="1550"/>
      <c r="J49" s="1550"/>
      <c r="K49" s="1550"/>
      <c r="L49" s="1550"/>
      <c r="M49" s="1562" t="s">
        <v>132</v>
      </c>
      <c r="N49" s="1528"/>
      <c r="O49" s="1528"/>
      <c r="P49" s="1528"/>
      <c r="Q49" s="1529" t="s">
        <v>578</v>
      </c>
      <c r="R49" s="1529" t="s">
        <v>572</v>
      </c>
      <c r="S49" s="1529" t="s">
        <v>56</v>
      </c>
      <c r="T49" s="1529" t="s">
        <v>1952</v>
      </c>
      <c r="U49" s="1529" t="s">
        <v>105</v>
      </c>
      <c r="V49" s="1529" t="s">
        <v>106</v>
      </c>
      <c r="W49" s="1529" t="s">
        <v>0</v>
      </c>
      <c r="X49" s="1563" t="s">
        <v>107</v>
      </c>
      <c r="Y49" s="1546"/>
      <c r="Z49" s="1619"/>
      <c r="AA49" s="1622"/>
      <c r="AB49" s="1622"/>
      <c r="AC49" s="1622"/>
      <c r="AD49" s="1622"/>
      <c r="AE49" s="1622"/>
      <c r="AF49" s="1622"/>
      <c r="AG49" s="1622"/>
      <c r="AH49" s="1622"/>
    </row>
    <row r="50" spans="1:34">
      <c r="A50" s="1561" t="s">
        <v>49</v>
      </c>
      <c r="B50" s="1528" t="s">
        <v>50</v>
      </c>
      <c r="C50" s="1528"/>
      <c r="D50" s="1528" t="s">
        <v>51</v>
      </c>
      <c r="E50" s="1528"/>
      <c r="F50" s="1529" t="s">
        <v>52</v>
      </c>
      <c r="G50" s="1530" t="s">
        <v>53</v>
      </c>
      <c r="H50" s="1528" t="s">
        <v>54</v>
      </c>
      <c r="I50" s="1528"/>
      <c r="J50" s="1530" t="s">
        <v>55</v>
      </c>
      <c r="K50" s="2" t="s">
        <v>56</v>
      </c>
      <c r="M50" s="1570" t="s">
        <v>570</v>
      </c>
      <c r="N50" s="1571" t="s">
        <v>1746</v>
      </c>
      <c r="O50" s="1571" t="s">
        <v>108</v>
      </c>
      <c r="P50" s="1571" t="s">
        <v>109</v>
      </c>
      <c r="Q50" s="1566" t="s">
        <v>110</v>
      </c>
      <c r="R50" s="1566" t="s">
        <v>599</v>
      </c>
      <c r="S50" s="1566" t="s">
        <v>111</v>
      </c>
      <c r="T50" s="1566" t="s">
        <v>72</v>
      </c>
      <c r="U50" s="1566" t="s">
        <v>607</v>
      </c>
      <c r="V50" s="1566" t="s">
        <v>111</v>
      </c>
      <c r="W50" s="1566" t="s">
        <v>72</v>
      </c>
      <c r="X50" s="1572" t="s">
        <v>607</v>
      </c>
      <c r="Y50" s="1621"/>
      <c r="Z50" s="1622"/>
      <c r="AA50" s="1622"/>
      <c r="AB50" s="1622"/>
      <c r="AC50" s="1622"/>
      <c r="AD50" s="1622"/>
      <c r="AE50" s="1622"/>
      <c r="AF50" s="1622"/>
      <c r="AG50" s="1622"/>
      <c r="AH50" s="1622"/>
    </row>
    <row r="51" spans="1:34">
      <c r="A51" s="1564" t="s">
        <v>57</v>
      </c>
      <c r="B51" s="1565" t="s">
        <v>58</v>
      </c>
      <c r="C51" s="1565" t="s">
        <v>59</v>
      </c>
      <c r="D51" s="1565" t="s">
        <v>60</v>
      </c>
      <c r="E51" s="1565" t="s">
        <v>61</v>
      </c>
      <c r="F51" s="1566" t="s">
        <v>62</v>
      </c>
      <c r="G51" s="1567" t="s">
        <v>63</v>
      </c>
      <c r="H51" s="1568" t="s">
        <v>64</v>
      </c>
      <c r="I51" s="1568" t="s">
        <v>601</v>
      </c>
      <c r="J51" s="1568" t="s">
        <v>601</v>
      </c>
      <c r="K51" s="1569" t="s">
        <v>65</v>
      </c>
      <c r="M51" s="1536">
        <v>120</v>
      </c>
      <c r="N51" s="1537">
        <v>60</v>
      </c>
      <c r="O51" s="1537">
        <v>4</v>
      </c>
      <c r="P51" s="1537">
        <f>O51</f>
        <v>4</v>
      </c>
      <c r="Q51" s="1537">
        <f>(N51*M51-(N51-2*O51)*(M51-2*P51))/100</f>
        <v>13.76</v>
      </c>
      <c r="R51" s="1537">
        <f>0.785*Q51</f>
        <v>10.801600000000001</v>
      </c>
      <c r="S51" s="1537">
        <f>(N51*M51*M51*M51-(N51-2*O51)*(M51-2*P51)*(M51-2*P51)*(M51-2*P51))/12/10000</f>
        <v>255.19786666666664</v>
      </c>
      <c r="T51" s="1537">
        <f>2*10*S51/M51</f>
        <v>42.532977777777774</v>
      </c>
      <c r="U51" s="1537">
        <f>SQRT(S51/Q51)</f>
        <v>4.3065481059831772</v>
      </c>
      <c r="V51" s="1537">
        <f>(M51*N51*N51*N51-(M51-2*P51)*(N51-2*O51)*(N51-2*O51)*(N51-2*O51))/12/10000</f>
        <v>84.765866666666668</v>
      </c>
      <c r="W51" s="1537">
        <f>2*10*V51/N51</f>
        <v>28.255288888888892</v>
      </c>
      <c r="X51" s="1538">
        <f>SQRT(V51/Q51)</f>
        <v>2.4819971953085243</v>
      </c>
      <c r="Y51" s="1621"/>
      <c r="Z51" s="1622"/>
      <c r="AA51" s="1622"/>
      <c r="AB51" s="1622"/>
      <c r="AC51" s="1622"/>
      <c r="AD51" s="1622"/>
      <c r="AE51" s="1622"/>
      <c r="AF51" s="1622"/>
      <c r="AG51" s="1622"/>
      <c r="AH51" s="1622"/>
    </row>
    <row r="52" spans="1:34">
      <c r="A52" s="1574">
        <v>1</v>
      </c>
      <c r="B52" s="1648">
        <v>55</v>
      </c>
      <c r="C52" s="1648">
        <f t="shared" ref="C52:C57" si="12">B52*10</f>
        <v>550</v>
      </c>
      <c r="D52" s="1648">
        <v>9600</v>
      </c>
      <c r="E52" s="1648">
        <f>D52</f>
        <v>9600</v>
      </c>
      <c r="F52" s="1648">
        <f t="shared" ref="F52:F57" si="13">B52*(D52+E52)/2000</f>
        <v>528</v>
      </c>
      <c r="G52" s="1648">
        <v>14</v>
      </c>
      <c r="H52" s="1648">
        <v>300</v>
      </c>
      <c r="I52" s="1648">
        <f t="shared" ref="I52:I57" si="14">G52*1000/H52</f>
        <v>46.666666666666664</v>
      </c>
      <c r="J52" s="1648">
        <f>I52</f>
        <v>46.666666666666664</v>
      </c>
      <c r="K52" s="1648">
        <f>$F52*$G52*$G52*$G52*$G52*10000000/(192*700000*$J52)</f>
        <v>32340</v>
      </c>
      <c r="M52" s="1536">
        <v>250</v>
      </c>
      <c r="N52" s="1537">
        <v>100</v>
      </c>
      <c r="O52" s="1537">
        <v>3.6</v>
      </c>
      <c r="P52" s="1537">
        <f>O52</f>
        <v>3.6</v>
      </c>
      <c r="Q52" s="1537">
        <f>(N52*M52-(N52-2*O52)*(M52-2*P52))/100</f>
        <v>24.6816</v>
      </c>
      <c r="R52" s="1537">
        <f>0.785*Q52</f>
        <v>19.375056000000001</v>
      </c>
      <c r="S52" s="1537">
        <f>(N52*M52*M52*M52-(N52-2*O52)*(M52-2*P52)*(M52-2*P52)*(M52-2*P52))/12/10000</f>
        <v>1951.7214451199991</v>
      </c>
      <c r="T52" s="1537">
        <f>2*10*S52/M52</f>
        <v>156.13771560959992</v>
      </c>
      <c r="U52" s="1537">
        <f>SQRT(S52/Q52)</f>
        <v>8.8924670002450537</v>
      </c>
      <c r="V52" s="1537">
        <f>(M52*N52*N52*N52-(M52-2*P52)*(N52-2*O52)*(N52-2*O52)*(N52-2*O52))/12/10000</f>
        <v>466.3283251200001</v>
      </c>
      <c r="W52" s="1537">
        <f>2*10*V52/N52</f>
        <v>93.265665024000029</v>
      </c>
      <c r="X52" s="1538">
        <f>SQRT(V52/Q52)</f>
        <v>4.3466957545802583</v>
      </c>
      <c r="Y52" s="1633">
        <f>R52/D52*1000</f>
        <v>2.0182350000000002</v>
      </c>
      <c r="Z52" s="1622"/>
      <c r="AA52" s="1622"/>
      <c r="AB52" s="1622"/>
      <c r="AC52" s="1622"/>
      <c r="AD52" s="1622"/>
      <c r="AE52" s="1622"/>
      <c r="AF52" s="1622"/>
      <c r="AG52" s="1622"/>
      <c r="AH52" s="1622"/>
    </row>
    <row r="53" spans="1:34">
      <c r="A53" s="1574">
        <v>2</v>
      </c>
      <c r="B53" s="1648">
        <v>200</v>
      </c>
      <c r="C53" s="1648">
        <f t="shared" si="12"/>
        <v>2000</v>
      </c>
      <c r="D53" s="1648">
        <v>900</v>
      </c>
      <c r="E53" s="1648">
        <v>900</v>
      </c>
      <c r="F53" s="1648">
        <f t="shared" si="13"/>
        <v>180</v>
      </c>
      <c r="G53" s="1648">
        <v>6</v>
      </c>
      <c r="H53" s="1648">
        <f>IF(G53&gt;2.99999,300,200)</f>
        <v>300</v>
      </c>
      <c r="I53" s="1648">
        <f t="shared" si="14"/>
        <v>20</v>
      </c>
      <c r="J53" s="1648">
        <f>I53</f>
        <v>20</v>
      </c>
      <c r="K53" s="1648">
        <f t="shared" ref="K53:K57" si="15">$F53*$G53*$G53*$G53*$G53*10000000/(192*2100000*$J53)</f>
        <v>289.28571428571428</v>
      </c>
      <c r="M53" s="1536"/>
      <c r="N53" s="1537"/>
      <c r="O53" s="1537"/>
      <c r="P53" s="1537"/>
      <c r="Q53" s="1537"/>
      <c r="R53" s="1537"/>
      <c r="S53" s="1537"/>
      <c r="T53" s="1537"/>
      <c r="U53" s="1537"/>
      <c r="V53" s="1537"/>
      <c r="W53" s="1537"/>
      <c r="X53" s="1538"/>
      <c r="Y53" s="1633"/>
      <c r="Z53" s="1622"/>
      <c r="AA53" s="1622"/>
      <c r="AB53" s="1622"/>
      <c r="AC53" s="1622"/>
      <c r="AD53" s="1622"/>
      <c r="AE53" s="1622"/>
      <c r="AF53" s="1622"/>
      <c r="AG53" s="1622"/>
      <c r="AH53" s="1622"/>
    </row>
    <row r="54" spans="1:34" ht="12.75" thickBot="1">
      <c r="A54" s="1574">
        <v>3</v>
      </c>
      <c r="B54" s="1648">
        <v>100</v>
      </c>
      <c r="C54" s="1648">
        <f t="shared" si="12"/>
        <v>1000</v>
      </c>
      <c r="D54" s="1648">
        <v>1900</v>
      </c>
      <c r="E54" s="1648">
        <v>1900</v>
      </c>
      <c r="F54" s="1648">
        <f t="shared" si="13"/>
        <v>190</v>
      </c>
      <c r="G54" s="1648">
        <v>4</v>
      </c>
      <c r="H54" s="1648">
        <f>IF(G54&gt;2.99999,300,200)</f>
        <v>300</v>
      </c>
      <c r="I54" s="1648">
        <f t="shared" si="14"/>
        <v>13.333333333333334</v>
      </c>
      <c r="J54" s="1648">
        <f>I54</f>
        <v>13.333333333333334</v>
      </c>
      <c r="K54" s="1648">
        <f t="shared" si="15"/>
        <v>90.476190476190482</v>
      </c>
      <c r="M54" s="1539"/>
      <c r="N54" s="1540"/>
      <c r="O54" s="1540"/>
      <c r="P54" s="1540"/>
      <c r="Q54" s="1540"/>
      <c r="R54" s="1540"/>
      <c r="S54" s="1540"/>
      <c r="T54" s="1540"/>
      <c r="U54" s="1540"/>
      <c r="V54" s="1540"/>
      <c r="W54" s="1540"/>
      <c r="X54" s="1541"/>
      <c r="Y54" s="1633"/>
      <c r="Z54" s="1622"/>
      <c r="AA54" s="1622"/>
      <c r="AB54" s="1622"/>
      <c r="AC54" s="1622"/>
      <c r="AD54" s="1622"/>
      <c r="AE54" s="1622"/>
      <c r="AF54" s="1622"/>
      <c r="AG54" s="1622"/>
      <c r="AH54" s="1622"/>
    </row>
    <row r="55" spans="1:34">
      <c r="A55" s="1574">
        <v>4</v>
      </c>
      <c r="B55" s="1648">
        <v>4000</v>
      </c>
      <c r="C55" s="1648">
        <f t="shared" si="12"/>
        <v>40000</v>
      </c>
      <c r="D55" s="1648">
        <v>700</v>
      </c>
      <c r="E55" s="1648">
        <v>700</v>
      </c>
      <c r="F55" s="1648">
        <f t="shared" si="13"/>
        <v>2800</v>
      </c>
      <c r="G55" s="1648">
        <v>1.5</v>
      </c>
      <c r="H55" s="1648">
        <f>IF(G55&gt;2.99999,300,200)</f>
        <v>200</v>
      </c>
      <c r="I55" s="1648">
        <f t="shared" si="14"/>
        <v>7.5</v>
      </c>
      <c r="J55" s="1648">
        <f>I55</f>
        <v>7.5</v>
      </c>
      <c r="K55" s="1648">
        <f t="shared" si="15"/>
        <v>46.875</v>
      </c>
      <c r="M55" s="1600"/>
      <c r="N55" s="1600"/>
      <c r="O55" s="1600"/>
      <c r="P55" s="1600"/>
      <c r="Q55" s="1633"/>
      <c r="R55" s="1633"/>
      <c r="S55" s="1633"/>
      <c r="T55" s="1632"/>
      <c r="U55" s="1633"/>
      <c r="V55" s="1633"/>
      <c r="W55" s="1633"/>
      <c r="X55" s="1633"/>
      <c r="Y55" s="1633"/>
      <c r="Z55" s="1622"/>
      <c r="AA55" s="1622"/>
      <c r="AB55" s="1622"/>
      <c r="AC55" s="1622"/>
      <c r="AD55" s="1622"/>
      <c r="AE55" s="1622"/>
      <c r="AF55" s="1622"/>
      <c r="AG55" s="1622"/>
      <c r="AH55" s="1622"/>
    </row>
    <row r="56" spans="1:34">
      <c r="A56" s="1574">
        <v>5</v>
      </c>
      <c r="B56" s="1648">
        <v>60</v>
      </c>
      <c r="C56" s="1648">
        <f t="shared" si="12"/>
        <v>600</v>
      </c>
      <c r="D56" s="1648">
        <v>1500</v>
      </c>
      <c r="E56" s="1648">
        <v>1500</v>
      </c>
      <c r="F56" s="1648">
        <f t="shared" si="13"/>
        <v>90</v>
      </c>
      <c r="G56" s="1648">
        <v>2.1</v>
      </c>
      <c r="H56" s="1648">
        <f>IF(G56&gt;2.99999,300,200)</f>
        <v>200</v>
      </c>
      <c r="I56" s="1648">
        <f t="shared" si="14"/>
        <v>10.5</v>
      </c>
      <c r="J56" s="1648">
        <f>I56</f>
        <v>10.5</v>
      </c>
      <c r="K56" s="1648">
        <f t="shared" si="15"/>
        <v>4.1343750000000012</v>
      </c>
      <c r="M56" s="1600"/>
      <c r="N56" s="1600"/>
      <c r="O56" s="1600"/>
      <c r="P56" s="1600"/>
      <c r="Q56" s="1633"/>
      <c r="R56" s="1633"/>
      <c r="S56" s="1633"/>
      <c r="T56" s="1632"/>
      <c r="U56" s="1633"/>
      <c r="V56" s="1633"/>
      <c r="W56" s="1633"/>
      <c r="X56" s="1633"/>
      <c r="Y56" s="1633"/>
      <c r="Z56" s="1622"/>
      <c r="AA56" s="1622"/>
      <c r="AB56" s="1622"/>
      <c r="AC56" s="1622"/>
      <c r="AD56" s="1622"/>
      <c r="AE56" s="1622"/>
      <c r="AF56" s="1622"/>
      <c r="AG56" s="1622"/>
      <c r="AH56" s="1622"/>
    </row>
    <row r="57" spans="1:34">
      <c r="A57" s="1574">
        <v>6</v>
      </c>
      <c r="B57" s="1648">
        <v>390</v>
      </c>
      <c r="C57" s="1648">
        <f t="shared" si="12"/>
        <v>3900</v>
      </c>
      <c r="D57" s="1648">
        <v>1550</v>
      </c>
      <c r="E57" s="1648">
        <v>0</v>
      </c>
      <c r="F57" s="1648">
        <f t="shared" si="13"/>
        <v>302.25</v>
      </c>
      <c r="G57" s="1648">
        <v>2</v>
      </c>
      <c r="H57" s="1648">
        <f>IF(G57&gt;2.99999,300,200)</f>
        <v>200</v>
      </c>
      <c r="I57" s="1648">
        <f t="shared" si="14"/>
        <v>10</v>
      </c>
      <c r="J57" s="1648">
        <v>8</v>
      </c>
      <c r="K57" s="1648">
        <f t="shared" si="15"/>
        <v>14.992559523809524</v>
      </c>
      <c r="M57" s="1600"/>
      <c r="N57" s="1600"/>
      <c r="O57" s="1600"/>
      <c r="P57" s="1600"/>
      <c r="Q57" s="1633"/>
      <c r="R57" s="1633"/>
      <c r="S57" s="1633"/>
      <c r="T57" s="1632"/>
      <c r="U57" s="1633"/>
      <c r="V57" s="1633"/>
      <c r="W57" s="1633"/>
      <c r="X57" s="1633"/>
      <c r="Y57" s="1633"/>
      <c r="Z57" s="1622"/>
      <c r="AA57" s="1622"/>
      <c r="AB57" s="1622"/>
      <c r="AC57" s="1622"/>
      <c r="AD57" s="1622"/>
      <c r="AE57" s="1622"/>
      <c r="AF57" s="1622"/>
      <c r="AG57" s="1622"/>
      <c r="AH57" s="1622"/>
    </row>
    <row r="58" spans="1:34">
      <c r="M58" s="1600"/>
      <c r="N58" s="1600"/>
      <c r="O58" s="1600"/>
      <c r="P58" s="1600"/>
      <c r="Q58" s="1633"/>
      <c r="R58" s="1633"/>
      <c r="S58" s="1633"/>
      <c r="T58" s="1632"/>
      <c r="U58" s="1633"/>
      <c r="V58" s="1622"/>
      <c r="W58" s="1622"/>
      <c r="X58" s="1622"/>
      <c r="Y58" s="1622"/>
      <c r="Z58" s="1622"/>
      <c r="AA58" s="1622"/>
      <c r="AB58" s="1622"/>
      <c r="AC58" s="1622"/>
      <c r="AD58" s="1622"/>
      <c r="AE58" s="1622"/>
      <c r="AF58" s="1622"/>
      <c r="AG58" s="1622"/>
      <c r="AH58" s="1622"/>
    </row>
    <row r="59" spans="1:34">
      <c r="A59" s="1546" t="s">
        <v>2521</v>
      </c>
      <c r="B59" s="1546"/>
      <c r="C59" s="1546"/>
      <c r="D59" s="1546"/>
      <c r="E59" s="1546"/>
      <c r="F59" s="1554"/>
      <c r="G59" s="1555"/>
      <c r="H59" s="1555"/>
      <c r="I59" s="1556"/>
      <c r="J59" s="1556"/>
      <c r="M59" s="1600"/>
      <c r="N59" s="1600"/>
      <c r="O59" s="1600"/>
      <c r="P59" s="1600"/>
      <c r="Q59" s="1633"/>
      <c r="R59" s="1633"/>
      <c r="S59" s="1633"/>
      <c r="T59" s="1632"/>
      <c r="U59" s="1633"/>
    </row>
    <row r="60" spans="1:34">
      <c r="A60" s="1561" t="s">
        <v>49</v>
      </c>
      <c r="B60" s="1528" t="s">
        <v>50</v>
      </c>
      <c r="C60" s="1528"/>
      <c r="D60" s="1528" t="s">
        <v>51</v>
      </c>
      <c r="E60" s="1528"/>
      <c r="F60" s="1529" t="s">
        <v>66</v>
      </c>
      <c r="G60" s="1530" t="s">
        <v>53</v>
      </c>
      <c r="H60" s="1530" t="s">
        <v>112</v>
      </c>
      <c r="I60" s="1531"/>
      <c r="J60" s="1532" t="s">
        <v>68</v>
      </c>
      <c r="K60" s="1744" t="s">
        <v>113</v>
      </c>
      <c r="L60" s="1745"/>
      <c r="M60" s="1532" t="s">
        <v>114</v>
      </c>
      <c r="N60" s="1532" t="s">
        <v>115</v>
      </c>
    </row>
    <row r="61" spans="1:34">
      <c r="A61" s="1564" t="s">
        <v>57</v>
      </c>
      <c r="B61" s="1565" t="s">
        <v>58</v>
      </c>
      <c r="C61" s="1565" t="s">
        <v>59</v>
      </c>
      <c r="D61" s="1565" t="s">
        <v>60</v>
      </c>
      <c r="E61" s="1565" t="s">
        <v>61</v>
      </c>
      <c r="F61" s="1566" t="s">
        <v>62</v>
      </c>
      <c r="G61" s="1567" t="s">
        <v>63</v>
      </c>
      <c r="H61" s="1568" t="s">
        <v>116</v>
      </c>
      <c r="I61" s="1568" t="s">
        <v>117</v>
      </c>
      <c r="J61" s="1568" t="s">
        <v>71</v>
      </c>
      <c r="K61" s="1603" t="s">
        <v>116</v>
      </c>
      <c r="L61" s="1603" t="s">
        <v>118</v>
      </c>
      <c r="M61" s="1568" t="s">
        <v>119</v>
      </c>
      <c r="N61" s="1568" t="s">
        <v>110</v>
      </c>
    </row>
    <row r="62" spans="1:34">
      <c r="A62" s="1574">
        <f>A52</f>
        <v>1</v>
      </c>
      <c r="B62" s="1648">
        <f>B52</f>
        <v>55</v>
      </c>
      <c r="C62" s="1648">
        <f t="shared" ref="C62:C67" si="16">B62*10</f>
        <v>550</v>
      </c>
      <c r="D62" s="1648">
        <f t="shared" ref="D62:E64" si="17">D52</f>
        <v>9600</v>
      </c>
      <c r="E62" s="1648">
        <f t="shared" si="17"/>
        <v>9600</v>
      </c>
      <c r="F62" s="1648">
        <f t="shared" ref="F62:F67" si="18">B62*(D62+E62)/2000</f>
        <v>528</v>
      </c>
      <c r="G62" s="1648">
        <f>G52</f>
        <v>14</v>
      </c>
      <c r="H62" s="1648">
        <f t="shared" ref="H62:H67" si="19">F62*G62*G62/8</f>
        <v>12936</v>
      </c>
      <c r="I62" s="1648">
        <f t="shared" ref="I62:I67" si="20">F62*G62*G62/14</f>
        <v>7392</v>
      </c>
      <c r="J62" s="1648">
        <v>1300</v>
      </c>
      <c r="K62" s="1648">
        <f t="shared" ref="K62:K67" si="21">H62*100/J62</f>
        <v>995.07692307692309</v>
      </c>
      <c r="L62" s="1648">
        <f t="shared" ref="L62:L67" si="22">I62*100/J62</f>
        <v>568.61538461538464</v>
      </c>
      <c r="M62" s="1648">
        <f t="shared" ref="M62:M67" si="23">1.143*G62*F62</f>
        <v>8449.0559999999987</v>
      </c>
      <c r="N62" s="1648">
        <f t="shared" ref="N62:N67" si="24">M62/300</f>
        <v>28.163519999999995</v>
      </c>
      <c r="S62" s="1645">
        <v>22</v>
      </c>
      <c r="T62" s="1545">
        <f>S62*S62</f>
        <v>484</v>
      </c>
    </row>
    <row r="63" spans="1:34">
      <c r="A63" s="1574">
        <f>A53</f>
        <v>2</v>
      </c>
      <c r="B63" s="1648">
        <f>B53</f>
        <v>200</v>
      </c>
      <c r="C63" s="1648">
        <f t="shared" si="16"/>
        <v>2000</v>
      </c>
      <c r="D63" s="1648">
        <f t="shared" si="17"/>
        <v>900</v>
      </c>
      <c r="E63" s="1648">
        <f t="shared" si="17"/>
        <v>900</v>
      </c>
      <c r="F63" s="1648">
        <f t="shared" si="18"/>
        <v>180</v>
      </c>
      <c r="G63" s="1648">
        <f>G53</f>
        <v>6</v>
      </c>
      <c r="H63" s="1648">
        <f t="shared" si="19"/>
        <v>810</v>
      </c>
      <c r="I63" s="1648">
        <f t="shared" si="20"/>
        <v>462.85714285714283</v>
      </c>
      <c r="J63" s="1648">
        <f>J62</f>
        <v>1300</v>
      </c>
      <c r="K63" s="1648">
        <f t="shared" si="21"/>
        <v>62.307692307692307</v>
      </c>
      <c r="L63" s="1648">
        <f t="shared" si="22"/>
        <v>35.604395604395599</v>
      </c>
      <c r="M63" s="1648">
        <f t="shared" si="23"/>
        <v>1234.44</v>
      </c>
      <c r="N63" s="1648">
        <f t="shared" si="24"/>
        <v>4.1147999999999998</v>
      </c>
      <c r="S63" s="1545">
        <v>9.1199999999999992</v>
      </c>
      <c r="T63" s="1545">
        <f>S63*S63</f>
        <v>83.174399999999991</v>
      </c>
    </row>
    <row r="64" spans="1:34">
      <c r="A64" s="1574">
        <v>3</v>
      </c>
      <c r="B64" s="1648">
        <f>B54</f>
        <v>100</v>
      </c>
      <c r="C64" s="1648">
        <f t="shared" si="16"/>
        <v>1000</v>
      </c>
      <c r="D64" s="1648">
        <f t="shared" si="17"/>
        <v>1900</v>
      </c>
      <c r="E64" s="1648">
        <f t="shared" si="17"/>
        <v>1900</v>
      </c>
      <c r="F64" s="1648">
        <f t="shared" si="18"/>
        <v>190</v>
      </c>
      <c r="G64" s="1648">
        <f>G54</f>
        <v>4</v>
      </c>
      <c r="H64" s="1648">
        <f t="shared" si="19"/>
        <v>380</v>
      </c>
      <c r="I64" s="1648">
        <f t="shared" si="20"/>
        <v>217.14285714285714</v>
      </c>
      <c r="J64" s="1648">
        <f>J63</f>
        <v>1300</v>
      </c>
      <c r="K64" s="1648">
        <f t="shared" si="21"/>
        <v>29.23076923076923</v>
      </c>
      <c r="L64" s="1648">
        <f t="shared" si="22"/>
        <v>16.703296703296704</v>
      </c>
      <c r="M64" s="1648">
        <f t="shared" si="23"/>
        <v>868.68000000000006</v>
      </c>
      <c r="N64" s="1648">
        <f t="shared" si="24"/>
        <v>2.8956000000000004</v>
      </c>
      <c r="T64" s="1711">
        <f>T62-T63</f>
        <v>400.82560000000001</v>
      </c>
    </row>
    <row r="65" spans="1:21">
      <c r="A65" s="1574">
        <v>4</v>
      </c>
      <c r="B65" s="1648">
        <v>60</v>
      </c>
      <c r="C65" s="1648">
        <f t="shared" si="16"/>
        <v>600</v>
      </c>
      <c r="D65" s="1648">
        <v>700</v>
      </c>
      <c r="E65" s="1648">
        <v>700</v>
      </c>
      <c r="F65" s="1648">
        <f t="shared" si="18"/>
        <v>42</v>
      </c>
      <c r="G65" s="1648">
        <v>1.5</v>
      </c>
      <c r="H65" s="1648">
        <f t="shared" si="19"/>
        <v>11.8125</v>
      </c>
      <c r="I65" s="1648">
        <f t="shared" si="20"/>
        <v>6.75</v>
      </c>
      <c r="J65" s="1648">
        <f>J64</f>
        <v>1300</v>
      </c>
      <c r="K65" s="1648">
        <f t="shared" si="21"/>
        <v>0.90865384615384615</v>
      </c>
      <c r="L65" s="1648">
        <f t="shared" si="22"/>
        <v>0.51923076923076927</v>
      </c>
      <c r="M65" s="1648">
        <f t="shared" si="23"/>
        <v>72.009</v>
      </c>
      <c r="N65" s="1648">
        <f t="shared" si="24"/>
        <v>0.24002999999999999</v>
      </c>
    </row>
    <row r="66" spans="1:21">
      <c r="A66" s="1574">
        <v>5</v>
      </c>
      <c r="B66" s="1648">
        <v>60</v>
      </c>
      <c r="C66" s="1648">
        <f t="shared" si="16"/>
        <v>600</v>
      </c>
      <c r="D66" s="1648">
        <v>1500</v>
      </c>
      <c r="E66" s="1648">
        <v>1500</v>
      </c>
      <c r="F66" s="1648">
        <f t="shared" si="18"/>
        <v>90</v>
      </c>
      <c r="G66" s="1648">
        <v>2.1</v>
      </c>
      <c r="H66" s="1648">
        <f t="shared" si="19"/>
        <v>49.612500000000004</v>
      </c>
      <c r="I66" s="1648">
        <f t="shared" si="20"/>
        <v>28.35</v>
      </c>
      <c r="J66" s="1648">
        <f>J65</f>
        <v>1300</v>
      </c>
      <c r="K66" s="1648">
        <f t="shared" si="21"/>
        <v>3.8163461538461538</v>
      </c>
      <c r="L66" s="1648">
        <f t="shared" si="22"/>
        <v>2.1807692307692306</v>
      </c>
      <c r="M66" s="1648">
        <f t="shared" si="23"/>
        <v>216.02700000000002</v>
      </c>
      <c r="N66" s="1648">
        <f t="shared" si="24"/>
        <v>0.72009000000000001</v>
      </c>
    </row>
    <row r="67" spans="1:21">
      <c r="A67" s="1574">
        <v>6</v>
      </c>
      <c r="B67" s="1648">
        <v>390</v>
      </c>
      <c r="C67" s="1648">
        <f t="shared" si="16"/>
        <v>3900</v>
      </c>
      <c r="D67" s="1648">
        <v>1550</v>
      </c>
      <c r="E67" s="1648">
        <v>0</v>
      </c>
      <c r="F67" s="1648">
        <f t="shared" si="18"/>
        <v>302.25</v>
      </c>
      <c r="G67" s="1648">
        <v>2</v>
      </c>
      <c r="H67" s="1648">
        <f t="shared" si="19"/>
        <v>151.125</v>
      </c>
      <c r="I67" s="1648">
        <f t="shared" si="20"/>
        <v>86.357142857142861</v>
      </c>
      <c r="J67" s="1648">
        <f>J66</f>
        <v>1300</v>
      </c>
      <c r="K67" s="1648">
        <f t="shared" si="21"/>
        <v>11.625</v>
      </c>
      <c r="L67" s="1648">
        <f t="shared" si="22"/>
        <v>6.6428571428571432</v>
      </c>
      <c r="M67" s="1648">
        <f t="shared" si="23"/>
        <v>690.94349999999997</v>
      </c>
      <c r="N67" s="1648">
        <f t="shared" si="24"/>
        <v>2.3031449999999998</v>
      </c>
      <c r="S67" s="1545">
        <v>20.309999999999999</v>
      </c>
      <c r="T67" s="1545">
        <v>18.690000000000001</v>
      </c>
      <c r="U67" s="1712">
        <f>T67*S67</f>
        <v>379.59390000000002</v>
      </c>
    </row>
    <row r="68" spans="1:21">
      <c r="S68" s="1545">
        <v>11.26</v>
      </c>
      <c r="T68" s="1545">
        <v>9.6300000000000008</v>
      </c>
      <c r="U68" s="1712">
        <f>T68*S68</f>
        <v>108.43380000000001</v>
      </c>
    </row>
    <row r="69" spans="1:21">
      <c r="U69" s="1712">
        <f>U67-U68</f>
        <v>271.1601</v>
      </c>
    </row>
    <row r="70" spans="1:21">
      <c r="U70" s="1712">
        <f>(U69+T64)/2</f>
        <v>335.99284999999998</v>
      </c>
    </row>
    <row r="72" spans="1:21">
      <c r="E72" s="1622"/>
      <c r="F72" s="1600"/>
      <c r="G72" s="1621" t="s">
        <v>98</v>
      </c>
      <c r="H72" s="1621" t="s">
        <v>99</v>
      </c>
      <c r="I72" s="1621" t="s">
        <v>1873</v>
      </c>
    </row>
    <row r="73" spans="1:21">
      <c r="E73" s="1649">
        <v>8</v>
      </c>
      <c r="F73" s="1542">
        <v>26</v>
      </c>
      <c r="G73" s="1650">
        <v>2</v>
      </c>
      <c r="H73" s="1543">
        <v>15</v>
      </c>
      <c r="I73" s="1544">
        <v>39</v>
      </c>
    </row>
    <row r="74" spans="1:21">
      <c r="E74" s="1650"/>
      <c r="F74" s="1622"/>
      <c r="G74" s="1651">
        <f>INDEX(Wel.yn,$E$73)</f>
        <v>354</v>
      </c>
      <c r="H74" s="1652">
        <f>INDEX(IIyn,$E$73)</f>
        <v>4250</v>
      </c>
      <c r="I74" s="1653">
        <f>INDEX(Gn,$E$73)</f>
        <v>36.200000000000003</v>
      </c>
    </row>
    <row r="75" spans="1:21">
      <c r="E75" s="1650"/>
      <c r="F75" s="1622"/>
      <c r="G75" s="1651">
        <f>INDEX(Wel.y,$F$73)</f>
        <v>324.3</v>
      </c>
      <c r="H75" s="1652">
        <f>INDEX(Iy,$F$73)</f>
        <v>3892</v>
      </c>
      <c r="I75" s="1653">
        <f>INDEX(G,$F$73)</f>
        <v>30.7</v>
      </c>
    </row>
    <row r="76" spans="1:21">
      <c r="E76" s="1650"/>
      <c r="F76" s="1622"/>
      <c r="G76" s="1651">
        <f>INDEX(Wel.yhe,$G$73)</f>
        <v>72.760000000000005</v>
      </c>
      <c r="H76" s="1652">
        <f>INDEX(IIyhe,$G$73)</f>
        <v>349.2</v>
      </c>
      <c r="I76" s="1653">
        <f>INDEX(Ghe,$G$73)</f>
        <v>16.7</v>
      </c>
    </row>
    <row r="77" spans="1:21" ht="16.5" customHeight="1">
      <c r="E77" s="1650"/>
      <c r="F77" s="1622"/>
      <c r="G77" s="1651">
        <f>INDEX(Wu,$H$73)</f>
        <v>734</v>
      </c>
      <c r="H77" s="1652">
        <f>INDEX(Iyu,$H$73)</f>
        <v>12840</v>
      </c>
      <c r="I77" s="1653">
        <f>INDEX(Gu,$H$73)</f>
        <v>60.6</v>
      </c>
    </row>
    <row r="78" spans="1:21" ht="16.5" customHeight="1">
      <c r="E78" s="1650"/>
      <c r="F78" s="1622"/>
      <c r="G78" s="1651">
        <f>INDEX(WyzL,$I$73)</f>
        <v>152.19999999999999</v>
      </c>
      <c r="H78" s="1652">
        <f>INDEX(IIyzL,$I$73)</f>
        <v>2209</v>
      </c>
      <c r="I78" s="1653">
        <f>INDEX(GL,$I$73)</f>
        <v>45.6</v>
      </c>
    </row>
    <row r="79" spans="1:21" ht="16.5" customHeight="1">
      <c r="E79" s="1650"/>
      <c r="F79" s="1650"/>
      <c r="G79" s="1650"/>
      <c r="H79" s="1650"/>
      <c r="I79" s="1650"/>
    </row>
  </sheetData>
  <mergeCells count="6">
    <mergeCell ref="A45:L45"/>
    <mergeCell ref="K60:L60"/>
    <mergeCell ref="A1:L1"/>
    <mergeCell ref="K12:L12"/>
    <mergeCell ref="A18:L18"/>
    <mergeCell ref="K33:L33"/>
  </mergeCells>
  <phoneticPr fontId="68" type="noConversion"/>
  <pageMargins left="0.75" right="0.75" top="1" bottom="1" header="0.5" footer="0.5"/>
  <pageSetup paperSize="9" orientation="portrait" r:id="rId1"/>
  <headerFooter alignWithMargins="0">
    <oddHeader>&amp;A</oddHeader>
    <oddFooter>Sayfa &amp;P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7649" r:id="rId4" name="Drop Down 1">
              <controlPr defaultSize="0" autoLine="0" autoPict="0">
                <anchor moveWithCells="1">
                  <from>
                    <xdr:col>4</xdr:col>
                    <xdr:colOff>800100</xdr:colOff>
                    <xdr:row>73</xdr:row>
                    <xdr:rowOff>171450</xdr:rowOff>
                  </from>
                  <to>
                    <xdr:col>6</xdr:col>
                    <xdr:colOff>114300</xdr:colOff>
                    <xdr:row>75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0" r:id="rId5" name="Drop Down 2">
              <controlPr defaultSize="0" autoLine="0" autoPict="0">
                <anchor moveWithCells="1">
                  <from>
                    <xdr:col>4</xdr:col>
                    <xdr:colOff>800100</xdr:colOff>
                    <xdr:row>72</xdr:row>
                    <xdr:rowOff>133350</xdr:rowOff>
                  </from>
                  <to>
                    <xdr:col>6</xdr:col>
                    <xdr:colOff>95250</xdr:colOff>
                    <xdr:row>74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1" r:id="rId6" name="Drop Down 3">
              <controlPr defaultSize="0" autoLine="0" autoPict="0">
                <anchor moveWithCells="1">
                  <from>
                    <xdr:col>5</xdr:col>
                    <xdr:colOff>0</xdr:colOff>
                    <xdr:row>74</xdr:row>
                    <xdr:rowOff>152400</xdr:rowOff>
                  </from>
                  <to>
                    <xdr:col>6</xdr:col>
                    <xdr:colOff>104775</xdr:colOff>
                    <xdr:row>76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2" r:id="rId7" name="Drop Down 4">
              <controlPr defaultSize="0" autoLine="0" autoPict="0">
                <anchor moveWithCells="1">
                  <from>
                    <xdr:col>4</xdr:col>
                    <xdr:colOff>800100</xdr:colOff>
                    <xdr:row>76</xdr:row>
                    <xdr:rowOff>28575</xdr:rowOff>
                  </from>
                  <to>
                    <xdr:col>6</xdr:col>
                    <xdr:colOff>104775</xdr:colOff>
                    <xdr:row>77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3" r:id="rId8" name="Drop Down 5">
              <controlPr defaultSize="0" autoLine="0" autoPict="0">
                <anchor moveWithCells="1">
                  <from>
                    <xdr:col>4</xdr:col>
                    <xdr:colOff>314325</xdr:colOff>
                    <xdr:row>77</xdr:row>
                    <xdr:rowOff>9525</xdr:rowOff>
                  </from>
                  <to>
                    <xdr:col>6</xdr:col>
                    <xdr:colOff>85725</xdr:colOff>
                    <xdr:row>78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0"/>
  <dimension ref="A1:BI85"/>
  <sheetViews>
    <sheetView topLeftCell="A22" workbookViewId="0">
      <selection activeCell="K8" sqref="K8"/>
    </sheetView>
  </sheetViews>
  <sheetFormatPr defaultColWidth="9.140625" defaultRowHeight="12.75"/>
  <cols>
    <col min="1" max="1" width="8.140625" style="687" customWidth="1"/>
    <col min="2" max="5" width="10.28515625" style="687" customWidth="1"/>
    <col min="6" max="7" width="9.140625" style="687"/>
    <col min="8" max="8" width="10.85546875" style="687" customWidth="1"/>
    <col min="9" max="9" width="9.7109375" style="687" customWidth="1"/>
    <col min="10" max="10" width="9.28515625" style="687" customWidth="1"/>
    <col min="11" max="11" width="15.85546875" style="687" bestFit="1" customWidth="1"/>
    <col min="12" max="12" width="10.28515625" style="687" customWidth="1"/>
    <col min="13" max="13" width="10.42578125" style="687" customWidth="1"/>
    <col min="14" max="14" width="5.85546875" style="687" customWidth="1"/>
    <col min="15" max="15" width="2.7109375" style="687" customWidth="1"/>
    <col min="16" max="16" width="7.140625" style="687" customWidth="1"/>
    <col min="17" max="18" width="6.140625" style="687" customWidth="1"/>
    <col min="19" max="19" width="7.85546875" style="687" customWidth="1"/>
    <col min="20" max="20" width="8" style="687" customWidth="1"/>
    <col min="21" max="21" width="10" style="687" customWidth="1"/>
    <col min="22" max="22" width="9.140625" style="687"/>
    <col min="23" max="24" width="6.85546875" style="687" customWidth="1"/>
    <col min="25" max="25" width="9" style="687" customWidth="1"/>
    <col min="26" max="26" width="6.85546875" style="687" customWidth="1"/>
    <col min="27" max="16384" width="9.140625" style="687"/>
  </cols>
  <sheetData>
    <row r="1" spans="1:61" ht="16.5" thickBot="1">
      <c r="A1" s="1746" t="s">
        <v>129</v>
      </c>
      <c r="B1" s="1747"/>
      <c r="C1" s="1747"/>
      <c r="D1" s="1747"/>
      <c r="E1" s="1747"/>
      <c r="F1" s="1747"/>
      <c r="G1" s="1747"/>
      <c r="H1" s="1747"/>
      <c r="I1" s="1747"/>
      <c r="J1" s="1747"/>
      <c r="K1" s="1747"/>
      <c r="L1" s="1747"/>
      <c r="M1" s="1747"/>
      <c r="N1" s="1748"/>
    </row>
    <row r="2" spans="1:61" ht="15.75">
      <c r="A2" s="638"/>
      <c r="B2" s="623"/>
      <c r="C2" s="623"/>
      <c r="D2" s="623"/>
      <c r="E2" s="624"/>
      <c r="G2" s="626"/>
      <c r="H2" s="627"/>
      <c r="I2" s="627"/>
      <c r="J2" s="627"/>
      <c r="K2" s="628"/>
      <c r="L2" s="627"/>
      <c r="M2" s="688"/>
      <c r="N2" s="688"/>
      <c r="O2" s="688"/>
      <c r="P2" s="688"/>
      <c r="Q2" s="688"/>
      <c r="R2" s="688"/>
      <c r="S2" s="688"/>
      <c r="T2" s="688"/>
      <c r="U2" s="688"/>
      <c r="V2" s="688"/>
      <c r="W2" s="688"/>
      <c r="X2" s="688"/>
      <c r="Y2" s="688"/>
      <c r="Z2" s="688"/>
    </row>
    <row r="3" spans="1:61" ht="15.75">
      <c r="A3" s="638" t="s">
        <v>76</v>
      </c>
      <c r="B3" s="631"/>
      <c r="C3" s="631"/>
      <c r="D3" s="631"/>
      <c r="E3" s="631"/>
      <c r="F3" s="632"/>
      <c r="G3" s="633"/>
      <c r="H3" s="634"/>
      <c r="I3" s="634"/>
      <c r="J3" s="634"/>
      <c r="K3" s="689" t="s">
        <v>102</v>
      </c>
      <c r="L3" s="688"/>
      <c r="M3" s="688"/>
      <c r="N3" s="688"/>
      <c r="O3" s="688"/>
      <c r="P3" s="688"/>
      <c r="Q3" s="688"/>
      <c r="R3" s="688"/>
      <c r="S3" s="688"/>
      <c r="T3" s="688"/>
      <c r="U3" s="688"/>
      <c r="V3" s="688"/>
      <c r="W3" s="688"/>
      <c r="X3" s="688"/>
      <c r="Y3" s="688"/>
    </row>
    <row r="4" spans="1:61" ht="15.75">
      <c r="A4" s="688"/>
      <c r="B4" s="623"/>
      <c r="C4" s="623"/>
      <c r="D4" s="623"/>
      <c r="E4" s="624"/>
      <c r="F4" s="667"/>
      <c r="G4" s="626"/>
      <c r="H4" s="627"/>
      <c r="I4" s="627"/>
      <c r="J4" s="627"/>
      <c r="K4" s="690" t="s">
        <v>103</v>
      </c>
      <c r="L4" s="688"/>
      <c r="M4" s="688"/>
      <c r="N4" s="688"/>
      <c r="O4" s="688"/>
      <c r="P4" s="688"/>
      <c r="Q4" s="688"/>
      <c r="R4" s="688"/>
      <c r="S4" s="688"/>
      <c r="T4" s="688"/>
      <c r="U4" s="688"/>
      <c r="V4" s="688"/>
      <c r="W4" s="688"/>
      <c r="X4" s="688"/>
      <c r="Y4" s="688"/>
    </row>
    <row r="5" spans="1:61" ht="15.75">
      <c r="A5" s="688"/>
      <c r="B5" s="623"/>
      <c r="C5" s="623"/>
      <c r="D5" s="623"/>
      <c r="E5" s="624"/>
      <c r="F5" s="667"/>
      <c r="G5" s="626"/>
      <c r="H5" s="627"/>
      <c r="I5" s="627"/>
      <c r="J5" s="627"/>
      <c r="K5" s="691">
        <v>2100000</v>
      </c>
      <c r="L5" s="638"/>
      <c r="M5" s="638"/>
      <c r="N5" s="638"/>
      <c r="O5" s="638"/>
      <c r="P5" s="638"/>
      <c r="Q5" s="638"/>
      <c r="R5" s="638"/>
      <c r="S5" s="638"/>
      <c r="T5" s="638"/>
      <c r="U5" s="638"/>
      <c r="V5" s="638"/>
      <c r="W5" s="638"/>
      <c r="X5" s="638"/>
      <c r="Y5" s="688"/>
    </row>
    <row r="6" spans="1:61">
      <c r="A6" s="692" t="s">
        <v>49</v>
      </c>
      <c r="B6" s="693" t="s">
        <v>50</v>
      </c>
      <c r="C6" s="693"/>
      <c r="D6" s="693" t="s">
        <v>51</v>
      </c>
      <c r="E6" s="693"/>
      <c r="F6" s="694" t="s">
        <v>52</v>
      </c>
      <c r="G6" s="695" t="s">
        <v>53</v>
      </c>
      <c r="H6" s="696" t="s">
        <v>54</v>
      </c>
      <c r="I6" s="696"/>
      <c r="J6" s="695" t="s">
        <v>55</v>
      </c>
      <c r="K6" s="716" t="s">
        <v>56</v>
      </c>
      <c r="L6" s="642"/>
      <c r="M6" s="642"/>
      <c r="N6" s="642"/>
      <c r="O6" s="642"/>
      <c r="P6" s="641"/>
      <c r="Q6" s="641"/>
      <c r="R6" s="641"/>
      <c r="S6" s="641"/>
      <c r="T6" s="641"/>
      <c r="U6" s="641"/>
      <c r="V6" s="641"/>
      <c r="W6" s="641"/>
      <c r="X6" s="641"/>
      <c r="Y6" s="625"/>
      <c r="Z6" s="625"/>
      <c r="AA6" s="625"/>
      <c r="AB6" s="625"/>
      <c r="AC6" s="625"/>
      <c r="AD6" s="625"/>
      <c r="AE6" s="625"/>
      <c r="AF6" s="625"/>
      <c r="AG6" s="625"/>
      <c r="AH6" s="625"/>
      <c r="AI6" s="625"/>
      <c r="AJ6" s="625"/>
      <c r="AK6" s="625"/>
    </row>
    <row r="7" spans="1:61">
      <c r="A7" s="697" t="s">
        <v>57</v>
      </c>
      <c r="B7" s="698" t="s">
        <v>58</v>
      </c>
      <c r="C7" s="698" t="s">
        <v>59</v>
      </c>
      <c r="D7" s="698" t="s">
        <v>60</v>
      </c>
      <c r="E7" s="698" t="s">
        <v>61</v>
      </c>
      <c r="F7" s="699" t="s">
        <v>62</v>
      </c>
      <c r="G7" s="700" t="s">
        <v>63</v>
      </c>
      <c r="H7" s="701" t="s">
        <v>64</v>
      </c>
      <c r="I7" s="701" t="s">
        <v>601</v>
      </c>
      <c r="J7" s="701" t="s">
        <v>601</v>
      </c>
      <c r="K7" s="719" t="s">
        <v>65</v>
      </c>
      <c r="L7" s="641"/>
      <c r="M7" s="641"/>
      <c r="N7" s="641"/>
      <c r="O7" s="641"/>
      <c r="P7" s="641"/>
      <c r="Q7" s="641"/>
      <c r="R7" s="641"/>
      <c r="S7" s="641"/>
      <c r="T7" s="641"/>
      <c r="U7" s="641"/>
      <c r="V7" s="641"/>
      <c r="W7" s="641"/>
      <c r="X7" s="641"/>
      <c r="Y7" s="625"/>
      <c r="Z7" s="625"/>
      <c r="AA7" s="625"/>
      <c r="AB7" s="625"/>
      <c r="AC7" s="625"/>
      <c r="AD7" s="625"/>
      <c r="AE7" s="625"/>
      <c r="AF7" s="625"/>
      <c r="AG7" s="625"/>
      <c r="AH7" s="625"/>
      <c r="AI7" s="625"/>
      <c r="AJ7" s="625"/>
      <c r="AK7" s="625"/>
    </row>
    <row r="8" spans="1:61">
      <c r="A8" s="702">
        <v>1</v>
      </c>
      <c r="B8" s="703">
        <v>200</v>
      </c>
      <c r="C8" s="704">
        <f t="shared" ref="C8:C13" si="0">B8*10</f>
        <v>2000</v>
      </c>
      <c r="D8" s="705">
        <v>1200</v>
      </c>
      <c r="E8" s="705">
        <f>D8</f>
        <v>1200</v>
      </c>
      <c r="F8" s="706">
        <f t="shared" ref="F8:F13" si="1">B8*(D8+E8)/2000</f>
        <v>240</v>
      </c>
      <c r="G8" s="1685">
        <v>100</v>
      </c>
      <c r="H8" s="708">
        <v>300</v>
      </c>
      <c r="I8" s="709">
        <f t="shared" ref="I8:I13" si="2">G8*1000/H8</f>
        <v>333.33333333333331</v>
      </c>
      <c r="J8" s="710">
        <f>I8</f>
        <v>333.33333333333331</v>
      </c>
      <c r="K8" s="809">
        <f t="shared" ref="K8:K13" si="3">$F8*$G8*$G8*$G8*$G8*10000000/(185*$K$5*$J8)</f>
        <v>1853281.8532818533</v>
      </c>
      <c r="L8" s="1364"/>
      <c r="M8" s="653"/>
      <c r="N8" s="653"/>
      <c r="O8" s="653"/>
      <c r="P8" s="654"/>
      <c r="Q8" s="654"/>
      <c r="R8" s="654"/>
      <c r="S8" s="655"/>
      <c r="T8" s="654"/>
      <c r="U8" s="654"/>
      <c r="V8" s="654"/>
      <c r="W8" s="654"/>
      <c r="X8" s="654"/>
      <c r="Y8" s="625"/>
      <c r="Z8" s="625"/>
      <c r="AA8" s="625"/>
      <c r="AB8" s="625"/>
      <c r="AC8" s="625"/>
      <c r="AD8" s="625"/>
      <c r="AE8" s="625"/>
      <c r="AF8" s="625"/>
      <c r="AG8" s="625"/>
      <c r="AH8" s="625"/>
      <c r="AI8" s="625"/>
      <c r="AJ8" s="625"/>
      <c r="AK8" s="625"/>
    </row>
    <row r="9" spans="1:61">
      <c r="A9" s="702">
        <v>2</v>
      </c>
      <c r="B9" s="703">
        <v>133</v>
      </c>
      <c r="C9" s="704">
        <f t="shared" si="0"/>
        <v>1330</v>
      </c>
      <c r="D9" s="705">
        <v>1500</v>
      </c>
      <c r="E9" s="705">
        <v>1500</v>
      </c>
      <c r="F9" s="706">
        <f t="shared" si="1"/>
        <v>199.5</v>
      </c>
      <c r="G9" s="717">
        <v>9</v>
      </c>
      <c r="H9" s="708">
        <f>IF(G9&gt;2.99999,300,200)</f>
        <v>300</v>
      </c>
      <c r="I9" s="710">
        <f t="shared" si="2"/>
        <v>30</v>
      </c>
      <c r="J9" s="710">
        <f>I9</f>
        <v>30</v>
      </c>
      <c r="K9" s="809">
        <f t="shared" si="3"/>
        <v>1123.0540540540539</v>
      </c>
      <c r="L9" s="653"/>
      <c r="M9" s="653"/>
      <c r="N9" s="653"/>
      <c r="O9" s="653"/>
      <c r="P9" s="654"/>
      <c r="Q9" s="654"/>
      <c r="R9" s="654"/>
      <c r="S9" s="655"/>
      <c r="T9" s="654"/>
      <c r="U9" s="654"/>
      <c r="V9" s="654"/>
      <c r="W9" s="654"/>
      <c r="X9" s="654"/>
      <c r="Y9" s="625"/>
      <c r="Z9" s="625"/>
      <c r="AA9" s="625"/>
      <c r="AB9" s="625"/>
      <c r="AC9" s="625"/>
      <c r="AD9" s="625"/>
      <c r="AE9" s="625"/>
      <c r="AF9" s="625"/>
      <c r="AG9" s="625"/>
      <c r="AH9" s="625"/>
      <c r="AI9" s="625"/>
      <c r="AJ9" s="625"/>
      <c r="AK9" s="625"/>
    </row>
    <row r="10" spans="1:61">
      <c r="A10" s="702">
        <v>3</v>
      </c>
      <c r="B10" s="703">
        <v>157</v>
      </c>
      <c r="C10" s="704">
        <f t="shared" si="0"/>
        <v>1570</v>
      </c>
      <c r="D10" s="705">
        <v>1900</v>
      </c>
      <c r="E10" s="705">
        <v>1900</v>
      </c>
      <c r="F10" s="706">
        <f t="shared" si="1"/>
        <v>298.3</v>
      </c>
      <c r="G10" s="707">
        <f>G9</f>
        <v>9</v>
      </c>
      <c r="H10" s="708">
        <f>IF(G10&gt;2.99999,300,200)</f>
        <v>300</v>
      </c>
      <c r="I10" s="710">
        <f t="shared" si="2"/>
        <v>30</v>
      </c>
      <c r="J10" s="710">
        <f>I10</f>
        <v>30</v>
      </c>
      <c r="K10" s="809">
        <f t="shared" si="3"/>
        <v>1679.2332046332047</v>
      </c>
      <c r="L10" s="653"/>
      <c r="M10" s="653"/>
      <c r="N10" s="653"/>
      <c r="O10" s="653"/>
      <c r="P10" s="654"/>
      <c r="Q10" s="654"/>
      <c r="R10" s="654"/>
      <c r="S10" s="655"/>
      <c r="T10" s="654"/>
      <c r="U10" s="654"/>
      <c r="V10" s="654"/>
      <c r="W10" s="654"/>
      <c r="X10" s="654"/>
      <c r="Y10" s="625"/>
      <c r="Z10" s="625"/>
      <c r="AA10" s="625"/>
      <c r="AB10" s="625"/>
      <c r="AC10" s="625"/>
      <c r="AD10" s="625"/>
      <c r="AE10" s="625"/>
      <c r="AF10" s="625"/>
      <c r="AG10" s="625"/>
      <c r="AH10" s="625"/>
      <c r="AI10" s="625"/>
      <c r="AJ10" s="625"/>
      <c r="AK10" s="625"/>
    </row>
    <row r="11" spans="1:61">
      <c r="A11" s="702">
        <v>4</v>
      </c>
      <c r="B11" s="703">
        <v>157</v>
      </c>
      <c r="C11" s="704">
        <f t="shared" si="0"/>
        <v>1570</v>
      </c>
      <c r="D11" s="705">
        <v>1900</v>
      </c>
      <c r="E11" s="705">
        <v>1900</v>
      </c>
      <c r="F11" s="706">
        <f t="shared" si="1"/>
        <v>298.3</v>
      </c>
      <c r="G11" s="707">
        <v>3.5</v>
      </c>
      <c r="H11" s="708">
        <f>IF(G11&gt;2.99999,300,200)</f>
        <v>300</v>
      </c>
      <c r="I11" s="710">
        <f t="shared" si="2"/>
        <v>11.666666666666666</v>
      </c>
      <c r="J11" s="710">
        <f>I11</f>
        <v>11.666666666666666</v>
      </c>
      <c r="K11" s="809">
        <f t="shared" si="3"/>
        <v>98.761486486486476</v>
      </c>
      <c r="L11" s="653"/>
      <c r="M11" s="653"/>
      <c r="N11" s="653"/>
      <c r="O11" s="653"/>
      <c r="P11" s="654"/>
      <c r="Q11" s="654"/>
      <c r="R11" s="654"/>
      <c r="S11" s="655"/>
      <c r="T11" s="654"/>
      <c r="U11" s="654"/>
      <c r="V11" s="654"/>
      <c r="W11" s="654"/>
      <c r="X11" s="654"/>
      <c r="Y11" s="625"/>
      <c r="Z11" s="625"/>
      <c r="AA11" s="625"/>
      <c r="AB11" s="625"/>
      <c r="AC11" s="625"/>
      <c r="AD11" s="625"/>
      <c r="AE11" s="625"/>
      <c r="AF11" s="625"/>
      <c r="AG11" s="625"/>
      <c r="AH11" s="625"/>
      <c r="AI11" s="625"/>
      <c r="AJ11" s="625"/>
      <c r="AK11" s="625"/>
    </row>
    <row r="12" spans="1:61">
      <c r="A12" s="702">
        <v>5</v>
      </c>
      <c r="B12" s="703">
        <v>157</v>
      </c>
      <c r="C12" s="704">
        <f t="shared" si="0"/>
        <v>1570</v>
      </c>
      <c r="D12" s="705">
        <v>1500</v>
      </c>
      <c r="E12" s="705">
        <v>1500</v>
      </c>
      <c r="F12" s="706">
        <f t="shared" si="1"/>
        <v>235.5</v>
      </c>
      <c r="G12" s="707">
        <v>2.1</v>
      </c>
      <c r="H12" s="708">
        <f>IF(G12&gt;2.99999,300,200)</f>
        <v>200</v>
      </c>
      <c r="I12" s="710">
        <f t="shared" si="2"/>
        <v>10.5</v>
      </c>
      <c r="J12" s="710">
        <f>I12</f>
        <v>10.5</v>
      </c>
      <c r="K12" s="809">
        <f t="shared" si="3"/>
        <v>11.227621621621623</v>
      </c>
      <c r="L12" s="653"/>
      <c r="M12" s="653"/>
      <c r="N12" s="653"/>
      <c r="O12" s="653"/>
      <c r="P12" s="654"/>
      <c r="Q12" s="654"/>
      <c r="R12" s="654"/>
      <c r="S12" s="655"/>
      <c r="T12" s="654"/>
      <c r="U12" s="654"/>
      <c r="V12" s="654"/>
      <c r="W12" s="654"/>
      <c r="X12" s="654"/>
      <c r="Y12" s="625"/>
      <c r="Z12" s="625"/>
      <c r="AA12" s="625"/>
      <c r="AB12" s="625"/>
      <c r="AC12" s="625"/>
      <c r="AD12" s="625"/>
      <c r="AE12" s="625"/>
      <c r="AF12" s="625"/>
      <c r="AG12" s="625"/>
      <c r="AH12" s="625"/>
      <c r="AI12" s="625"/>
      <c r="AJ12" s="625"/>
      <c r="AK12" s="625"/>
    </row>
    <row r="13" spans="1:61">
      <c r="A13" s="702">
        <v>6</v>
      </c>
      <c r="B13" s="703">
        <v>157</v>
      </c>
      <c r="C13" s="704">
        <f t="shared" si="0"/>
        <v>1570</v>
      </c>
      <c r="D13" s="705">
        <v>1550</v>
      </c>
      <c r="E13" s="705">
        <v>0</v>
      </c>
      <c r="F13" s="706">
        <f t="shared" si="1"/>
        <v>121.675</v>
      </c>
      <c r="G13" s="707">
        <v>2</v>
      </c>
      <c r="H13" s="708">
        <f>IF(G13&gt;2.99999,300,200)</f>
        <v>200</v>
      </c>
      <c r="I13" s="710">
        <f t="shared" si="2"/>
        <v>10</v>
      </c>
      <c r="J13" s="710">
        <v>8</v>
      </c>
      <c r="K13" s="809">
        <f t="shared" si="3"/>
        <v>6.2638352638352641</v>
      </c>
      <c r="L13" s="653"/>
      <c r="M13" s="653"/>
      <c r="N13" s="653"/>
      <c r="O13" s="653"/>
      <c r="P13" s="654"/>
      <c r="Q13" s="654"/>
      <c r="R13" s="654"/>
      <c r="S13" s="655"/>
      <c r="T13" s="654"/>
      <c r="U13" s="654"/>
      <c r="V13" s="654"/>
      <c r="W13" s="654"/>
      <c r="X13" s="654"/>
      <c r="Y13" s="625"/>
      <c r="Z13" s="625"/>
      <c r="AA13" s="625"/>
      <c r="AB13" s="625"/>
      <c r="AC13" s="625"/>
      <c r="AD13" s="625"/>
      <c r="AE13" s="625"/>
      <c r="AF13" s="625"/>
      <c r="AG13" s="625"/>
      <c r="AH13" s="625"/>
      <c r="AI13" s="625"/>
      <c r="AJ13" s="625"/>
      <c r="AK13" s="625"/>
    </row>
    <row r="14" spans="1:61">
      <c r="L14" s="653"/>
      <c r="M14" s="653"/>
      <c r="N14" s="653"/>
      <c r="O14" s="653"/>
      <c r="P14" s="654"/>
      <c r="Q14" s="654"/>
      <c r="R14" s="654"/>
      <c r="S14" s="655"/>
      <c r="T14" s="654"/>
      <c r="U14" s="625"/>
      <c r="V14" s="625"/>
      <c r="W14" s="625"/>
      <c r="X14" s="625"/>
      <c r="Y14" s="625"/>
      <c r="Z14" s="625"/>
      <c r="AA14" s="625"/>
      <c r="AB14" s="625"/>
      <c r="AC14" s="625"/>
      <c r="AD14" s="625"/>
      <c r="AE14" s="625"/>
      <c r="AF14" s="625"/>
      <c r="AG14" s="625"/>
      <c r="AH14" s="625"/>
      <c r="AI14" s="625"/>
      <c r="AJ14" s="625"/>
      <c r="AK14" s="625"/>
    </row>
    <row r="15" spans="1:61" ht="15.75">
      <c r="A15" s="638" t="s">
        <v>77</v>
      </c>
      <c r="B15" s="631"/>
      <c r="C15" s="631"/>
      <c r="D15" s="631"/>
      <c r="E15" s="631"/>
      <c r="F15" s="632"/>
      <c r="G15" s="633"/>
      <c r="H15" s="633"/>
      <c r="I15" s="634"/>
      <c r="J15" s="634"/>
      <c r="L15" s="625"/>
      <c r="M15" s="653"/>
      <c r="N15" s="653"/>
      <c r="O15" s="653"/>
      <c r="P15" s="653"/>
      <c r="Q15" s="654"/>
      <c r="R15" s="654"/>
      <c r="S15" s="654"/>
      <c r="T15" s="655"/>
      <c r="U15" s="654"/>
      <c r="V15" s="625"/>
      <c r="W15" s="625"/>
    </row>
    <row r="16" spans="1:61">
      <c r="A16" s="692" t="s">
        <v>49</v>
      </c>
      <c r="B16" s="693" t="s">
        <v>50</v>
      </c>
      <c r="C16" s="693"/>
      <c r="D16" s="693" t="s">
        <v>51</v>
      </c>
      <c r="E16" s="693"/>
      <c r="F16" s="712" t="s">
        <v>66</v>
      </c>
      <c r="G16" s="713" t="s">
        <v>53</v>
      </c>
      <c r="H16" s="713" t="s">
        <v>112</v>
      </c>
      <c r="I16" s="714"/>
      <c r="J16" s="715" t="s">
        <v>68</v>
      </c>
      <c r="K16" s="810" t="s">
        <v>130</v>
      </c>
      <c r="L16" s="811"/>
      <c r="M16" s="625"/>
      <c r="N16" s="653"/>
      <c r="O16" s="653"/>
      <c r="P16" s="653"/>
      <c r="Q16" s="625"/>
      <c r="R16" s="625"/>
      <c r="S16" s="625"/>
      <c r="T16" s="625"/>
      <c r="U16" s="625"/>
      <c r="V16" s="625"/>
      <c r="W16" s="625"/>
      <c r="X16" s="625"/>
      <c r="Y16" s="625"/>
      <c r="Z16" s="625"/>
      <c r="AA16" s="625"/>
      <c r="AB16" s="625"/>
      <c r="AC16" s="625"/>
      <c r="AD16" s="625"/>
      <c r="AE16" s="625"/>
      <c r="AF16" s="625"/>
      <c r="AG16" s="625"/>
      <c r="AH16" s="625"/>
      <c r="AI16" s="625"/>
      <c r="AJ16" s="625"/>
      <c r="AK16" s="625"/>
      <c r="AL16" s="625"/>
      <c r="AM16" s="625"/>
      <c r="AN16" s="625"/>
      <c r="AO16" s="625"/>
      <c r="AP16" s="625"/>
      <c r="AQ16" s="625"/>
      <c r="AR16" s="625"/>
      <c r="AS16" s="625"/>
      <c r="AT16" s="625"/>
      <c r="AU16" s="625"/>
      <c r="AV16" s="625"/>
      <c r="AW16" s="625"/>
      <c r="AX16" s="625"/>
      <c r="AY16" s="625"/>
      <c r="AZ16" s="625"/>
      <c r="BA16" s="625"/>
      <c r="BB16" s="625"/>
      <c r="BC16" s="625"/>
      <c r="BD16" s="625"/>
      <c r="BE16" s="625"/>
      <c r="BF16" s="625"/>
      <c r="BG16" s="625"/>
      <c r="BH16" s="625"/>
      <c r="BI16" s="625"/>
    </row>
    <row r="17" spans="1:61">
      <c r="A17" s="697" t="s">
        <v>57</v>
      </c>
      <c r="B17" s="698" t="s">
        <v>58</v>
      </c>
      <c r="C17" s="698" t="s">
        <v>59</v>
      </c>
      <c r="D17" s="698" t="s">
        <v>60</v>
      </c>
      <c r="E17" s="698" t="s">
        <v>61</v>
      </c>
      <c r="F17" s="699" t="s">
        <v>62</v>
      </c>
      <c r="G17" s="700" t="s">
        <v>63</v>
      </c>
      <c r="H17" s="701" t="s">
        <v>116</v>
      </c>
      <c r="I17" s="701" t="s">
        <v>117</v>
      </c>
      <c r="J17" s="701" t="s">
        <v>71</v>
      </c>
      <c r="K17" s="701" t="s">
        <v>116</v>
      </c>
      <c r="L17" s="701" t="s">
        <v>117</v>
      </c>
      <c r="M17" s="625"/>
      <c r="N17" s="653"/>
      <c r="O17" s="653"/>
      <c r="P17" s="653"/>
      <c r="Q17" s="625"/>
      <c r="R17" s="625"/>
      <c r="S17" s="625"/>
      <c r="T17" s="625"/>
      <c r="U17" s="625"/>
      <c r="V17" s="625"/>
      <c r="W17" s="625"/>
      <c r="X17" s="625"/>
      <c r="Y17" s="625"/>
      <c r="Z17" s="625"/>
      <c r="AA17" s="625"/>
      <c r="AB17" s="625"/>
      <c r="AC17" s="625"/>
      <c r="AD17" s="625"/>
      <c r="AE17" s="625"/>
      <c r="AF17" s="625"/>
      <c r="AG17" s="625"/>
      <c r="AH17" s="625"/>
      <c r="AI17" s="625"/>
      <c r="AJ17" s="625"/>
      <c r="AK17" s="625"/>
      <c r="AL17" s="625"/>
      <c r="AM17" s="625"/>
      <c r="AN17" s="625"/>
      <c r="AO17" s="625"/>
      <c r="AP17" s="625"/>
      <c r="AQ17" s="625"/>
      <c r="AR17" s="625"/>
      <c r="AS17" s="625"/>
      <c r="AT17" s="625"/>
      <c r="AU17" s="625"/>
      <c r="AV17" s="625"/>
      <c r="AW17" s="625"/>
      <c r="AX17" s="625"/>
      <c r="AY17" s="625"/>
      <c r="AZ17" s="625"/>
      <c r="BA17" s="625"/>
      <c r="BB17" s="625"/>
      <c r="BC17" s="625"/>
      <c r="BD17" s="625"/>
      <c r="BE17" s="625"/>
      <c r="BF17" s="625"/>
      <c r="BG17" s="625"/>
      <c r="BH17" s="625"/>
      <c r="BI17" s="625"/>
    </row>
    <row r="18" spans="1:61">
      <c r="A18" s="641">
        <f t="shared" ref="A18:B20" si="4">A8</f>
        <v>1</v>
      </c>
      <c r="B18" s="648">
        <f t="shared" si="4"/>
        <v>200</v>
      </c>
      <c r="C18" s="645">
        <f t="shared" ref="C18:C23" si="5">B18*10</f>
        <v>2000</v>
      </c>
      <c r="D18" s="647">
        <f t="shared" ref="D18:E20" si="6">D8</f>
        <v>1200</v>
      </c>
      <c r="E18" s="647">
        <f t="shared" si="6"/>
        <v>1200</v>
      </c>
      <c r="F18" s="648">
        <f t="shared" ref="F18:F23" si="7">B18*(D18+E18)/2000</f>
        <v>240</v>
      </c>
      <c r="G18" s="657">
        <f t="shared" ref="G18:G23" si="8">G8</f>
        <v>100</v>
      </c>
      <c r="H18" s="645">
        <f t="shared" ref="H18:H23" si="9">F18*G18*G18/8</f>
        <v>300000</v>
      </c>
      <c r="I18" s="645">
        <f t="shared" ref="I18:I23" si="10">9*F18*G18*G18/128</f>
        <v>168750</v>
      </c>
      <c r="J18" s="647">
        <v>1800</v>
      </c>
      <c r="K18" s="812">
        <f t="shared" ref="K18:K23" si="11">H18*100/J18</f>
        <v>16666.666666666668</v>
      </c>
      <c r="L18" s="812">
        <f t="shared" ref="L18:L23" si="12">I18*100/J18</f>
        <v>9375</v>
      </c>
      <c r="M18" s="813"/>
      <c r="N18" s="1726">
        <v>6</v>
      </c>
      <c r="O18" s="687" t="s">
        <v>120</v>
      </c>
      <c r="P18" s="1725">
        <f>H18/1000/N18</f>
        <v>50</v>
      </c>
      <c r="Q18" s="625" t="s">
        <v>2536</v>
      </c>
      <c r="R18" s="625"/>
      <c r="S18" s="625"/>
      <c r="T18" s="625"/>
      <c r="U18" s="625"/>
      <c r="V18" s="625"/>
      <c r="W18" s="625"/>
      <c r="X18" s="625"/>
      <c r="Y18" s="625"/>
      <c r="Z18" s="625"/>
      <c r="AA18" s="625"/>
      <c r="AB18" s="625"/>
      <c r="AC18" s="625"/>
      <c r="AD18" s="625"/>
      <c r="AE18" s="625"/>
      <c r="AF18" s="625"/>
      <c r="AG18" s="625"/>
      <c r="AH18" s="625"/>
      <c r="AI18" s="625"/>
      <c r="AJ18" s="625"/>
      <c r="AK18" s="625"/>
      <c r="AL18" s="625"/>
      <c r="AM18" s="625"/>
      <c r="AN18" s="625"/>
      <c r="AO18" s="625"/>
      <c r="AP18" s="625"/>
      <c r="AQ18" s="625"/>
      <c r="AR18" s="625"/>
      <c r="AS18" s="625"/>
      <c r="AT18" s="625"/>
      <c r="AU18" s="625"/>
      <c r="AV18" s="625"/>
      <c r="AW18" s="625"/>
      <c r="AX18" s="625"/>
      <c r="AY18" s="625"/>
      <c r="AZ18" s="625"/>
      <c r="BA18" s="625"/>
      <c r="BB18" s="625"/>
      <c r="BC18" s="625"/>
      <c r="BD18" s="625"/>
      <c r="BE18" s="625"/>
      <c r="BF18" s="625"/>
      <c r="BG18" s="625"/>
      <c r="BH18" s="625"/>
      <c r="BI18" s="625"/>
    </row>
    <row r="19" spans="1:61">
      <c r="A19" s="641">
        <f t="shared" si="4"/>
        <v>2</v>
      </c>
      <c r="B19" s="648">
        <f t="shared" si="4"/>
        <v>133</v>
      </c>
      <c r="C19" s="645">
        <f t="shared" si="5"/>
        <v>1330</v>
      </c>
      <c r="D19" s="647">
        <f t="shared" si="6"/>
        <v>1500</v>
      </c>
      <c r="E19" s="647">
        <f t="shared" si="6"/>
        <v>1500</v>
      </c>
      <c r="F19" s="648">
        <f t="shared" si="7"/>
        <v>199.5</v>
      </c>
      <c r="G19" s="657">
        <f t="shared" si="8"/>
        <v>9</v>
      </c>
      <c r="H19" s="645">
        <f t="shared" si="9"/>
        <v>2019.9375</v>
      </c>
      <c r="I19" s="645">
        <f t="shared" si="10"/>
        <v>1136.21484375</v>
      </c>
      <c r="J19" s="647">
        <f>J18</f>
        <v>1800</v>
      </c>
      <c r="K19" s="812">
        <f t="shared" si="11"/>
        <v>112.21875</v>
      </c>
      <c r="L19" s="812">
        <f t="shared" si="12"/>
        <v>63.123046875</v>
      </c>
      <c r="M19" s="625"/>
      <c r="N19" s="653"/>
      <c r="O19" s="653"/>
      <c r="P19" s="653"/>
      <c r="Q19" s="625"/>
      <c r="R19" s="625"/>
      <c r="S19" s="625"/>
      <c r="T19" s="625"/>
      <c r="U19" s="814"/>
      <c r="V19" s="625"/>
      <c r="W19" s="625"/>
      <c r="X19" s="625"/>
      <c r="Y19" s="625"/>
      <c r="Z19" s="625"/>
      <c r="AA19" s="625"/>
      <c r="AB19" s="625"/>
      <c r="AC19" s="625"/>
      <c r="AD19" s="625"/>
      <c r="AE19" s="625"/>
      <c r="AF19" s="625"/>
      <c r="AG19" s="625"/>
      <c r="AH19" s="625"/>
      <c r="AI19" s="625"/>
      <c r="AJ19" s="625"/>
      <c r="AK19" s="625"/>
      <c r="AL19" s="625"/>
      <c r="AM19" s="625"/>
      <c r="AN19" s="625"/>
      <c r="AO19" s="625"/>
      <c r="AP19" s="625"/>
      <c r="AQ19" s="625"/>
      <c r="AR19" s="625"/>
      <c r="AS19" s="625"/>
      <c r="AT19" s="625"/>
      <c r="AU19" s="625"/>
      <c r="AV19" s="625"/>
      <c r="AW19" s="625"/>
      <c r="AX19" s="625"/>
      <c r="AY19" s="625"/>
      <c r="AZ19" s="625"/>
      <c r="BA19" s="625"/>
      <c r="BB19" s="625"/>
      <c r="BC19" s="625"/>
      <c r="BD19" s="625"/>
      <c r="BE19" s="625"/>
      <c r="BF19" s="625"/>
      <c r="BG19" s="625"/>
      <c r="BH19" s="625"/>
      <c r="BI19" s="625"/>
    </row>
    <row r="20" spans="1:61">
      <c r="A20" s="641">
        <f t="shared" si="4"/>
        <v>3</v>
      </c>
      <c r="B20" s="648">
        <f t="shared" si="4"/>
        <v>157</v>
      </c>
      <c r="C20" s="645">
        <f t="shared" si="5"/>
        <v>1570</v>
      </c>
      <c r="D20" s="647">
        <f t="shared" si="6"/>
        <v>1900</v>
      </c>
      <c r="E20" s="647">
        <f t="shared" si="6"/>
        <v>1900</v>
      </c>
      <c r="F20" s="648">
        <f t="shared" si="7"/>
        <v>298.3</v>
      </c>
      <c r="G20" s="657">
        <f t="shared" si="8"/>
        <v>9</v>
      </c>
      <c r="H20" s="645">
        <f t="shared" si="9"/>
        <v>3020.2875000000004</v>
      </c>
      <c r="I20" s="645">
        <f t="shared" si="10"/>
        <v>1698.9117187500001</v>
      </c>
      <c r="J20" s="647">
        <f>J19</f>
        <v>1800</v>
      </c>
      <c r="K20" s="812">
        <f t="shared" si="11"/>
        <v>167.79375000000005</v>
      </c>
      <c r="L20" s="812">
        <f t="shared" si="12"/>
        <v>94.383984374999997</v>
      </c>
      <c r="M20" s="748"/>
      <c r="N20" s="653"/>
      <c r="O20" s="653"/>
      <c r="P20" s="653"/>
      <c r="Q20" s="729"/>
      <c r="R20" s="796"/>
      <c r="S20" s="748"/>
      <c r="T20" s="748"/>
      <c r="U20" s="814"/>
      <c r="V20" s="749"/>
      <c r="W20" s="749"/>
      <c r="X20" s="749"/>
      <c r="Y20" s="749"/>
      <c r="Z20" s="749"/>
      <c r="AA20" s="749"/>
      <c r="AB20" s="749"/>
      <c r="AC20" s="749"/>
      <c r="AD20" s="749"/>
      <c r="AE20" s="625"/>
      <c r="AF20" s="625"/>
      <c r="AG20" s="625"/>
      <c r="AH20" s="625"/>
      <c r="AI20" s="625"/>
      <c r="AJ20" s="625"/>
      <c r="AK20" s="625"/>
      <c r="AL20" s="625"/>
      <c r="AM20" s="625"/>
      <c r="AN20" s="625"/>
      <c r="AO20" s="625"/>
      <c r="AP20" s="625"/>
      <c r="AQ20" s="625"/>
      <c r="AR20" s="625"/>
      <c r="AS20" s="625"/>
      <c r="AT20" s="625"/>
      <c r="AU20" s="625"/>
      <c r="AV20" s="625"/>
      <c r="AW20" s="625"/>
      <c r="AX20" s="625"/>
      <c r="AY20" s="625"/>
      <c r="AZ20" s="625"/>
      <c r="BA20" s="625"/>
      <c r="BB20" s="625"/>
      <c r="BC20" s="625"/>
      <c r="BD20" s="625"/>
      <c r="BE20" s="625"/>
      <c r="BF20" s="625"/>
      <c r="BG20" s="625"/>
      <c r="BH20" s="625"/>
      <c r="BI20" s="625"/>
    </row>
    <row r="21" spans="1:61">
      <c r="A21" s="641">
        <f>A11</f>
        <v>4</v>
      </c>
      <c r="B21" s="648">
        <v>176</v>
      </c>
      <c r="C21" s="645">
        <f t="shared" si="5"/>
        <v>1760</v>
      </c>
      <c r="D21" s="647">
        <v>1900</v>
      </c>
      <c r="E21" s="647">
        <v>1900</v>
      </c>
      <c r="F21" s="648">
        <f t="shared" si="7"/>
        <v>334.4</v>
      </c>
      <c r="G21" s="657">
        <f t="shared" si="8"/>
        <v>3.5</v>
      </c>
      <c r="H21" s="645">
        <f t="shared" si="9"/>
        <v>512.04999999999995</v>
      </c>
      <c r="I21" s="645">
        <f t="shared" si="10"/>
        <v>288.02812499999999</v>
      </c>
      <c r="J21" s="647">
        <f>J20</f>
        <v>1800</v>
      </c>
      <c r="K21" s="812">
        <f t="shared" si="11"/>
        <v>28.447222222222219</v>
      </c>
      <c r="L21" s="812">
        <f t="shared" si="12"/>
        <v>16.001562499999999</v>
      </c>
      <c r="M21" s="749"/>
      <c r="N21" s="653"/>
      <c r="O21" s="653"/>
      <c r="P21" s="653"/>
      <c r="Q21" s="749"/>
      <c r="R21" s="815"/>
      <c r="S21" s="749"/>
      <c r="T21" s="749"/>
      <c r="U21" s="814"/>
      <c r="V21" s="749"/>
      <c r="W21" s="749"/>
      <c r="X21" s="749"/>
      <c r="Y21" s="749"/>
      <c r="Z21" s="749"/>
      <c r="AA21" s="749"/>
      <c r="AB21" s="749"/>
      <c r="AC21" s="749"/>
      <c r="AD21" s="749"/>
      <c r="AE21" s="625"/>
      <c r="AF21" s="625"/>
      <c r="AG21" s="625"/>
      <c r="AH21" s="625"/>
      <c r="AI21" s="625"/>
      <c r="AJ21" s="625"/>
      <c r="AK21" s="625"/>
      <c r="AL21" s="625"/>
      <c r="AM21" s="625"/>
      <c r="AN21" s="625"/>
      <c r="AO21" s="625"/>
      <c r="AP21" s="625"/>
      <c r="AQ21" s="625"/>
      <c r="AR21" s="625"/>
      <c r="AS21" s="625"/>
      <c r="AT21" s="625"/>
      <c r="AU21" s="625"/>
      <c r="AV21" s="625"/>
      <c r="AW21" s="625"/>
      <c r="AX21" s="625"/>
      <c r="AY21" s="625"/>
      <c r="AZ21" s="625"/>
      <c r="BA21" s="625"/>
      <c r="BB21" s="625"/>
      <c r="BC21" s="625"/>
      <c r="BD21" s="625"/>
      <c r="BE21" s="625"/>
      <c r="BF21" s="625"/>
      <c r="BG21" s="625"/>
      <c r="BH21" s="625"/>
      <c r="BI21" s="625"/>
    </row>
    <row r="22" spans="1:61">
      <c r="A22" s="641">
        <f>A12</f>
        <v>5</v>
      </c>
      <c r="B22" s="648">
        <v>60</v>
      </c>
      <c r="C22" s="645">
        <f t="shared" si="5"/>
        <v>600</v>
      </c>
      <c r="D22" s="647">
        <v>1500</v>
      </c>
      <c r="E22" s="647">
        <v>1500</v>
      </c>
      <c r="F22" s="648">
        <f t="shared" si="7"/>
        <v>90</v>
      </c>
      <c r="G22" s="657">
        <f t="shared" si="8"/>
        <v>2.1</v>
      </c>
      <c r="H22" s="645">
        <f t="shared" si="9"/>
        <v>49.612500000000004</v>
      </c>
      <c r="I22" s="645">
        <f t="shared" si="10"/>
        <v>27.907031250000003</v>
      </c>
      <c r="J22" s="647">
        <f>J21</f>
        <v>1800</v>
      </c>
      <c r="K22" s="812">
        <f t="shared" si="11"/>
        <v>2.7562500000000001</v>
      </c>
      <c r="L22" s="812">
        <f t="shared" si="12"/>
        <v>1.5503906250000004</v>
      </c>
      <c r="M22" s="729"/>
      <c r="N22" s="653"/>
      <c r="O22" s="653"/>
      <c r="P22" s="653"/>
      <c r="Q22" s="729"/>
      <c r="R22" s="766"/>
      <c r="S22" s="766"/>
      <c r="T22" s="766"/>
      <c r="U22" s="814"/>
      <c r="V22" s="721"/>
      <c r="W22" s="721"/>
      <c r="X22" s="721"/>
      <c r="Y22" s="767"/>
      <c r="Z22" s="768"/>
      <c r="AA22" s="768"/>
      <c r="AB22" s="721"/>
      <c r="AC22" s="721"/>
      <c r="AD22" s="721"/>
      <c r="AE22" s="625"/>
      <c r="AF22" s="625"/>
      <c r="AG22" s="625"/>
      <c r="AH22" s="625"/>
      <c r="AI22" s="625"/>
      <c r="AJ22" s="625"/>
      <c r="AK22" s="625"/>
      <c r="AL22" s="625"/>
      <c r="AM22" s="625"/>
      <c r="AN22" s="625"/>
      <c r="AO22" s="625"/>
      <c r="AP22" s="625"/>
      <c r="AQ22" s="625"/>
      <c r="AR22" s="625"/>
      <c r="AS22" s="625"/>
      <c r="AT22" s="625"/>
      <c r="AU22" s="625"/>
      <c r="AV22" s="625"/>
      <c r="AW22" s="625"/>
      <c r="AX22" s="625"/>
      <c r="AY22" s="625"/>
      <c r="AZ22" s="625"/>
      <c r="BA22" s="625"/>
      <c r="BB22" s="625"/>
      <c r="BC22" s="625"/>
      <c r="BD22" s="625"/>
      <c r="BE22" s="625"/>
      <c r="BF22" s="625"/>
      <c r="BG22" s="625"/>
      <c r="BH22" s="625"/>
      <c r="BI22" s="625"/>
    </row>
    <row r="23" spans="1:61">
      <c r="A23" s="641">
        <f>A13</f>
        <v>6</v>
      </c>
      <c r="B23" s="648">
        <v>390</v>
      </c>
      <c r="C23" s="645">
        <f t="shared" si="5"/>
        <v>3900</v>
      </c>
      <c r="D23" s="647">
        <v>1550</v>
      </c>
      <c r="E23" s="647">
        <v>0</v>
      </c>
      <c r="F23" s="648">
        <f t="shared" si="7"/>
        <v>302.25</v>
      </c>
      <c r="G23" s="657">
        <f t="shared" si="8"/>
        <v>2</v>
      </c>
      <c r="H23" s="645">
        <f t="shared" si="9"/>
        <v>151.125</v>
      </c>
      <c r="I23" s="645">
        <f t="shared" si="10"/>
        <v>85.0078125</v>
      </c>
      <c r="J23" s="647">
        <f>J22</f>
        <v>1800</v>
      </c>
      <c r="K23" s="812">
        <f t="shared" si="11"/>
        <v>8.3958333333333339</v>
      </c>
      <c r="L23" s="812">
        <f t="shared" si="12"/>
        <v>4.72265625</v>
      </c>
      <c r="M23" s="729"/>
      <c r="N23" s="653"/>
      <c r="O23" s="653"/>
      <c r="P23" s="653"/>
      <c r="Q23" s="729"/>
      <c r="R23" s="766"/>
      <c r="S23" s="766"/>
      <c r="T23" s="766"/>
      <c r="U23" s="814"/>
      <c r="V23" s="721"/>
      <c r="W23" s="721"/>
      <c r="X23" s="721"/>
      <c r="Y23" s="767"/>
      <c r="Z23" s="768"/>
      <c r="AA23" s="768"/>
      <c r="AB23" s="721"/>
      <c r="AC23" s="721"/>
      <c r="AD23" s="721"/>
      <c r="AE23" s="625"/>
      <c r="AF23" s="625"/>
      <c r="AG23" s="625"/>
      <c r="AH23" s="625"/>
      <c r="AI23" s="625"/>
      <c r="AJ23" s="625"/>
      <c r="AK23" s="625"/>
      <c r="AL23" s="625"/>
      <c r="AM23" s="625"/>
      <c r="AN23" s="625"/>
      <c r="AO23" s="625"/>
      <c r="AP23" s="625"/>
      <c r="AQ23" s="625"/>
      <c r="AR23" s="625"/>
      <c r="AS23" s="625"/>
      <c r="AT23" s="625"/>
      <c r="AU23" s="625"/>
      <c r="AV23" s="625"/>
      <c r="AW23" s="625"/>
      <c r="AX23" s="625"/>
      <c r="AY23" s="625"/>
      <c r="AZ23" s="625"/>
      <c r="BA23" s="625"/>
      <c r="BB23" s="625"/>
      <c r="BC23" s="625"/>
      <c r="BD23" s="625"/>
      <c r="BE23" s="625"/>
      <c r="BF23" s="625"/>
      <c r="BG23" s="625"/>
      <c r="BH23" s="625"/>
      <c r="BI23" s="625"/>
    </row>
    <row r="24" spans="1:61">
      <c r="L24" s="816">
        <f>2*K8/L18</f>
        <v>395.36679536679537</v>
      </c>
      <c r="M24" s="625"/>
      <c r="N24" s="653"/>
      <c r="O24" s="653"/>
      <c r="P24" s="653"/>
      <c r="Q24" s="625"/>
      <c r="R24" s="625"/>
      <c r="S24" s="625"/>
      <c r="T24" s="625"/>
      <c r="U24" s="814"/>
      <c r="V24" s="625"/>
      <c r="W24" s="625"/>
      <c r="X24" s="625"/>
      <c r="Y24" s="625"/>
      <c r="Z24" s="625"/>
      <c r="AA24" s="625"/>
      <c r="AB24" s="625"/>
      <c r="AC24" s="625"/>
      <c r="AD24" s="625"/>
      <c r="AE24" s="625"/>
      <c r="AF24" s="625"/>
      <c r="AG24" s="625"/>
      <c r="AH24" s="625"/>
      <c r="AI24" s="625"/>
      <c r="AJ24" s="625"/>
      <c r="AK24" s="625"/>
      <c r="AL24" s="625"/>
      <c r="AM24" s="625"/>
      <c r="AN24" s="625"/>
      <c r="AO24" s="625"/>
      <c r="AP24" s="625"/>
      <c r="AQ24" s="625"/>
      <c r="AR24" s="625"/>
      <c r="AS24" s="625"/>
      <c r="AT24" s="625"/>
      <c r="AU24" s="625"/>
      <c r="AV24" s="625"/>
      <c r="AW24" s="625"/>
      <c r="AX24" s="625"/>
      <c r="AY24" s="625"/>
      <c r="AZ24" s="625"/>
      <c r="BA24" s="625"/>
      <c r="BB24" s="625"/>
      <c r="BC24" s="625"/>
      <c r="BD24" s="625"/>
      <c r="BE24" s="625"/>
      <c r="BF24" s="625"/>
      <c r="BG24" s="625"/>
      <c r="BH24" s="625"/>
      <c r="BI24" s="625"/>
    </row>
    <row r="25" spans="1:61">
      <c r="M25" s="625"/>
      <c r="N25" s="625"/>
      <c r="O25" s="625"/>
      <c r="P25" s="625"/>
      <c r="Q25" s="625"/>
      <c r="R25" s="625"/>
      <c r="S25" s="625"/>
      <c r="T25" s="625"/>
      <c r="U25" s="817"/>
      <c r="V25" s="625"/>
      <c r="W25" s="625"/>
      <c r="X25" s="625"/>
      <c r="Y25" s="625"/>
      <c r="Z25" s="625"/>
      <c r="AA25" s="625"/>
      <c r="AB25" s="625"/>
      <c r="AC25" s="625"/>
      <c r="AD25" s="625"/>
      <c r="AE25" s="625"/>
      <c r="AF25" s="625"/>
      <c r="AG25" s="625"/>
      <c r="AH25" s="625"/>
      <c r="AI25" s="625"/>
      <c r="AJ25" s="625"/>
      <c r="AK25" s="625"/>
      <c r="AL25" s="625"/>
      <c r="AM25" s="625"/>
      <c r="AN25" s="625"/>
      <c r="AO25" s="625"/>
      <c r="AP25" s="625"/>
      <c r="AQ25" s="625"/>
      <c r="AR25" s="625"/>
      <c r="AS25" s="625"/>
      <c r="AT25" s="625"/>
      <c r="AU25" s="625"/>
      <c r="AV25" s="625"/>
      <c r="AW25" s="625"/>
      <c r="AX25" s="625"/>
      <c r="AY25" s="625"/>
      <c r="AZ25" s="625"/>
      <c r="BA25" s="625"/>
      <c r="BB25" s="625"/>
      <c r="BC25" s="625"/>
      <c r="BD25" s="625"/>
      <c r="BE25" s="625"/>
      <c r="BF25" s="625"/>
      <c r="BG25" s="625"/>
      <c r="BH25" s="625"/>
      <c r="BI25" s="625"/>
    </row>
    <row r="27" spans="1:61">
      <c r="A27" s="818"/>
      <c r="B27" s="818"/>
      <c r="C27" s="818"/>
      <c r="D27" s="818"/>
      <c r="E27" s="625"/>
      <c r="F27" s="653"/>
      <c r="G27" s="674" t="s">
        <v>98</v>
      </c>
      <c r="H27" s="641" t="s">
        <v>99</v>
      </c>
      <c r="I27" s="639" t="s">
        <v>1873</v>
      </c>
    </row>
    <row r="28" spans="1:61">
      <c r="A28" s="718"/>
      <c r="B28" s="819"/>
      <c r="C28" s="718"/>
      <c r="D28" s="820"/>
      <c r="E28" s="675">
        <v>8</v>
      </c>
      <c r="F28" s="676">
        <v>26</v>
      </c>
      <c r="G28" s="677">
        <v>2</v>
      </c>
      <c r="H28" s="678">
        <v>15</v>
      </c>
      <c r="I28" s="679">
        <v>39</v>
      </c>
    </row>
    <row r="29" spans="1:61">
      <c r="A29" s="718"/>
      <c r="D29" s="820"/>
      <c r="E29" s="677"/>
      <c r="F29" s="625"/>
      <c r="G29" s="680">
        <f>INDEX(Wel.yn,$E$83)</f>
        <v>354</v>
      </c>
      <c r="H29" s="685">
        <f>INDEX(IIyn,$E$83)</f>
        <v>4250</v>
      </c>
      <c r="I29" s="684">
        <f>INDEX(Gn,$E$83)</f>
        <v>36.200000000000003</v>
      </c>
    </row>
    <row r="30" spans="1:61">
      <c r="A30" s="718"/>
      <c r="D30" s="820"/>
      <c r="E30" s="677"/>
      <c r="F30" s="625"/>
      <c r="G30" s="680">
        <f>INDEX(Wel.y,$F$83)</f>
        <v>483.1</v>
      </c>
      <c r="H30" s="685">
        <f>INDEX(Iy,$F$83)</f>
        <v>7173</v>
      </c>
      <c r="I30" s="684">
        <f>INDEX(G,$F$83)</f>
        <v>36.5</v>
      </c>
      <c r="K30" s="820"/>
    </row>
    <row r="31" spans="1:61">
      <c r="A31" s="718"/>
      <c r="D31" s="820"/>
      <c r="E31" s="677"/>
      <c r="F31" s="625"/>
      <c r="G31" s="680">
        <f>INDEX(Wel.yhe,$G$83)</f>
        <v>5501</v>
      </c>
      <c r="H31" s="685">
        <f>INDEX(IIyhe,$G$83)</f>
        <v>131500</v>
      </c>
      <c r="I31" s="684">
        <f>INDEX(Ghe,$G$83)</f>
        <v>263</v>
      </c>
    </row>
    <row r="32" spans="1:61" ht="18" customHeight="1">
      <c r="A32" s="718"/>
      <c r="D32" s="820"/>
      <c r="E32" s="677"/>
      <c r="F32" s="625"/>
      <c r="G32" s="680">
        <f>INDEX(Wu,$H$83)</f>
        <v>829</v>
      </c>
      <c r="H32" s="685">
        <f>INDEX(Iyu,$H$83)</f>
        <v>15760</v>
      </c>
      <c r="I32" s="684">
        <f>INDEX(Gu,$H$83)</f>
        <v>63.1</v>
      </c>
    </row>
    <row r="33" spans="1:14" ht="16.5" customHeight="1">
      <c r="A33" s="718"/>
      <c r="D33" s="820"/>
      <c r="E33" s="677"/>
      <c r="F33" s="625"/>
      <c r="G33" s="680">
        <f>INDEX(WyzL,$I$83)</f>
        <v>171.2</v>
      </c>
      <c r="H33" s="685">
        <f>INDEX(IIyzL,$I$83)</f>
        <v>2472</v>
      </c>
      <c r="I33" s="684">
        <f>INDEX(GL,$I$83)</f>
        <v>51.4</v>
      </c>
    </row>
    <row r="34" spans="1:14" ht="17.25" customHeight="1">
      <c r="A34" s="718"/>
      <c r="D34" s="820"/>
      <c r="E34" s="677"/>
      <c r="F34" s="677"/>
      <c r="G34" s="677"/>
      <c r="H34" s="677"/>
      <c r="I34" s="677"/>
    </row>
    <row r="35" spans="1:14">
      <c r="A35" s="718"/>
      <c r="D35" s="820"/>
    </row>
    <row r="36" spans="1:14">
      <c r="A36" s="718"/>
      <c r="D36" s="820"/>
    </row>
    <row r="37" spans="1:14">
      <c r="A37" s="718"/>
      <c r="D37" s="820"/>
    </row>
    <row r="38" spans="1:14">
      <c r="A38" s="718"/>
    </row>
    <row r="39" spans="1:14">
      <c r="A39" s="718"/>
    </row>
    <row r="40" spans="1:14">
      <c r="A40" s="718"/>
      <c r="B40" s="821"/>
      <c r="C40" s="821"/>
      <c r="D40" s="822"/>
    </row>
    <row r="41" spans="1:14">
      <c r="A41" s="718"/>
      <c r="B41" s="829" t="s">
        <v>104</v>
      </c>
      <c r="C41" s="829"/>
      <c r="D41" s="829"/>
      <c r="E41" s="829"/>
      <c r="F41" s="829"/>
      <c r="G41" s="829"/>
      <c r="H41" s="829"/>
      <c r="I41" s="829"/>
      <c r="J41" s="829"/>
      <c r="K41" s="829"/>
      <c r="L41" s="829"/>
      <c r="M41" s="829"/>
      <c r="N41" s="829"/>
    </row>
    <row r="42" spans="1:14">
      <c r="A42" s="718"/>
      <c r="B42" s="831" t="s">
        <v>132</v>
      </c>
      <c r="C42" s="832"/>
      <c r="D42" s="832"/>
      <c r="E42" s="832"/>
      <c r="F42" s="833" t="s">
        <v>578</v>
      </c>
      <c r="G42" s="845" t="s">
        <v>136</v>
      </c>
      <c r="H42" s="833" t="s">
        <v>572</v>
      </c>
      <c r="I42" s="833" t="s">
        <v>56</v>
      </c>
      <c r="J42" s="833" t="s">
        <v>1952</v>
      </c>
      <c r="K42" s="833" t="s">
        <v>105</v>
      </c>
      <c r="L42" s="833" t="s">
        <v>106</v>
      </c>
      <c r="M42" s="833" t="s">
        <v>0</v>
      </c>
      <c r="N42" s="852" t="s">
        <v>107</v>
      </c>
    </row>
    <row r="43" spans="1:14">
      <c r="A43" s="718"/>
      <c r="B43" s="836" t="s">
        <v>570</v>
      </c>
      <c r="C43" s="837" t="s">
        <v>1746</v>
      </c>
      <c r="D43" s="837" t="s">
        <v>108</v>
      </c>
      <c r="E43" s="837" t="s">
        <v>109</v>
      </c>
      <c r="F43" s="838" t="s">
        <v>110</v>
      </c>
      <c r="G43" s="838" t="s">
        <v>137</v>
      </c>
      <c r="H43" s="838" t="s">
        <v>599</v>
      </c>
      <c r="I43" s="838" t="s">
        <v>111</v>
      </c>
      <c r="J43" s="838" t="s">
        <v>72</v>
      </c>
      <c r="K43" s="838" t="s">
        <v>607</v>
      </c>
      <c r="L43" s="838" t="s">
        <v>111</v>
      </c>
      <c r="M43" s="838" t="s">
        <v>72</v>
      </c>
      <c r="N43" s="853" t="s">
        <v>607</v>
      </c>
    </row>
    <row r="44" spans="1:14">
      <c r="A44" s="718"/>
      <c r="B44" s="854">
        <v>80</v>
      </c>
      <c r="C44" s="854">
        <v>40</v>
      </c>
      <c r="D44" s="854">
        <v>3</v>
      </c>
      <c r="E44" s="854">
        <v>3</v>
      </c>
      <c r="F44" s="855">
        <f>(C44*B44-(C44-2*D44)*(B44-2*E44))/100</f>
        <v>6.84</v>
      </c>
      <c r="G44" s="842">
        <v>7.85</v>
      </c>
      <c r="H44" s="846">
        <f>F44*G44/10</f>
        <v>5.3693999999999997</v>
      </c>
      <c r="I44" s="1359">
        <f>(C44*B44*B44*B44-(C44-2*D44)*(B44-2*E44)*(B44-2*E44)*(B44-2*E44))/12/10000</f>
        <v>55.853200000000001</v>
      </c>
      <c r="J44" s="855">
        <f>2*10*I44/B44</f>
        <v>13.9633</v>
      </c>
      <c r="K44" s="855">
        <f>SQRT(I44/F44)</f>
        <v>2.8575640875787691</v>
      </c>
      <c r="L44" s="856">
        <f>(B44*C44*C44*C44-(B44-2*E44)*(C44-2*D44)*(C44-2*D44)*(C44-2*D44))/12/10000</f>
        <v>18.429200000000002</v>
      </c>
      <c r="M44" s="855">
        <f>2*10*L44/C44</f>
        <v>9.2146000000000008</v>
      </c>
      <c r="N44" s="857">
        <f>SQRT(L44/F44)</f>
        <v>1.641440673731499</v>
      </c>
    </row>
    <row r="45" spans="1:14">
      <c r="A45" s="718"/>
      <c r="B45" s="854">
        <v>150</v>
      </c>
      <c r="C45" s="854">
        <v>50</v>
      </c>
      <c r="D45" s="854">
        <v>2.2000000000000002</v>
      </c>
      <c r="E45" s="854">
        <v>3</v>
      </c>
      <c r="F45" s="855">
        <f>(C45*B45-(C45-2*D45)*(B45-2*E45))/100</f>
        <v>9.335999999999995</v>
      </c>
      <c r="G45" s="842">
        <v>8.85</v>
      </c>
      <c r="H45" s="846">
        <f>F45*G45/10</f>
        <v>8.2623599999999957</v>
      </c>
      <c r="I45" s="1359">
        <f>(C45*B45*B45*B45-(C45-2*D45)*(B45-2*E45)*(B45-2*E45)*(B45-2*E45))/12/10000</f>
        <v>271.57607999999993</v>
      </c>
      <c r="J45" s="855">
        <f>2*10*I45/B45</f>
        <v>36.210143999999985</v>
      </c>
      <c r="K45" s="855">
        <f>SQRT(I45/F45)</f>
        <v>5.3934335968852247</v>
      </c>
      <c r="L45" s="856">
        <f>(B45*C45*C45*C45-(B45-2*E45)*(C45-2*D45)*(C45-2*D45)*(C45-2*D45))/12/10000</f>
        <v>42.467420799999978</v>
      </c>
      <c r="M45" s="855">
        <f>2*10*L45/C45</f>
        <v>16.986968319999992</v>
      </c>
      <c r="N45" s="857">
        <f>SQRT(L45/F45)</f>
        <v>2.1327871783756014</v>
      </c>
    </row>
    <row r="46" spans="1:14">
      <c r="A46" s="823"/>
      <c r="B46" s="821"/>
      <c r="C46" s="821"/>
      <c r="D46" s="822"/>
      <c r="I46" s="931">
        <f>K8-I44</f>
        <v>1853226.0000818532</v>
      </c>
    </row>
    <row r="47" spans="1:14">
      <c r="A47" s="718"/>
      <c r="D47" s="824"/>
      <c r="I47" s="819">
        <f>I46*3</f>
        <v>5559678.00024556</v>
      </c>
    </row>
    <row r="48" spans="1:14">
      <c r="A48" s="718"/>
      <c r="D48" s="820"/>
    </row>
    <row r="49" spans="1:5">
      <c r="A49" s="718"/>
      <c r="D49" s="820"/>
    </row>
    <row r="50" spans="1:5">
      <c r="A50" s="718"/>
      <c r="D50" s="820"/>
    </row>
    <row r="51" spans="1:5">
      <c r="A51" s="718"/>
      <c r="D51" s="820"/>
    </row>
    <row r="52" spans="1:5">
      <c r="A52" s="718"/>
      <c r="D52" s="820"/>
    </row>
    <row r="53" spans="1:5">
      <c r="A53" s="718"/>
      <c r="D53" s="820"/>
    </row>
    <row r="54" spans="1:5">
      <c r="A54" s="718"/>
      <c r="D54" s="820"/>
    </row>
    <row r="55" spans="1:5">
      <c r="A55" s="718"/>
      <c r="D55" s="820"/>
    </row>
    <row r="56" spans="1:5">
      <c r="A56" s="718"/>
      <c r="D56" s="820"/>
    </row>
    <row r="57" spans="1:5">
      <c r="A57" s="718"/>
      <c r="D57" s="820"/>
    </row>
    <row r="58" spans="1:5">
      <c r="A58" s="718"/>
      <c r="B58" s="825"/>
      <c r="C58" s="825"/>
      <c r="D58" s="820"/>
      <c r="E58" s="718"/>
    </row>
    <row r="59" spans="1:5">
      <c r="A59" s="718"/>
      <c r="D59" s="820"/>
      <c r="E59" s="826"/>
    </row>
    <row r="60" spans="1:5">
      <c r="A60" s="718"/>
      <c r="B60" s="821"/>
      <c r="C60" s="821"/>
      <c r="D60" s="820"/>
    </row>
    <row r="61" spans="1:5">
      <c r="A61" s="718"/>
      <c r="D61" s="820"/>
    </row>
    <row r="62" spans="1:5">
      <c r="A62" s="718"/>
      <c r="D62" s="827"/>
    </row>
    <row r="63" spans="1:5">
      <c r="A63" s="718"/>
      <c r="D63" s="827"/>
    </row>
    <row r="64" spans="1:5">
      <c r="A64" s="718"/>
      <c r="D64" s="827"/>
    </row>
    <row r="65" spans="1:4">
      <c r="A65" s="718"/>
      <c r="D65" s="827"/>
    </row>
    <row r="66" spans="1:4">
      <c r="A66" s="718"/>
      <c r="D66" s="827"/>
    </row>
    <row r="67" spans="1:4">
      <c r="A67" s="718"/>
      <c r="D67" s="827"/>
    </row>
    <row r="68" spans="1:4">
      <c r="A68" s="718"/>
      <c r="D68" s="827"/>
    </row>
    <row r="69" spans="1:4">
      <c r="A69" s="718"/>
      <c r="D69" s="827"/>
    </row>
    <row r="70" spans="1:4">
      <c r="A70" s="718"/>
      <c r="D70" s="827"/>
    </row>
    <row r="71" spans="1:4">
      <c r="A71" s="718"/>
      <c r="D71" s="827"/>
    </row>
    <row r="72" spans="1:4">
      <c r="A72" s="718"/>
      <c r="D72" s="827"/>
    </row>
    <row r="73" spans="1:4">
      <c r="A73" s="718"/>
      <c r="D73" s="828"/>
    </row>
    <row r="74" spans="1:4">
      <c r="A74" s="718"/>
      <c r="D74" s="828"/>
    </row>
    <row r="75" spans="1:4">
      <c r="A75" s="718"/>
      <c r="D75" s="828"/>
    </row>
    <row r="76" spans="1:4">
      <c r="A76" s="718"/>
      <c r="D76" s="828"/>
    </row>
    <row r="77" spans="1:4">
      <c r="A77" s="718"/>
      <c r="D77" s="828"/>
    </row>
    <row r="78" spans="1:4">
      <c r="A78" s="718"/>
      <c r="D78" s="828"/>
    </row>
    <row r="79" spans="1:4">
      <c r="A79" s="718"/>
      <c r="D79" s="828"/>
    </row>
    <row r="80" spans="1:4">
      <c r="A80" s="718"/>
      <c r="D80" s="828"/>
    </row>
    <row r="81" spans="1:9">
      <c r="A81" s="718"/>
      <c r="D81" s="828"/>
    </row>
    <row r="82" spans="1:9">
      <c r="A82" s="718"/>
      <c r="D82" s="828"/>
    </row>
    <row r="83" spans="1:9">
      <c r="A83" s="718"/>
      <c r="D83" s="828"/>
      <c r="E83" s="687">
        <v>8</v>
      </c>
      <c r="F83" s="687">
        <v>33</v>
      </c>
      <c r="G83" s="687">
        <v>79</v>
      </c>
      <c r="H83" s="687">
        <v>16</v>
      </c>
      <c r="I83" s="687">
        <v>41</v>
      </c>
    </row>
    <row r="84" spans="1:9">
      <c r="A84" s="718"/>
      <c r="D84" s="828"/>
    </row>
    <row r="85" spans="1:9">
      <c r="A85" s="718"/>
      <c r="D85" s="828"/>
    </row>
  </sheetData>
  <mergeCells count="1">
    <mergeCell ref="A1:N1"/>
  </mergeCells>
  <phoneticPr fontId="68" type="noConversion"/>
  <printOptions horizontalCentered="1"/>
  <pageMargins left="0.74803149606299213" right="0.74803149606299213" top="1.83" bottom="0.98425196850393704" header="0.51181102362204722" footer="0.51181102362204722"/>
  <pageSetup paperSize="9" orientation="landscape" horizontalDpi="200" verticalDpi="20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9697" r:id="rId4" name="Drop Down 1">
              <controlPr defaultSize="0" autoLine="0" autoPict="0">
                <anchor moveWithCells="1">
                  <from>
                    <xdr:col>4</xdr:col>
                    <xdr:colOff>800100</xdr:colOff>
                    <xdr:row>28</xdr:row>
                    <xdr:rowOff>171450</xdr:rowOff>
                  </from>
                  <to>
                    <xdr:col>6</xdr:col>
                    <xdr:colOff>114300</xdr:colOff>
                    <xdr:row>30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8" r:id="rId5" name="Drop Down 2">
              <controlPr defaultSize="0" autoLine="0" autoPict="0">
                <anchor moveWithCells="1">
                  <from>
                    <xdr:col>4</xdr:col>
                    <xdr:colOff>800100</xdr:colOff>
                    <xdr:row>27</xdr:row>
                    <xdr:rowOff>133350</xdr:rowOff>
                  </from>
                  <to>
                    <xdr:col>6</xdr:col>
                    <xdr:colOff>95250</xdr:colOff>
                    <xdr:row>29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9" r:id="rId6" name="Drop Down 3">
              <controlPr defaultSize="0" autoLine="0" autoPict="0">
                <anchor moveWithCells="1">
                  <from>
                    <xdr:col>5</xdr:col>
                    <xdr:colOff>0</xdr:colOff>
                    <xdr:row>29</xdr:row>
                    <xdr:rowOff>152400</xdr:rowOff>
                  </from>
                  <to>
                    <xdr:col>6</xdr:col>
                    <xdr:colOff>104775</xdr:colOff>
                    <xdr:row>31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0" r:id="rId7" name="Drop Down 4">
              <controlPr defaultSize="0" autoLine="0" autoPict="0">
                <anchor moveWithCells="1">
                  <from>
                    <xdr:col>4</xdr:col>
                    <xdr:colOff>800100</xdr:colOff>
                    <xdr:row>31</xdr:row>
                    <xdr:rowOff>28575</xdr:rowOff>
                  </from>
                  <to>
                    <xdr:col>6</xdr:col>
                    <xdr:colOff>104775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1" r:id="rId8" name="Drop Down 5">
              <controlPr defaultSize="0" autoLine="0" autoPict="0">
                <anchor moveWithCells="1">
                  <from>
                    <xdr:col>4</xdr:col>
                    <xdr:colOff>371475</xdr:colOff>
                    <xdr:row>32</xdr:row>
                    <xdr:rowOff>0</xdr:rowOff>
                  </from>
                  <to>
                    <xdr:col>6</xdr:col>
                    <xdr:colOff>114300</xdr:colOff>
                    <xdr:row>32</xdr:row>
                    <xdr:rowOff>200025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76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A57" sqref="A57"/>
    </sheetView>
  </sheetViews>
  <sheetFormatPr defaultColWidth="8.85546875" defaultRowHeight="12.75"/>
  <cols>
    <col min="1" max="1" width="7.42578125" style="975" customWidth="1"/>
    <col min="2" max="2" width="6.140625" style="975" customWidth="1"/>
    <col min="3" max="3" width="7.5703125" style="975" customWidth="1"/>
    <col min="4" max="4" width="8.140625" style="1000" customWidth="1"/>
    <col min="5" max="5" width="9.85546875" style="1000" customWidth="1"/>
    <col min="6" max="6" width="12.140625" style="1000" customWidth="1"/>
    <col min="7" max="7" width="9.28515625" style="1000" customWidth="1"/>
    <col min="8" max="8" width="9.140625" style="1000" customWidth="1"/>
    <col min="9" max="9" width="9.140625" style="975" customWidth="1"/>
    <col min="10" max="10" width="8" style="975" customWidth="1"/>
    <col min="11" max="12" width="11.5703125" style="975" customWidth="1"/>
    <col min="13" max="13" width="14.140625" style="975" customWidth="1"/>
    <col min="14" max="14" width="14.42578125" style="975" customWidth="1"/>
    <col min="15" max="15" width="11.42578125" style="975" customWidth="1"/>
    <col min="16" max="16" width="14.140625" style="975" customWidth="1"/>
    <col min="17" max="22" width="9.140625" style="975" customWidth="1"/>
    <col min="23" max="23" width="8.85546875" style="975" customWidth="1"/>
    <col min="24" max="24" width="6.42578125" style="975" customWidth="1"/>
    <col min="25" max="25" width="6.28515625" style="975" customWidth="1"/>
    <col min="26" max="26" width="7.28515625" style="975" customWidth="1"/>
    <col min="27" max="27" width="9.5703125" style="975" customWidth="1"/>
    <col min="28" max="28" width="10.140625" style="975" customWidth="1"/>
    <col min="29" max="16384" width="8.85546875" style="975"/>
  </cols>
  <sheetData>
    <row r="1" spans="1:29" ht="18.75" customHeight="1">
      <c r="A1" s="971" t="s">
        <v>223</v>
      </c>
      <c r="B1" s="972"/>
      <c r="C1" s="973"/>
      <c r="D1" s="974"/>
      <c r="E1" s="974"/>
      <c r="F1" s="974"/>
      <c r="G1" s="974"/>
      <c r="H1" s="974"/>
      <c r="I1" s="973"/>
      <c r="J1" s="973"/>
      <c r="K1" s="973"/>
      <c r="L1" s="973"/>
      <c r="M1" s="973"/>
      <c r="N1" s="973"/>
      <c r="O1" s="973"/>
      <c r="P1" s="973"/>
    </row>
    <row r="2" spans="1:29">
      <c r="A2" s="972"/>
      <c r="B2" s="972"/>
      <c r="C2" s="972"/>
      <c r="D2" s="976"/>
      <c r="E2" s="976"/>
      <c r="F2" s="976"/>
      <c r="G2" s="976"/>
      <c r="H2" s="976"/>
      <c r="I2" s="977" t="s">
        <v>224</v>
      </c>
      <c r="K2" s="972" t="s">
        <v>225</v>
      </c>
      <c r="L2" s="972"/>
      <c r="M2" s="972"/>
      <c r="N2" s="972" t="s">
        <v>226</v>
      </c>
      <c r="O2" s="972"/>
      <c r="P2" s="973"/>
      <c r="Q2" s="972" t="s">
        <v>227</v>
      </c>
      <c r="R2" s="972"/>
      <c r="S2" s="972"/>
      <c r="T2" s="972"/>
    </row>
    <row r="3" spans="1:29" s="978" customFormat="1" ht="14.25">
      <c r="A3" s="978" t="s">
        <v>228</v>
      </c>
      <c r="B3" s="978" t="s">
        <v>229</v>
      </c>
      <c r="C3" s="978" t="s">
        <v>230</v>
      </c>
      <c r="D3" s="979" t="s">
        <v>1874</v>
      </c>
      <c r="E3" s="979" t="s">
        <v>1873</v>
      </c>
      <c r="F3" s="980" t="s">
        <v>242</v>
      </c>
      <c r="G3" s="979" t="s">
        <v>98</v>
      </c>
      <c r="H3" s="979" t="s">
        <v>205</v>
      </c>
      <c r="I3" s="978" t="s">
        <v>231</v>
      </c>
      <c r="J3" s="978" t="s">
        <v>232</v>
      </c>
      <c r="K3" s="978" t="s">
        <v>233</v>
      </c>
      <c r="L3" s="978" t="s">
        <v>155</v>
      </c>
      <c r="M3" s="978" t="s">
        <v>234</v>
      </c>
      <c r="N3" s="978" t="s">
        <v>235</v>
      </c>
      <c r="Q3" s="978" t="s">
        <v>120</v>
      </c>
      <c r="R3" s="978" t="s">
        <v>236</v>
      </c>
      <c r="S3" s="978" t="s">
        <v>237</v>
      </c>
      <c r="T3" s="978" t="s">
        <v>238</v>
      </c>
      <c r="V3" s="978" t="s">
        <v>239</v>
      </c>
      <c r="AC3" s="975"/>
    </row>
    <row r="4" spans="1:29" s="978" customFormat="1" ht="11.25" customHeight="1">
      <c r="A4" s="981">
        <v>17.3</v>
      </c>
      <c r="B4" s="982">
        <v>2.2999999999999998</v>
      </c>
      <c r="C4" s="983">
        <f t="shared" ref="C4:C35" si="0">A4-B4*2</f>
        <v>12.700000000000001</v>
      </c>
      <c r="D4" s="982">
        <f>3.14159*(A4*A4-(A4-2*B4)*(A4-2*B4))/400</f>
        <v>1.0838485499999999</v>
      </c>
      <c r="E4" s="984">
        <f t="shared" ref="E4:E35" si="1">100*D4*7.85/1000</f>
        <v>0.85082111174999986</v>
      </c>
      <c r="F4" s="985">
        <f t="shared" ref="F4:F35" si="2">3.14159*(A4*A4*A4*A4/10000-C4*C4*C4*C4/10000)/64</f>
        <v>0.31199935322437505</v>
      </c>
      <c r="G4" s="982">
        <f t="shared" ref="G4:G35" si="3">F4/A4*20</f>
        <v>0.36069289390101167</v>
      </c>
      <c r="H4" s="982">
        <f t="shared" ref="H4:H35" si="4">SQRT(F4/D4)</f>
        <v>0.53652819124441176</v>
      </c>
      <c r="I4" s="978">
        <v>600</v>
      </c>
      <c r="J4" s="986">
        <f>I4/10/H4</f>
        <v>111.83009761488452</v>
      </c>
      <c r="K4" s="987">
        <f>1400*$D4/1000</f>
        <v>1.5173879699999997</v>
      </c>
      <c r="L4" s="978">
        <v>1.1200000000000001</v>
      </c>
      <c r="M4" s="988">
        <f>1400*$D4/L4/1000</f>
        <v>1.3548106874999997</v>
      </c>
      <c r="N4" s="988">
        <f>2100*$D4/1000</f>
        <v>2.2760819549999995</v>
      </c>
      <c r="O4" s="978">
        <v>1.18</v>
      </c>
      <c r="P4" s="988">
        <f>2100*$D4/O4/1000</f>
        <v>1.9288830127118641</v>
      </c>
      <c r="Q4" s="989">
        <v>2917</v>
      </c>
      <c r="R4" s="990">
        <f>Q4*E4/1000</f>
        <v>2.4818451829747494</v>
      </c>
      <c r="S4" s="975">
        <v>500</v>
      </c>
      <c r="T4" s="991">
        <f>S4*R4</f>
        <v>1240.9225914873748</v>
      </c>
      <c r="U4" s="992">
        <f>T4-T154</f>
        <v>-210015.49330788758</v>
      </c>
      <c r="W4" s="978">
        <f>E4*140*3</f>
        <v>357.34486693499991</v>
      </c>
      <c r="AC4" s="975"/>
    </row>
    <row r="5" spans="1:29" ht="11.25" customHeight="1">
      <c r="A5" s="983">
        <f>A4</f>
        <v>17.3</v>
      </c>
      <c r="B5" s="982">
        <f>B4+0.5</f>
        <v>2.8</v>
      </c>
      <c r="C5" s="983">
        <f t="shared" si="0"/>
        <v>11.700000000000001</v>
      </c>
      <c r="D5" s="982">
        <f t="shared" ref="D5:D35" si="5">3.14159*(A5*A5-C5*C5)/400</f>
        <v>1.27548554</v>
      </c>
      <c r="E5" s="982">
        <f t="shared" si="1"/>
        <v>1.0012561489</v>
      </c>
      <c r="F5" s="985">
        <f t="shared" si="2"/>
        <v>0.34771330177325005</v>
      </c>
      <c r="G5" s="982">
        <f t="shared" si="3"/>
        <v>0.40198069569161854</v>
      </c>
      <c r="H5" s="982">
        <f t="shared" si="4"/>
        <v>0.52212306978336054</v>
      </c>
      <c r="I5" s="978">
        <f>I4</f>
        <v>600</v>
      </c>
      <c r="J5" s="986">
        <f>I5/10/H5</f>
        <v>114.91543559815355</v>
      </c>
      <c r="K5" s="988">
        <f>1400*$D5/1000</f>
        <v>1.785679756</v>
      </c>
      <c r="L5" s="978">
        <f>L4</f>
        <v>1.1200000000000001</v>
      </c>
      <c r="M5" s="988">
        <f>1400*$D5/L5/1000</f>
        <v>1.5943569249999998</v>
      </c>
      <c r="N5" s="988">
        <f>2100*$D5/1000</f>
        <v>2.6785196340000001</v>
      </c>
      <c r="O5" s="978">
        <f>O4</f>
        <v>1.18</v>
      </c>
      <c r="P5" s="988">
        <f>2100*$D5/O5/1000</f>
        <v>2.2699318932203392</v>
      </c>
      <c r="Q5" s="992"/>
      <c r="R5" s="990"/>
      <c r="T5" s="991"/>
    </row>
    <row r="6" spans="1:29" ht="11.25" customHeight="1">
      <c r="A6" s="983">
        <f>A5</f>
        <v>17.3</v>
      </c>
      <c r="B6" s="982">
        <f>B5+0.5</f>
        <v>3.3</v>
      </c>
      <c r="C6" s="983">
        <f t="shared" si="0"/>
        <v>10.700000000000001</v>
      </c>
      <c r="D6" s="982">
        <f t="shared" si="5"/>
        <v>1.45141458</v>
      </c>
      <c r="E6" s="982">
        <f t="shared" si="1"/>
        <v>1.1393604453000001</v>
      </c>
      <c r="F6" s="985">
        <f t="shared" si="2"/>
        <v>0.37535395307025005</v>
      </c>
      <c r="G6" s="982">
        <f t="shared" si="3"/>
        <v>0.43393520586156076</v>
      </c>
      <c r="H6" s="982">
        <f t="shared" si="4"/>
        <v>0.50853957564775631</v>
      </c>
      <c r="I6" s="978"/>
      <c r="J6" s="986"/>
      <c r="K6" s="988"/>
      <c r="L6" s="978"/>
      <c r="M6" s="988"/>
      <c r="N6" s="988"/>
      <c r="O6" s="978"/>
      <c r="P6" s="988"/>
      <c r="Q6" s="992"/>
      <c r="R6" s="990"/>
      <c r="T6" s="991"/>
    </row>
    <row r="7" spans="1:29" ht="11.25" customHeight="1">
      <c r="A7" s="981">
        <v>26.9</v>
      </c>
      <c r="B7" s="982">
        <v>2</v>
      </c>
      <c r="C7" s="983">
        <f t="shared" si="0"/>
        <v>22.9</v>
      </c>
      <c r="D7" s="982">
        <f t="shared" si="5"/>
        <v>1.5645118199999992</v>
      </c>
      <c r="E7" s="982">
        <f t="shared" si="1"/>
        <v>1.2281417786999993</v>
      </c>
      <c r="F7" s="985">
        <f t="shared" si="2"/>
        <v>1.2203387759977495</v>
      </c>
      <c r="G7" s="982">
        <f t="shared" si="3"/>
        <v>0.90731507509126375</v>
      </c>
      <c r="H7" s="982">
        <f t="shared" si="4"/>
        <v>0.88318316333589608</v>
      </c>
      <c r="I7" s="978"/>
      <c r="J7" s="986"/>
      <c r="K7" s="988"/>
      <c r="L7" s="978"/>
      <c r="M7" s="988"/>
      <c r="N7" s="988"/>
      <c r="O7" s="978"/>
      <c r="P7" s="988"/>
      <c r="Q7" s="992"/>
      <c r="R7" s="990"/>
      <c r="T7" s="991"/>
    </row>
    <row r="8" spans="1:29" ht="11.25" customHeight="1">
      <c r="A8" s="983">
        <f>A7</f>
        <v>26.9</v>
      </c>
      <c r="B8" s="982">
        <f>B7+0.5</f>
        <v>2.5</v>
      </c>
      <c r="C8" s="983">
        <f t="shared" si="0"/>
        <v>21.9</v>
      </c>
      <c r="D8" s="982">
        <f t="shared" si="5"/>
        <v>1.9163698999999994</v>
      </c>
      <c r="E8" s="982">
        <f t="shared" si="1"/>
        <v>1.5043503714999995</v>
      </c>
      <c r="F8" s="985">
        <f t="shared" si="2"/>
        <v>1.4411341194237495</v>
      </c>
      <c r="G8" s="982">
        <f t="shared" si="3"/>
        <v>1.0714751817276948</v>
      </c>
      <c r="H8" s="982">
        <f t="shared" si="4"/>
        <v>0.86718654279226448</v>
      </c>
      <c r="I8" s="978"/>
      <c r="J8" s="986"/>
      <c r="K8" s="988"/>
      <c r="L8" s="978"/>
      <c r="M8" s="988"/>
      <c r="N8" s="988"/>
      <c r="O8" s="978"/>
      <c r="P8" s="988"/>
      <c r="Q8" s="992"/>
      <c r="R8" s="990"/>
      <c r="T8" s="991"/>
    </row>
    <row r="9" spans="1:29" ht="11.25" customHeight="1">
      <c r="A9" s="983">
        <f>A8</f>
        <v>26.9</v>
      </c>
      <c r="B9" s="982">
        <f>B8+0.5</f>
        <v>3</v>
      </c>
      <c r="C9" s="983">
        <f t="shared" si="0"/>
        <v>20.9</v>
      </c>
      <c r="D9" s="982">
        <f t="shared" si="5"/>
        <v>2.2525200299999995</v>
      </c>
      <c r="E9" s="982">
        <f t="shared" si="1"/>
        <v>1.7682282235499995</v>
      </c>
      <c r="F9" s="985">
        <f t="shared" si="2"/>
        <v>1.6336683082578745</v>
      </c>
      <c r="G9" s="982">
        <f t="shared" si="3"/>
        <v>1.2146232775151482</v>
      </c>
      <c r="H9" s="982">
        <f t="shared" si="4"/>
        <v>0.85162344965365999</v>
      </c>
      <c r="I9" s="978"/>
      <c r="J9" s="986"/>
      <c r="K9" s="988"/>
      <c r="L9" s="978"/>
      <c r="M9" s="988"/>
      <c r="N9" s="988"/>
      <c r="O9" s="978"/>
      <c r="P9" s="988"/>
      <c r="Q9" s="992"/>
      <c r="R9" s="990"/>
      <c r="T9" s="991"/>
    </row>
    <row r="10" spans="1:29" ht="11.25" customHeight="1">
      <c r="A10" s="981">
        <v>33.700000000000003</v>
      </c>
      <c r="B10" s="982">
        <v>2.5</v>
      </c>
      <c r="C10" s="983">
        <f t="shared" si="0"/>
        <v>28.700000000000003</v>
      </c>
      <c r="D10" s="982">
        <f t="shared" si="5"/>
        <v>2.450440200000001</v>
      </c>
      <c r="E10" s="982">
        <f t="shared" si="1"/>
        <v>1.9235955570000007</v>
      </c>
      <c r="F10" s="985">
        <f t="shared" si="2"/>
        <v>3.0008396994225013</v>
      </c>
      <c r="G10" s="982">
        <f t="shared" si="3"/>
        <v>1.7809137682032647</v>
      </c>
      <c r="H10" s="982">
        <f t="shared" si="4"/>
        <v>1.1066221125569469</v>
      </c>
      <c r="I10" s="978"/>
      <c r="J10" s="986"/>
      <c r="K10" s="988"/>
      <c r="L10" s="978"/>
      <c r="M10" s="988"/>
      <c r="N10" s="988"/>
      <c r="O10" s="978"/>
      <c r="P10" s="988"/>
      <c r="Q10" s="992"/>
      <c r="R10" s="990"/>
      <c r="T10" s="991"/>
    </row>
    <row r="11" spans="1:29" ht="11.25" customHeight="1">
      <c r="A11" s="983">
        <f>A10</f>
        <v>33.700000000000003</v>
      </c>
      <c r="B11" s="982">
        <f>B10+0.5</f>
        <v>3</v>
      </c>
      <c r="C11" s="983">
        <f t="shared" si="0"/>
        <v>27.700000000000003</v>
      </c>
      <c r="D11" s="982">
        <f t="shared" si="5"/>
        <v>2.8934043900000006</v>
      </c>
      <c r="E11" s="982">
        <f t="shared" si="1"/>
        <v>2.2713224461500006</v>
      </c>
      <c r="F11" s="985">
        <f t="shared" si="2"/>
        <v>3.441306678801376</v>
      </c>
      <c r="G11" s="982">
        <f t="shared" si="3"/>
        <v>2.0423185037396889</v>
      </c>
      <c r="H11" s="982">
        <f t="shared" si="4"/>
        <v>1.0905789746735448</v>
      </c>
      <c r="I11" s="978"/>
      <c r="J11" s="986"/>
      <c r="K11" s="988"/>
      <c r="L11" s="978"/>
      <c r="M11" s="988"/>
      <c r="N11" s="988"/>
      <c r="O11" s="978"/>
      <c r="P11" s="988"/>
      <c r="Q11" s="992"/>
      <c r="R11" s="990"/>
      <c r="T11" s="991"/>
    </row>
    <row r="12" spans="1:29" ht="11.25" customHeight="1">
      <c r="A12" s="983">
        <f>A11</f>
        <v>33.700000000000003</v>
      </c>
      <c r="B12" s="982">
        <f>B11+0.5</f>
        <v>3.5</v>
      </c>
      <c r="C12" s="983">
        <f t="shared" si="0"/>
        <v>26.700000000000003</v>
      </c>
      <c r="D12" s="982">
        <f t="shared" si="5"/>
        <v>3.3206606300000017</v>
      </c>
      <c r="E12" s="982">
        <f t="shared" si="1"/>
        <v>2.6067185945500011</v>
      </c>
      <c r="F12" s="985">
        <f t="shared" si="2"/>
        <v>3.8365667671283763</v>
      </c>
      <c r="G12" s="982">
        <f t="shared" si="3"/>
        <v>2.2768942238150598</v>
      </c>
      <c r="H12" s="982">
        <f t="shared" si="4"/>
        <v>1.0748779000426048</v>
      </c>
      <c r="I12" s="978"/>
      <c r="J12" s="986"/>
      <c r="K12" s="988"/>
      <c r="L12" s="978"/>
      <c r="M12" s="988"/>
      <c r="N12" s="988"/>
      <c r="O12" s="978"/>
      <c r="P12" s="988"/>
      <c r="Q12" s="992"/>
      <c r="R12" s="990"/>
      <c r="T12" s="991"/>
    </row>
    <row r="13" spans="1:29" ht="11.25" customHeight="1">
      <c r="A13" s="981">
        <v>42.4</v>
      </c>
      <c r="B13" s="982">
        <v>2</v>
      </c>
      <c r="C13" s="983">
        <f t="shared" si="0"/>
        <v>38.4</v>
      </c>
      <c r="D13" s="982">
        <f t="shared" si="5"/>
        <v>2.5384047200000004</v>
      </c>
      <c r="E13" s="982">
        <f t="shared" si="1"/>
        <v>1.9926477052000002</v>
      </c>
      <c r="F13" s="985">
        <f t="shared" si="2"/>
        <v>5.1915453333439983</v>
      </c>
      <c r="G13" s="982">
        <f t="shared" si="3"/>
        <v>2.4488421383698107</v>
      </c>
      <c r="H13" s="982">
        <f t="shared" si="4"/>
        <v>1.4301048912579801</v>
      </c>
      <c r="I13" s="978"/>
      <c r="J13" s="986"/>
      <c r="K13" s="988"/>
      <c r="L13" s="978"/>
      <c r="M13" s="988"/>
      <c r="N13" s="988"/>
      <c r="O13" s="978"/>
      <c r="P13" s="988"/>
      <c r="Q13" s="992"/>
      <c r="R13" s="990"/>
      <c r="T13" s="991"/>
    </row>
    <row r="14" spans="1:29" ht="11.25" customHeight="1">
      <c r="A14" s="983">
        <f>A13</f>
        <v>42.4</v>
      </c>
      <c r="B14" s="982">
        <f>B13+0.5</f>
        <v>2.5</v>
      </c>
      <c r="C14" s="983">
        <f t="shared" si="0"/>
        <v>37.4</v>
      </c>
      <c r="D14" s="982">
        <f t="shared" si="5"/>
        <v>3.1337360250000001</v>
      </c>
      <c r="E14" s="982">
        <f t="shared" si="1"/>
        <v>2.4599827796249998</v>
      </c>
      <c r="F14" s="985">
        <f t="shared" si="2"/>
        <v>6.2606561741456241</v>
      </c>
      <c r="G14" s="982">
        <f t="shared" si="3"/>
        <v>2.9531397047856718</v>
      </c>
      <c r="H14" s="982">
        <f t="shared" si="4"/>
        <v>1.413444374568734</v>
      </c>
      <c r="I14" s="978"/>
      <c r="J14" s="986"/>
      <c r="K14" s="988"/>
      <c r="L14" s="978"/>
      <c r="M14" s="988"/>
      <c r="N14" s="988"/>
      <c r="O14" s="978"/>
      <c r="P14" s="988"/>
      <c r="Q14" s="992"/>
      <c r="R14" s="990"/>
      <c r="T14" s="991"/>
    </row>
    <row r="15" spans="1:29" ht="11.25" customHeight="1">
      <c r="A15" s="983">
        <f>A14</f>
        <v>42.4</v>
      </c>
      <c r="B15" s="982">
        <f>B14+0.5</f>
        <v>3</v>
      </c>
      <c r="C15" s="983">
        <f t="shared" si="0"/>
        <v>36.4</v>
      </c>
      <c r="D15" s="982">
        <f t="shared" si="5"/>
        <v>3.7133593800000013</v>
      </c>
      <c r="E15" s="982">
        <f t="shared" si="1"/>
        <v>2.9149871133000005</v>
      </c>
      <c r="F15" s="985">
        <f t="shared" si="2"/>
        <v>7.2473635019459994</v>
      </c>
      <c r="G15" s="982">
        <f t="shared" si="3"/>
        <v>3.4185676895971695</v>
      </c>
      <c r="H15" s="982">
        <f t="shared" si="4"/>
        <v>1.3970325694127532</v>
      </c>
      <c r="I15" s="978"/>
      <c r="J15" s="986"/>
      <c r="K15" s="988"/>
      <c r="L15" s="978"/>
      <c r="M15" s="988"/>
      <c r="N15" s="988"/>
      <c r="O15" s="978"/>
      <c r="P15" s="988"/>
      <c r="Q15" s="992"/>
      <c r="R15" s="990"/>
      <c r="T15" s="991"/>
    </row>
    <row r="16" spans="1:29" ht="11.25" customHeight="1">
      <c r="A16" s="983">
        <f>A15</f>
        <v>42.4</v>
      </c>
      <c r="B16" s="982">
        <f>B15+0.5</f>
        <v>3.5</v>
      </c>
      <c r="C16" s="983">
        <f t="shared" si="0"/>
        <v>35.4</v>
      </c>
      <c r="D16" s="982">
        <f t="shared" si="5"/>
        <v>4.2772747850000004</v>
      </c>
      <c r="E16" s="982">
        <f t="shared" si="1"/>
        <v>3.3576607062249999</v>
      </c>
      <c r="F16" s="985">
        <f t="shared" si="2"/>
        <v>8.156014491907623</v>
      </c>
      <c r="G16" s="982">
        <f t="shared" si="3"/>
        <v>3.8471766471262376</v>
      </c>
      <c r="H16" s="982">
        <f t="shared" si="4"/>
        <v>1.3808783436639158</v>
      </c>
      <c r="I16" s="978"/>
      <c r="J16" s="986"/>
      <c r="K16" s="988"/>
      <c r="L16" s="978"/>
      <c r="M16" s="988"/>
      <c r="N16" s="988"/>
      <c r="O16" s="978"/>
      <c r="P16" s="988"/>
      <c r="Q16" s="992"/>
      <c r="R16" s="990"/>
      <c r="T16" s="991"/>
    </row>
    <row r="17" spans="1:20" ht="11.25" customHeight="1">
      <c r="A17" s="983">
        <f>A16</f>
        <v>42.4</v>
      </c>
      <c r="B17" s="982">
        <f>B16+0.5</f>
        <v>4</v>
      </c>
      <c r="C17" s="983">
        <f t="shared" si="0"/>
        <v>34.4</v>
      </c>
      <c r="D17" s="982">
        <f t="shared" si="5"/>
        <v>4.8254822400000004</v>
      </c>
      <c r="E17" s="982">
        <f t="shared" si="1"/>
        <v>3.7880035584000002</v>
      </c>
      <c r="F17" s="985">
        <f t="shared" si="2"/>
        <v>8.9908385095679986</v>
      </c>
      <c r="G17" s="982">
        <f t="shared" si="3"/>
        <v>4.2409615611169809</v>
      </c>
      <c r="H17" s="982">
        <f t="shared" si="4"/>
        <v>1.3649908424601243</v>
      </c>
      <c r="I17" s="978"/>
      <c r="J17" s="986"/>
      <c r="K17" s="988"/>
      <c r="L17" s="978"/>
      <c r="M17" s="988"/>
      <c r="N17" s="988"/>
      <c r="O17" s="978"/>
      <c r="P17" s="988"/>
      <c r="Q17" s="992"/>
      <c r="R17" s="990"/>
      <c r="T17" s="991"/>
    </row>
    <row r="18" spans="1:20" ht="11.25" customHeight="1">
      <c r="A18" s="981">
        <v>48.3</v>
      </c>
      <c r="B18" s="982">
        <v>2.5</v>
      </c>
      <c r="C18" s="983">
        <f t="shared" si="0"/>
        <v>43.3</v>
      </c>
      <c r="D18" s="982">
        <f t="shared" si="5"/>
        <v>3.5971205500000019</v>
      </c>
      <c r="E18" s="982">
        <f t="shared" si="1"/>
        <v>2.8237396317500014</v>
      </c>
      <c r="F18" s="985">
        <f t="shared" si="2"/>
        <v>9.4599324424243765</v>
      </c>
      <c r="G18" s="982">
        <f t="shared" si="3"/>
        <v>3.917156290858955</v>
      </c>
      <c r="H18" s="982">
        <f t="shared" si="4"/>
        <v>1.6216850804024803</v>
      </c>
      <c r="I18" s="978"/>
      <c r="J18" s="986"/>
      <c r="K18" s="988"/>
      <c r="L18" s="978"/>
      <c r="M18" s="988"/>
      <c r="N18" s="988"/>
      <c r="O18" s="978"/>
      <c r="P18" s="988"/>
      <c r="Q18" s="992"/>
      <c r="R18" s="990"/>
      <c r="T18" s="991"/>
    </row>
    <row r="19" spans="1:20" ht="11.25" customHeight="1">
      <c r="A19" s="983">
        <f>A18</f>
        <v>48.3</v>
      </c>
      <c r="B19" s="982">
        <f>B18+0.5</f>
        <v>3</v>
      </c>
      <c r="C19" s="983">
        <f t="shared" si="0"/>
        <v>42.3</v>
      </c>
      <c r="D19" s="982">
        <f t="shared" si="5"/>
        <v>4.2694208100000006</v>
      </c>
      <c r="E19" s="982">
        <f t="shared" si="1"/>
        <v>3.3514953358500006</v>
      </c>
      <c r="F19" s="985">
        <f t="shared" si="2"/>
        <v>10.999575671603624</v>
      </c>
      <c r="G19" s="982">
        <f t="shared" si="3"/>
        <v>4.5546897190905273</v>
      </c>
      <c r="H19" s="996">
        <f t="shared" si="4"/>
        <v>1.6051051367433846</v>
      </c>
      <c r="I19" s="978">
        <v>127</v>
      </c>
      <c r="J19" s="986">
        <f>I19/H19</f>
        <v>79.122542874463463</v>
      </c>
      <c r="K19" s="988"/>
      <c r="L19" s="978">
        <v>1.59</v>
      </c>
      <c r="M19" s="988">
        <f>4.5*0.1*0.8125</f>
        <v>0.36562500000000003</v>
      </c>
      <c r="N19" s="988">
        <f>M19*L19/D19</f>
        <v>0.13616454687210838</v>
      </c>
      <c r="O19" s="978"/>
      <c r="P19" s="988"/>
      <c r="Q19" s="992"/>
      <c r="R19" s="990"/>
      <c r="T19" s="991"/>
    </row>
    <row r="20" spans="1:20" ht="11.25" customHeight="1">
      <c r="A20" s="983">
        <f>A19</f>
        <v>48.3</v>
      </c>
      <c r="B20" s="982">
        <f>B19+0.5</f>
        <v>3.5</v>
      </c>
      <c r="C20" s="983">
        <f t="shared" si="0"/>
        <v>41.3</v>
      </c>
      <c r="D20" s="982">
        <f t="shared" si="5"/>
        <v>4.9260131200000004</v>
      </c>
      <c r="E20" s="982">
        <f t="shared" si="1"/>
        <v>3.8669202992000002</v>
      </c>
      <c r="F20" s="985">
        <f t="shared" si="2"/>
        <v>12.433811291355997</v>
      </c>
      <c r="G20" s="982">
        <f t="shared" si="3"/>
        <v>5.1485761040811582</v>
      </c>
      <c r="H20" s="996">
        <f t="shared" si="4"/>
        <v>1.5887455743447405</v>
      </c>
      <c r="I20" s="978">
        <v>232</v>
      </c>
      <c r="J20" s="986">
        <f>I20/H19</f>
        <v>144.53881847933485</v>
      </c>
      <c r="K20" s="988"/>
      <c r="L20" s="978">
        <v>3.65</v>
      </c>
      <c r="M20" s="988">
        <f>0.1*1.5*4.05*1.7</f>
        <v>1.0327500000000001</v>
      </c>
      <c r="N20" s="988">
        <f>M20*L20/D19</f>
        <v>0.88291542758466102</v>
      </c>
      <c r="O20" s="978"/>
      <c r="P20" s="988"/>
      <c r="Q20" s="992"/>
      <c r="R20" s="990"/>
      <c r="T20" s="991"/>
    </row>
    <row r="21" spans="1:20" ht="11.25" customHeight="1">
      <c r="A21" s="983">
        <f>A20</f>
        <v>48.3</v>
      </c>
      <c r="B21" s="982">
        <f>B20+0.5</f>
        <v>4</v>
      </c>
      <c r="C21" s="983">
        <f t="shared" si="0"/>
        <v>40.299999999999997</v>
      </c>
      <c r="D21" s="982">
        <f t="shared" si="5"/>
        <v>5.5668974800000015</v>
      </c>
      <c r="E21" s="982">
        <f t="shared" si="1"/>
        <v>4.3700145218000008</v>
      </c>
      <c r="F21" s="985">
        <f t="shared" si="2"/>
        <v>13.7675637440065</v>
      </c>
      <c r="G21" s="982">
        <f t="shared" si="3"/>
        <v>5.7008545523836442</v>
      </c>
      <c r="H21" s="982">
        <f t="shared" si="4"/>
        <v>1.5726132709601555</v>
      </c>
      <c r="I21" s="978"/>
      <c r="J21" s="986"/>
      <c r="K21" s="988"/>
      <c r="L21" s="978"/>
      <c r="M21" s="988"/>
      <c r="N21" s="988"/>
      <c r="O21" s="978"/>
      <c r="P21" s="988"/>
      <c r="Q21" s="992"/>
      <c r="R21" s="990"/>
      <c r="T21" s="991"/>
    </row>
    <row r="22" spans="1:20" ht="11.25" customHeight="1">
      <c r="A22" s="983">
        <f>A21</f>
        <v>48.3</v>
      </c>
      <c r="B22" s="982">
        <f>B21+0.5</f>
        <v>4.5</v>
      </c>
      <c r="C22" s="983">
        <f t="shared" si="0"/>
        <v>39.299999999999997</v>
      </c>
      <c r="D22" s="982">
        <f t="shared" si="5"/>
        <v>6.1920738900000005</v>
      </c>
      <c r="E22" s="982">
        <f t="shared" si="1"/>
        <v>4.8607780036500001</v>
      </c>
      <c r="F22" s="985">
        <f t="shared" si="2"/>
        <v>15.005639662255126</v>
      </c>
      <c r="G22" s="982">
        <f t="shared" si="3"/>
        <v>6.2135153880973615</v>
      </c>
      <c r="H22" s="982">
        <f t="shared" si="4"/>
        <v>1.5567152918886613</v>
      </c>
      <c r="I22" s="978"/>
      <c r="J22" s="986"/>
      <c r="K22" s="988"/>
      <c r="L22" s="978"/>
      <c r="M22" s="988"/>
      <c r="N22" s="988"/>
      <c r="O22" s="978"/>
      <c r="P22" s="988"/>
      <c r="Q22" s="992"/>
      <c r="R22" s="990"/>
      <c r="T22" s="991"/>
    </row>
    <row r="23" spans="1:20" ht="11.25" customHeight="1">
      <c r="A23" s="993">
        <v>54</v>
      </c>
      <c r="B23" s="982">
        <v>2.5</v>
      </c>
      <c r="C23" s="982">
        <f t="shared" si="0"/>
        <v>49</v>
      </c>
      <c r="D23" s="982">
        <f t="shared" si="5"/>
        <v>4.0447971249999997</v>
      </c>
      <c r="E23" s="982">
        <f t="shared" si="1"/>
        <v>3.1751657431249996</v>
      </c>
      <c r="F23" s="985">
        <f t="shared" si="2"/>
        <v>13.441366446015627</v>
      </c>
      <c r="G23" s="982">
        <f t="shared" si="3"/>
        <v>4.9782838688946764</v>
      </c>
      <c r="H23" s="982">
        <f t="shared" si="4"/>
        <v>1.8229440474134144</v>
      </c>
      <c r="I23" s="978"/>
      <c r="J23" s="986"/>
      <c r="K23" s="988"/>
      <c r="O23" s="978"/>
      <c r="P23" s="988"/>
      <c r="Q23" s="992"/>
      <c r="R23" s="990"/>
      <c r="T23" s="991"/>
    </row>
    <row r="24" spans="1:20" ht="11.25" customHeight="1">
      <c r="A24" s="982">
        <f>A23</f>
        <v>54</v>
      </c>
      <c r="B24" s="982">
        <f>B23+0.5</f>
        <v>3</v>
      </c>
      <c r="C24" s="982">
        <f t="shared" si="0"/>
        <v>48</v>
      </c>
      <c r="D24" s="982">
        <f t="shared" si="5"/>
        <v>4.8066326999999998</v>
      </c>
      <c r="E24" s="982">
        <f t="shared" si="1"/>
        <v>3.7732066694999995</v>
      </c>
      <c r="F24" s="985">
        <f t="shared" si="2"/>
        <v>15.681639183750002</v>
      </c>
      <c r="G24" s="982">
        <f t="shared" si="3"/>
        <v>5.8080145125000007</v>
      </c>
      <c r="H24" s="982">
        <f t="shared" si="4"/>
        <v>1.8062391868188445</v>
      </c>
      <c r="I24" s="978"/>
      <c r="O24" s="978"/>
      <c r="P24" s="988"/>
      <c r="Q24" s="992"/>
      <c r="R24" s="990"/>
      <c r="T24" s="991"/>
    </row>
    <row r="25" spans="1:20" ht="11.25" customHeight="1">
      <c r="A25" s="982">
        <f>A24</f>
        <v>54</v>
      </c>
      <c r="B25" s="982">
        <f>B24+0.5</f>
        <v>3.5</v>
      </c>
      <c r="C25" s="982">
        <f t="shared" si="0"/>
        <v>47</v>
      </c>
      <c r="D25" s="982">
        <f t="shared" si="5"/>
        <v>5.5527603249999995</v>
      </c>
      <c r="E25" s="982">
        <f t="shared" si="1"/>
        <v>4.3589168551249999</v>
      </c>
      <c r="F25" s="985">
        <f t="shared" si="2"/>
        <v>17.786185416015627</v>
      </c>
      <c r="G25" s="982">
        <f t="shared" si="3"/>
        <v>6.5874760800057874</v>
      </c>
      <c r="H25" s="982">
        <f t="shared" si="4"/>
        <v>1.7897276329095442</v>
      </c>
      <c r="I25" s="978"/>
      <c r="O25" s="978"/>
      <c r="P25" s="988"/>
      <c r="Q25" s="992"/>
      <c r="R25" s="990"/>
      <c r="T25" s="991"/>
    </row>
    <row r="26" spans="1:20" ht="11.25" customHeight="1">
      <c r="A26" s="982">
        <f>A25</f>
        <v>54</v>
      </c>
      <c r="B26" s="982">
        <f>B25+0.5</f>
        <v>4</v>
      </c>
      <c r="C26" s="982">
        <f t="shared" si="0"/>
        <v>46</v>
      </c>
      <c r="D26" s="982">
        <f t="shared" si="5"/>
        <v>6.2831799999999998</v>
      </c>
      <c r="E26" s="982">
        <f t="shared" si="1"/>
        <v>4.9322963</v>
      </c>
      <c r="F26" s="985">
        <f t="shared" si="2"/>
        <v>19.760601099999999</v>
      </c>
      <c r="G26" s="982">
        <f t="shared" si="3"/>
        <v>7.3187411481481481</v>
      </c>
      <c r="H26" s="982">
        <f t="shared" si="4"/>
        <v>1.7734147850968198</v>
      </c>
      <c r="I26" s="978"/>
      <c r="O26" s="978"/>
      <c r="P26" s="988"/>
      <c r="Q26" s="992"/>
      <c r="R26" s="990"/>
      <c r="T26" s="991"/>
    </row>
    <row r="27" spans="1:20" ht="11.25" customHeight="1">
      <c r="A27" s="982">
        <f>A26</f>
        <v>54</v>
      </c>
      <c r="B27" s="982">
        <f>B26+0.5</f>
        <v>4.5</v>
      </c>
      <c r="C27" s="982">
        <f t="shared" si="0"/>
        <v>45</v>
      </c>
      <c r="D27" s="982">
        <f t="shared" si="5"/>
        <v>6.9978917249999997</v>
      </c>
      <c r="E27" s="982">
        <f t="shared" si="1"/>
        <v>5.4933450041249987</v>
      </c>
      <c r="F27" s="985">
        <f t="shared" si="2"/>
        <v>21.610364383265626</v>
      </c>
      <c r="G27" s="982">
        <f t="shared" si="3"/>
        <v>8.0038386604687499</v>
      </c>
      <c r="H27" s="982">
        <f t="shared" si="4"/>
        <v>1.7573061770789973</v>
      </c>
      <c r="I27" s="978"/>
      <c r="O27" s="978"/>
      <c r="P27" s="988"/>
      <c r="Q27" s="992"/>
      <c r="R27" s="990"/>
      <c r="T27" s="991"/>
    </row>
    <row r="28" spans="1:20" ht="11.25" customHeight="1">
      <c r="A28" s="982">
        <f>A27</f>
        <v>54</v>
      </c>
      <c r="B28" s="982">
        <v>6</v>
      </c>
      <c r="C28" s="982">
        <f t="shared" si="0"/>
        <v>42</v>
      </c>
      <c r="D28" s="982">
        <f t="shared" si="5"/>
        <v>9.0477792000000008</v>
      </c>
      <c r="E28" s="982">
        <f t="shared" si="1"/>
        <v>7.1025066720000005</v>
      </c>
      <c r="F28" s="985">
        <f t="shared" si="2"/>
        <v>26.464754159999998</v>
      </c>
      <c r="G28" s="982">
        <f t="shared" si="3"/>
        <v>9.8017607999999985</v>
      </c>
      <c r="H28" s="982">
        <f t="shared" si="4"/>
        <v>1.7102631376487067</v>
      </c>
      <c r="I28" s="978"/>
      <c r="O28" s="978"/>
      <c r="P28" s="988"/>
      <c r="Q28" s="992"/>
      <c r="R28" s="990"/>
      <c r="T28" s="991"/>
    </row>
    <row r="29" spans="1:20" ht="11.25" customHeight="1">
      <c r="A29" s="981">
        <v>60.3</v>
      </c>
      <c r="B29" s="982">
        <v>3</v>
      </c>
      <c r="C29" s="983">
        <f t="shared" si="0"/>
        <v>54.3</v>
      </c>
      <c r="D29" s="982">
        <f t="shared" si="5"/>
        <v>5.4003932099999989</v>
      </c>
      <c r="E29" s="982">
        <f t="shared" si="1"/>
        <v>4.239308669849998</v>
      </c>
      <c r="F29" s="985">
        <f t="shared" si="2"/>
        <v>22.224575701688615</v>
      </c>
      <c r="G29" s="982">
        <f t="shared" si="3"/>
        <v>7.371335224440668</v>
      </c>
      <c r="H29" s="982">
        <f t="shared" si="4"/>
        <v>2.028635625241753</v>
      </c>
      <c r="I29" s="978"/>
      <c r="L29" s="975">
        <v>2.98</v>
      </c>
      <c r="O29" s="978"/>
      <c r="P29" s="988"/>
      <c r="Q29" s="992"/>
      <c r="R29" s="990"/>
      <c r="T29" s="991"/>
    </row>
    <row r="30" spans="1:20" ht="11.25" customHeight="1">
      <c r="A30" s="983">
        <f>A29</f>
        <v>60.3</v>
      </c>
      <c r="B30" s="982">
        <f>B29+0.5</f>
        <v>3.5</v>
      </c>
      <c r="C30" s="983">
        <f t="shared" si="0"/>
        <v>53.3</v>
      </c>
      <c r="D30" s="982">
        <f t="shared" si="5"/>
        <v>6.2454809199999985</v>
      </c>
      <c r="E30" s="982">
        <f t="shared" si="1"/>
        <v>4.9027025221999994</v>
      </c>
      <c r="F30" s="985">
        <f t="shared" si="2"/>
        <v>25.282409380763493</v>
      </c>
      <c r="G30" s="982">
        <f t="shared" si="3"/>
        <v>8.3855420831719716</v>
      </c>
      <c r="H30" s="982">
        <f t="shared" si="4"/>
        <v>2.0119921719529628</v>
      </c>
      <c r="I30" s="978"/>
      <c r="O30" s="978"/>
      <c r="P30" s="988"/>
      <c r="Q30" s="992"/>
      <c r="R30" s="990"/>
      <c r="T30" s="991"/>
    </row>
    <row r="31" spans="1:20" ht="11.25" customHeight="1">
      <c r="A31" s="983">
        <f>A30</f>
        <v>60.3</v>
      </c>
      <c r="B31" s="982">
        <f>B30+0.5</f>
        <v>4</v>
      </c>
      <c r="C31" s="983">
        <f t="shared" si="0"/>
        <v>52.3</v>
      </c>
      <c r="D31" s="982">
        <f t="shared" si="5"/>
        <v>7.0748606800000013</v>
      </c>
      <c r="E31" s="982">
        <f t="shared" si="1"/>
        <v>5.5537656338000003</v>
      </c>
      <c r="F31" s="985">
        <f t="shared" si="2"/>
        <v>28.172891149586498</v>
      </c>
      <c r="G31" s="982">
        <f t="shared" si="3"/>
        <v>9.3442425040087898</v>
      </c>
      <c r="H31" s="982">
        <f t="shared" si="4"/>
        <v>1.9955231143737722</v>
      </c>
      <c r="I31" s="978"/>
      <c r="J31" s="986"/>
      <c r="K31" s="988"/>
      <c r="L31" s="978"/>
      <c r="M31" s="988"/>
      <c r="N31" s="988"/>
      <c r="O31" s="978"/>
      <c r="P31" s="988"/>
      <c r="Q31" s="992"/>
      <c r="R31" s="990"/>
      <c r="T31" s="991"/>
    </row>
    <row r="32" spans="1:20" ht="11.25" customHeight="1">
      <c r="A32" s="983">
        <f>A31</f>
        <v>60.3</v>
      </c>
      <c r="B32" s="982">
        <f>B31+0.5</f>
        <v>4.5</v>
      </c>
      <c r="C32" s="983">
        <f t="shared" si="0"/>
        <v>51.3</v>
      </c>
      <c r="D32" s="982">
        <f t="shared" si="5"/>
        <v>7.8885324900000002</v>
      </c>
      <c r="E32" s="982">
        <f t="shared" si="1"/>
        <v>6.1924980046499991</v>
      </c>
      <c r="F32" s="985">
        <f t="shared" si="2"/>
        <v>30.902241356357617</v>
      </c>
      <c r="G32" s="982">
        <f t="shared" si="3"/>
        <v>10.24949962068246</v>
      </c>
      <c r="H32" s="982">
        <f t="shared" si="4"/>
        <v>1.979232805912432</v>
      </c>
      <c r="I32" s="978"/>
      <c r="J32" s="986"/>
      <c r="K32" s="988"/>
      <c r="L32" s="978"/>
      <c r="M32" s="988"/>
      <c r="N32" s="988"/>
      <c r="O32" s="978"/>
      <c r="P32" s="988"/>
      <c r="Q32" s="992"/>
      <c r="R32" s="990"/>
      <c r="T32" s="991"/>
    </row>
    <row r="33" spans="1:24" ht="11.25" customHeight="1">
      <c r="A33" s="983">
        <f>A32</f>
        <v>60.3</v>
      </c>
      <c r="B33" s="982">
        <f>B32+0.5</f>
        <v>5</v>
      </c>
      <c r="C33" s="983">
        <f t="shared" si="0"/>
        <v>50.3</v>
      </c>
      <c r="D33" s="982">
        <f t="shared" si="5"/>
        <v>8.6864963500000005</v>
      </c>
      <c r="E33" s="982">
        <f t="shared" si="1"/>
        <v>6.8188996347500002</v>
      </c>
      <c r="F33" s="985">
        <f t="shared" si="2"/>
        <v>33.476562539651866</v>
      </c>
      <c r="G33" s="982">
        <f t="shared" si="3"/>
        <v>11.103337492421847</v>
      </c>
      <c r="H33" s="982">
        <f t="shared" si="4"/>
        <v>1.9631256964341328</v>
      </c>
      <c r="I33" s="978"/>
      <c r="J33" s="986"/>
      <c r="K33" s="988"/>
      <c r="L33" s="978"/>
      <c r="M33" s="988"/>
      <c r="N33" s="988"/>
      <c r="O33" s="978"/>
      <c r="P33" s="988"/>
      <c r="Q33" s="992"/>
      <c r="R33" s="990"/>
      <c r="T33" s="991"/>
    </row>
    <row r="34" spans="1:24" ht="11.25" customHeight="1">
      <c r="A34" s="981">
        <v>63.5</v>
      </c>
      <c r="B34" s="982">
        <v>2.6</v>
      </c>
      <c r="C34" s="983">
        <f t="shared" si="0"/>
        <v>58.3</v>
      </c>
      <c r="D34" s="982">
        <f t="shared" si="5"/>
        <v>4.9743936060000014</v>
      </c>
      <c r="E34" s="982">
        <f t="shared" si="1"/>
        <v>3.904898980710001</v>
      </c>
      <c r="F34" s="985">
        <f t="shared" si="2"/>
        <v>23.103384563306783</v>
      </c>
      <c r="G34" s="982">
        <f t="shared" si="3"/>
        <v>7.2766565553722149</v>
      </c>
      <c r="H34" s="982">
        <f t="shared" si="4"/>
        <v>2.1551015057300664</v>
      </c>
      <c r="I34" s="978"/>
      <c r="J34" s="986"/>
      <c r="K34" s="988"/>
      <c r="L34" s="978"/>
      <c r="M34" s="988"/>
      <c r="N34" s="988"/>
      <c r="O34" s="978"/>
      <c r="P34" s="988"/>
      <c r="Q34" s="992"/>
      <c r="R34" s="990"/>
      <c r="T34" s="991"/>
    </row>
    <row r="35" spans="1:24" ht="11.25" customHeight="1">
      <c r="A35" s="983">
        <f>A34</f>
        <v>63.5</v>
      </c>
      <c r="B35" s="982">
        <f>B34+1</f>
        <v>3.6</v>
      </c>
      <c r="C35" s="983">
        <f t="shared" si="0"/>
        <v>56.3</v>
      </c>
      <c r="D35" s="982">
        <f t="shared" si="5"/>
        <v>6.7745246760000031</v>
      </c>
      <c r="E35" s="982">
        <f t="shared" si="1"/>
        <v>5.3180018706600025</v>
      </c>
      <c r="F35" s="985">
        <f t="shared" si="2"/>
        <v>30.493575153169669</v>
      </c>
      <c r="G35" s="982">
        <f t="shared" si="3"/>
        <v>9.604275638793597</v>
      </c>
      <c r="H35" s="982">
        <f t="shared" si="4"/>
        <v>2.1216061133019015</v>
      </c>
      <c r="I35" s="978"/>
      <c r="J35" s="986"/>
      <c r="K35" s="988"/>
      <c r="L35" s="978"/>
      <c r="M35" s="988"/>
      <c r="N35" s="988"/>
      <c r="O35" s="978"/>
      <c r="P35" s="988"/>
      <c r="Q35" s="992"/>
      <c r="R35" s="990"/>
      <c r="T35" s="991"/>
    </row>
    <row r="36" spans="1:24" ht="11.25" customHeight="1">
      <c r="A36" s="983">
        <f>A35</f>
        <v>63.5</v>
      </c>
      <c r="B36" s="982">
        <v>6</v>
      </c>
      <c r="C36" s="983">
        <f t="shared" ref="C36:C67" si="6">A36-B36*2</f>
        <v>51.5</v>
      </c>
      <c r="D36" s="982">
        <f t="shared" ref="D36:D67" si="7">3.14159*(A36*A36-C36*C36)/400</f>
        <v>10.838485499999999</v>
      </c>
      <c r="E36" s="982">
        <f t="shared" ref="E36:E67" si="8">100*D36*7.85/1000</f>
        <v>8.5082111174999984</v>
      </c>
      <c r="F36" s="985">
        <f t="shared" ref="F36:F67" si="9">3.14159*(A36*A36*A36*A36/10000-C36*C36*C36*C36/10000)/64</f>
        <v>45.281160202968749</v>
      </c>
      <c r="G36" s="982">
        <f t="shared" ref="G36:G67" si="10">F36/A36*20</f>
        <v>14.261782741092519</v>
      </c>
      <c r="H36" s="982">
        <f t="shared" ref="H36:H67" si="11">SQRT(F36/D36)</f>
        <v>2.0439697894049216</v>
      </c>
      <c r="I36" s="978"/>
      <c r="J36" s="986"/>
      <c r="K36" s="988"/>
      <c r="L36" s="978"/>
      <c r="M36" s="988"/>
      <c r="N36" s="988"/>
      <c r="O36" s="978"/>
      <c r="P36" s="988"/>
      <c r="Q36" s="992"/>
      <c r="R36" s="990"/>
      <c r="T36" s="991"/>
    </row>
    <row r="37" spans="1:24" ht="11.25" customHeight="1">
      <c r="A37" s="981">
        <v>76.099999999999994</v>
      </c>
      <c r="B37" s="982">
        <v>3</v>
      </c>
      <c r="C37" s="983">
        <f t="shared" si="6"/>
        <v>70.099999999999994</v>
      </c>
      <c r="D37" s="982">
        <f t="shared" si="7"/>
        <v>6.8895068699999982</v>
      </c>
      <c r="E37" s="982">
        <f t="shared" si="8"/>
        <v>5.4082628929499981</v>
      </c>
      <c r="F37" s="985">
        <f t="shared" si="9"/>
        <v>46.096054209288361</v>
      </c>
      <c r="G37" s="982">
        <f t="shared" si="10"/>
        <v>12.114600317815603</v>
      </c>
      <c r="H37" s="996">
        <f t="shared" si="11"/>
        <v>2.5866508268415358</v>
      </c>
      <c r="I37" s="978"/>
      <c r="J37" s="986"/>
      <c r="K37" s="988"/>
      <c r="L37" s="978"/>
      <c r="M37" s="994">
        <f>'[3]simple support beam'!L17/2</f>
        <v>64000</v>
      </c>
      <c r="N37" s="988"/>
      <c r="O37" s="978"/>
      <c r="P37" s="988"/>
      <c r="Q37" s="992"/>
      <c r="R37" s="990"/>
      <c r="T37" s="991"/>
    </row>
    <row r="38" spans="1:24" ht="11.25" customHeight="1">
      <c r="A38" s="983">
        <f>A37</f>
        <v>76.099999999999994</v>
      </c>
      <c r="B38" s="982">
        <f>B37+1</f>
        <v>4</v>
      </c>
      <c r="C38" s="983">
        <f t="shared" si="6"/>
        <v>68.099999999999994</v>
      </c>
      <c r="D38" s="982">
        <f t="shared" si="7"/>
        <v>9.0603455599999947</v>
      </c>
      <c r="E38" s="982">
        <f t="shared" si="8"/>
        <v>7.1123712645999957</v>
      </c>
      <c r="F38" s="985">
        <f t="shared" si="9"/>
        <v>59.05544561439946</v>
      </c>
      <c r="G38" s="982">
        <f t="shared" si="10"/>
        <v>15.520485049776468</v>
      </c>
      <c r="H38" s="982">
        <f t="shared" si="11"/>
        <v>2.5530398547613782</v>
      </c>
      <c r="I38" s="978"/>
      <c r="J38" s="986"/>
      <c r="K38" s="988"/>
      <c r="L38" s="978"/>
      <c r="M38" s="988"/>
      <c r="N38" s="988"/>
      <c r="O38" s="978"/>
      <c r="P38" s="988"/>
      <c r="Q38" s="992"/>
      <c r="R38" s="990"/>
      <c r="T38" s="991"/>
    </row>
    <row r="39" spans="1:24" ht="11.25" customHeight="1">
      <c r="A39" s="983">
        <f>A38</f>
        <v>76.099999999999994</v>
      </c>
      <c r="B39" s="982">
        <f>B38+1</f>
        <v>5</v>
      </c>
      <c r="C39" s="983">
        <f t="shared" si="6"/>
        <v>66.099999999999994</v>
      </c>
      <c r="D39" s="982">
        <f t="shared" si="7"/>
        <v>11.16835245</v>
      </c>
      <c r="E39" s="982">
        <f t="shared" si="8"/>
        <v>8.7671566732499997</v>
      </c>
      <c r="F39" s="985">
        <f t="shared" si="9"/>
        <v>70.921969750018107</v>
      </c>
      <c r="G39" s="982">
        <f t="shared" si="10"/>
        <v>18.639151051253119</v>
      </c>
      <c r="H39" s="982">
        <f t="shared" si="11"/>
        <v>2.5199727181062888</v>
      </c>
      <c r="I39" s="978"/>
      <c r="J39" s="986"/>
      <c r="K39" s="988"/>
      <c r="L39" s="978"/>
      <c r="M39" s="988"/>
      <c r="N39" s="988"/>
      <c r="O39" s="978"/>
      <c r="P39" s="988"/>
      <c r="Q39" s="992"/>
      <c r="R39" s="990"/>
      <c r="T39" s="991"/>
    </row>
    <row r="40" spans="1:24" ht="11.25" customHeight="1">
      <c r="A40" s="981">
        <v>88.9</v>
      </c>
      <c r="B40" s="982">
        <v>3.6</v>
      </c>
      <c r="C40" s="983">
        <f t="shared" si="6"/>
        <v>81.7</v>
      </c>
      <c r="D40" s="982">
        <f t="shared" si="7"/>
        <v>9.6471945720000036</v>
      </c>
      <c r="E40" s="982">
        <f t="shared" si="8"/>
        <v>7.5730477390200024</v>
      </c>
      <c r="F40" s="985">
        <f t="shared" si="9"/>
        <v>87.898604493795816</v>
      </c>
      <c r="G40" s="982">
        <f t="shared" si="10"/>
        <v>19.774714171832578</v>
      </c>
      <c r="H40" s="982">
        <f t="shared" si="11"/>
        <v>3.0184950720516346</v>
      </c>
      <c r="I40" s="978">
        <v>265</v>
      </c>
      <c r="J40" s="986">
        <f>I40/H40</f>
        <v>87.792092971641893</v>
      </c>
      <c r="K40" s="988"/>
      <c r="L40" s="978">
        <v>1.9</v>
      </c>
      <c r="M40" s="988">
        <v>12</v>
      </c>
      <c r="N40" s="988">
        <f>M40*L40/D40</f>
        <v>2.3633813778541035</v>
      </c>
      <c r="O40" s="978"/>
      <c r="P40" s="988"/>
      <c r="Q40" s="992"/>
      <c r="R40" s="990"/>
      <c r="T40" s="991"/>
    </row>
    <row r="41" spans="1:24" ht="11.25" customHeight="1">
      <c r="A41" s="983">
        <f>A40</f>
        <v>88.9</v>
      </c>
      <c r="B41" s="982">
        <v>4.5</v>
      </c>
      <c r="C41" s="983">
        <f t="shared" si="6"/>
        <v>79.900000000000006</v>
      </c>
      <c r="D41" s="982">
        <f t="shared" si="7"/>
        <v>11.931758819999997</v>
      </c>
      <c r="E41" s="982">
        <f t="shared" si="8"/>
        <v>9.3664306736999965</v>
      </c>
      <c r="F41" s="985">
        <f t="shared" si="9"/>
        <v>106.54478953017527</v>
      </c>
      <c r="G41" s="982">
        <f t="shared" si="10"/>
        <v>23.969581446608608</v>
      </c>
      <c r="H41" s="982">
        <f t="shared" si="11"/>
        <v>2.9882289905561126</v>
      </c>
      <c r="I41" s="978"/>
      <c r="J41" s="986"/>
      <c r="K41" s="988"/>
      <c r="L41" s="978"/>
      <c r="M41" s="988"/>
      <c r="N41" s="988"/>
      <c r="O41" s="978"/>
      <c r="P41" s="988"/>
      <c r="Q41" s="992"/>
      <c r="R41" s="990"/>
      <c r="T41" s="991"/>
    </row>
    <row r="42" spans="1:24" ht="11.25" customHeight="1">
      <c r="A42" s="983">
        <f>A41</f>
        <v>88.9</v>
      </c>
      <c r="B42" s="982">
        <v>6</v>
      </c>
      <c r="C42" s="983">
        <f t="shared" si="6"/>
        <v>76.900000000000006</v>
      </c>
      <c r="D42" s="982">
        <f t="shared" si="7"/>
        <v>15.626268660000003</v>
      </c>
      <c r="E42" s="982">
        <f t="shared" si="8"/>
        <v>12.266620898100001</v>
      </c>
      <c r="F42" s="985">
        <f t="shared" si="9"/>
        <v>134.94083834178829</v>
      </c>
      <c r="G42" s="982">
        <f t="shared" si="10"/>
        <v>30.357893890166096</v>
      </c>
      <c r="H42" s="982">
        <f t="shared" si="11"/>
        <v>2.9386242529455857</v>
      </c>
      <c r="I42" s="978"/>
      <c r="J42" s="986"/>
      <c r="K42" s="988"/>
      <c r="L42" s="978"/>
      <c r="M42" s="988"/>
      <c r="N42" s="988"/>
      <c r="O42" s="978"/>
      <c r="P42" s="988"/>
      <c r="Q42" s="992"/>
      <c r="R42" s="990"/>
      <c r="T42" s="991"/>
    </row>
    <row r="43" spans="1:24" ht="11.25" customHeight="1">
      <c r="A43" s="981">
        <v>101.6</v>
      </c>
      <c r="B43" s="982">
        <v>4</v>
      </c>
      <c r="C43" s="983">
        <f t="shared" si="6"/>
        <v>93.6</v>
      </c>
      <c r="D43" s="982">
        <f t="shared" si="7"/>
        <v>12.264767360000002</v>
      </c>
      <c r="E43" s="982">
        <f t="shared" si="8"/>
        <v>9.6278423776000022</v>
      </c>
      <c r="F43" s="985">
        <f t="shared" si="9"/>
        <v>146.28433325619204</v>
      </c>
      <c r="G43" s="982">
        <f t="shared" si="10"/>
        <v>28.796128593738594</v>
      </c>
      <c r="H43" s="982">
        <f t="shared" si="11"/>
        <v>3.4535778549208938</v>
      </c>
      <c r="I43" s="978">
        <v>360</v>
      </c>
      <c r="K43" s="994"/>
      <c r="L43" s="978"/>
      <c r="M43" s="988"/>
      <c r="N43" s="994">
        <f>K43/D43</f>
        <v>0</v>
      </c>
      <c r="O43" s="978"/>
      <c r="P43" s="988"/>
      <c r="Q43" s="992"/>
      <c r="R43" s="990"/>
      <c r="T43" s="991"/>
    </row>
    <row r="44" spans="1:24" ht="11.25" customHeight="1">
      <c r="A44" s="983">
        <f>A43</f>
        <v>101.6</v>
      </c>
      <c r="B44" s="982">
        <v>5</v>
      </c>
      <c r="C44" s="983">
        <f t="shared" si="6"/>
        <v>91.6</v>
      </c>
      <c r="D44" s="982">
        <f t="shared" si="7"/>
        <v>15.173879700000001</v>
      </c>
      <c r="E44" s="982">
        <f t="shared" si="8"/>
        <v>11.911495564499999</v>
      </c>
      <c r="F44" s="985">
        <f t="shared" si="9"/>
        <v>177.46914480729001</v>
      </c>
      <c r="G44" s="982">
        <f t="shared" si="10"/>
        <v>34.934871025057092</v>
      </c>
      <c r="H44" s="982">
        <f t="shared" si="11"/>
        <v>3.4198976592874821</v>
      </c>
      <c r="I44" s="978"/>
      <c r="J44" s="986">
        <f>I43/H43</f>
        <v>104.23972330232759</v>
      </c>
      <c r="K44" s="994"/>
      <c r="L44" s="978">
        <v>2.0299999999999998</v>
      </c>
      <c r="M44" s="994">
        <f>L44*K44</f>
        <v>0</v>
      </c>
      <c r="N44" s="994">
        <f>M44/D43</f>
        <v>0</v>
      </c>
      <c r="O44" s="978"/>
      <c r="P44" s="988"/>
      <c r="Q44" s="992"/>
      <c r="R44" s="990"/>
      <c r="T44" s="991"/>
    </row>
    <row r="45" spans="1:24" ht="11.25" customHeight="1">
      <c r="A45" s="983">
        <f>A44</f>
        <v>101.6</v>
      </c>
      <c r="B45" s="982">
        <f>B44+1</f>
        <v>6</v>
      </c>
      <c r="C45" s="983">
        <f t="shared" si="6"/>
        <v>89.6</v>
      </c>
      <c r="D45" s="982">
        <f t="shared" si="7"/>
        <v>18.020160240000006</v>
      </c>
      <c r="E45" s="982">
        <f t="shared" si="8"/>
        <v>14.145825788400005</v>
      </c>
      <c r="F45" s="985">
        <f t="shared" si="9"/>
        <v>206.67682182460808</v>
      </c>
      <c r="G45" s="982">
        <f t="shared" si="10"/>
        <v>40.684413745001599</v>
      </c>
      <c r="H45" s="982">
        <f t="shared" si="11"/>
        <v>3.386620734596657</v>
      </c>
      <c r="I45" s="978"/>
      <c r="J45" s="986"/>
      <c r="K45" s="988"/>
      <c r="L45" s="978"/>
      <c r="M45" s="988"/>
      <c r="N45" s="988"/>
      <c r="O45" s="978"/>
      <c r="P45" s="988"/>
      <c r="Q45" s="992"/>
      <c r="R45" s="990"/>
      <c r="T45" s="991"/>
    </row>
    <row r="46" spans="1:24" ht="11.25" customHeight="1">
      <c r="A46" s="993">
        <v>108</v>
      </c>
      <c r="B46" s="982">
        <v>4</v>
      </c>
      <c r="C46" s="982">
        <f t="shared" si="6"/>
        <v>100</v>
      </c>
      <c r="D46" s="982">
        <f t="shared" si="7"/>
        <v>13.069014399999999</v>
      </c>
      <c r="E46" s="982">
        <f t="shared" si="8"/>
        <v>10.259176303999999</v>
      </c>
      <c r="F46" s="985">
        <f t="shared" si="9"/>
        <v>176.95445497600002</v>
      </c>
      <c r="G46" s="982">
        <f t="shared" si="10"/>
        <v>32.76934351407408</v>
      </c>
      <c r="H46" s="982">
        <f t="shared" si="11"/>
        <v>3.6796738985948201</v>
      </c>
      <c r="I46" s="978">
        <v>265</v>
      </c>
      <c r="J46" s="986">
        <f>I46/H46</f>
        <v>72.017251338820316</v>
      </c>
      <c r="K46" s="988"/>
      <c r="L46" s="978">
        <v>1.5</v>
      </c>
      <c r="M46" s="986">
        <v>12</v>
      </c>
      <c r="N46" s="988">
        <f>M46*L46/D46</f>
        <v>1.3773035554999467</v>
      </c>
      <c r="O46" s="978">
        <v>13000</v>
      </c>
      <c r="P46" s="988">
        <f>O46/E46</f>
        <v>1267.1582605448907</v>
      </c>
      <c r="Q46" s="992"/>
      <c r="R46" s="990"/>
      <c r="T46" s="991"/>
      <c r="W46" s="975">
        <v>500</v>
      </c>
      <c r="X46" s="975">
        <f t="shared" ref="X46:X54" si="12">W46/H46</f>
        <v>135.88160629966097</v>
      </c>
    </row>
    <row r="47" spans="1:24" ht="11.25" customHeight="1">
      <c r="A47" s="982">
        <f>A46</f>
        <v>108</v>
      </c>
      <c r="B47" s="982">
        <v>8</v>
      </c>
      <c r="C47" s="982">
        <f t="shared" si="6"/>
        <v>92</v>
      </c>
      <c r="D47" s="982">
        <f t="shared" si="7"/>
        <v>25.132719999999999</v>
      </c>
      <c r="E47" s="982">
        <f t="shared" si="8"/>
        <v>19.7291852</v>
      </c>
      <c r="F47" s="985">
        <f t="shared" si="9"/>
        <v>316.16961759999998</v>
      </c>
      <c r="G47" s="982">
        <f t="shared" si="10"/>
        <v>58.549929185185185</v>
      </c>
      <c r="H47" s="982">
        <f t="shared" si="11"/>
        <v>3.5468295701936396</v>
      </c>
      <c r="I47" s="978"/>
      <c r="J47" s="986"/>
      <c r="K47" s="988"/>
      <c r="L47" s="978"/>
      <c r="M47" s="986">
        <f>12*390/250</f>
        <v>18.72</v>
      </c>
      <c r="N47" s="988">
        <f>M47/D47</f>
        <v>0.74484576281437109</v>
      </c>
      <c r="O47" s="978">
        <v>7300</v>
      </c>
      <c r="P47" s="988">
        <f>O47/E47</f>
        <v>370.01021207910804</v>
      </c>
      <c r="Q47" s="992"/>
      <c r="R47" s="990"/>
      <c r="T47" s="991"/>
      <c r="W47" s="975">
        <v>500</v>
      </c>
      <c r="X47" s="975">
        <f t="shared" si="12"/>
        <v>140.97096860865025</v>
      </c>
    </row>
    <row r="48" spans="1:24" ht="11.25" customHeight="1">
      <c r="A48" s="981">
        <v>114.3</v>
      </c>
      <c r="B48" s="982">
        <v>3</v>
      </c>
      <c r="C48" s="983">
        <f t="shared" si="6"/>
        <v>108.3</v>
      </c>
      <c r="D48" s="982">
        <f t="shared" si="7"/>
        <v>10.489769010000002</v>
      </c>
      <c r="E48" s="982">
        <f t="shared" si="8"/>
        <v>8.2344686728500012</v>
      </c>
      <c r="F48" s="985">
        <f t="shared" si="9"/>
        <v>162.54801823572114</v>
      </c>
      <c r="G48" s="982">
        <f t="shared" si="10"/>
        <v>28.44234789776398</v>
      </c>
      <c r="H48" s="982">
        <f t="shared" si="11"/>
        <v>3.9364784389095795</v>
      </c>
      <c r="I48" s="978"/>
      <c r="J48" s="986"/>
      <c r="K48" s="994"/>
      <c r="L48" s="978"/>
      <c r="M48" s="994"/>
      <c r="N48" s="994"/>
      <c r="O48" s="978"/>
      <c r="P48" s="988"/>
      <c r="Q48" s="992"/>
      <c r="R48" s="990"/>
      <c r="T48" s="991"/>
      <c r="W48" s="975">
        <v>500</v>
      </c>
      <c r="X48" s="975">
        <f t="shared" si="12"/>
        <v>127.01708081462324</v>
      </c>
    </row>
    <row r="49" spans="1:26" ht="11.25" customHeight="1">
      <c r="A49" s="983">
        <f>A48</f>
        <v>114.3</v>
      </c>
      <c r="B49" s="982">
        <v>6</v>
      </c>
      <c r="C49" s="983">
        <f t="shared" si="6"/>
        <v>102.3</v>
      </c>
      <c r="D49" s="982">
        <f t="shared" si="7"/>
        <v>20.414051820000005</v>
      </c>
      <c r="E49" s="982">
        <f t="shared" si="8"/>
        <v>16.025030678700002</v>
      </c>
      <c r="F49" s="985">
        <f t="shared" si="9"/>
        <v>300.21134264574977</v>
      </c>
      <c r="G49" s="982">
        <f t="shared" si="10"/>
        <v>52.530418660673625</v>
      </c>
      <c r="H49" s="982">
        <f t="shared" si="11"/>
        <v>3.8348549516246373</v>
      </c>
      <c r="I49" s="978"/>
      <c r="J49" s="986"/>
      <c r="K49" s="988"/>
      <c r="L49" s="978"/>
      <c r="M49" s="988"/>
      <c r="N49" s="988"/>
      <c r="O49" s="978"/>
      <c r="P49" s="988"/>
      <c r="Q49" s="992"/>
      <c r="R49" s="990"/>
      <c r="T49" s="991"/>
      <c r="W49" s="975">
        <v>500</v>
      </c>
      <c r="X49" s="975">
        <f t="shared" si="12"/>
        <v>130.38302786085166</v>
      </c>
    </row>
    <row r="50" spans="1:26" ht="11.25" customHeight="1">
      <c r="A50" s="993">
        <v>127</v>
      </c>
      <c r="B50" s="982">
        <v>4</v>
      </c>
      <c r="C50" s="982">
        <f t="shared" si="6"/>
        <v>119</v>
      </c>
      <c r="D50" s="982">
        <f t="shared" si="7"/>
        <v>15.4566228</v>
      </c>
      <c r="E50" s="982">
        <f t="shared" si="8"/>
        <v>12.133448897999999</v>
      </c>
      <c r="F50" s="985">
        <f t="shared" si="9"/>
        <v>292.61319038250002</v>
      </c>
      <c r="G50" s="982">
        <f t="shared" si="10"/>
        <v>46.080817383070865</v>
      </c>
      <c r="H50" s="982">
        <f t="shared" si="11"/>
        <v>4.3510056308858074</v>
      </c>
      <c r="I50" s="978"/>
      <c r="J50" s="986"/>
      <c r="K50" s="988"/>
      <c r="L50" s="978"/>
      <c r="M50" s="988"/>
      <c r="N50" s="988"/>
      <c r="O50" s="978"/>
      <c r="P50" s="988"/>
      <c r="Q50" s="992"/>
      <c r="R50" s="990"/>
      <c r="T50" s="991"/>
      <c r="W50" s="975">
        <v>500</v>
      </c>
      <c r="X50" s="975">
        <f t="shared" si="12"/>
        <v>114.91596251926859</v>
      </c>
      <c r="Z50" s="995"/>
    </row>
    <row r="51" spans="1:26" ht="11.25" customHeight="1">
      <c r="A51" s="982">
        <f>A50</f>
        <v>127</v>
      </c>
      <c r="B51" s="982">
        <v>3.5</v>
      </c>
      <c r="C51" s="982">
        <f t="shared" si="6"/>
        <v>120</v>
      </c>
      <c r="D51" s="982">
        <f t="shared" si="7"/>
        <v>13.579522775000001</v>
      </c>
      <c r="E51" s="982">
        <f t="shared" si="8"/>
        <v>10.659925378374998</v>
      </c>
      <c r="F51" s="985">
        <f t="shared" si="9"/>
        <v>259.10578174873444</v>
      </c>
      <c r="G51" s="982">
        <f t="shared" si="10"/>
        <v>40.804060117910936</v>
      </c>
      <c r="H51" s="982">
        <f t="shared" si="11"/>
        <v>4.3681374749428397</v>
      </c>
      <c r="I51" s="978"/>
      <c r="J51" s="986"/>
      <c r="K51" s="988"/>
      <c r="L51" s="978"/>
      <c r="M51" s="988"/>
      <c r="N51" s="988"/>
      <c r="O51" s="978"/>
      <c r="P51" s="988"/>
      <c r="Q51" s="992"/>
      <c r="R51" s="990"/>
      <c r="T51" s="991"/>
      <c r="W51" s="975">
        <v>500</v>
      </c>
      <c r="X51" s="975">
        <f t="shared" si="12"/>
        <v>114.46526188064693</v>
      </c>
      <c r="Z51" s="995"/>
    </row>
    <row r="52" spans="1:26" ht="11.25" customHeight="1">
      <c r="A52" s="982">
        <f>A51</f>
        <v>127</v>
      </c>
      <c r="B52" s="982">
        <f>B51+1</f>
        <v>4.5</v>
      </c>
      <c r="C52" s="982">
        <f t="shared" si="6"/>
        <v>118</v>
      </c>
      <c r="D52" s="982">
        <f t="shared" si="7"/>
        <v>17.318014874999999</v>
      </c>
      <c r="E52" s="982">
        <f t="shared" si="8"/>
        <v>13.594641676874998</v>
      </c>
      <c r="F52" s="985">
        <f t="shared" si="9"/>
        <v>325.28643814898436</v>
      </c>
      <c r="G52" s="982">
        <f t="shared" si="10"/>
        <v>51.226210732123519</v>
      </c>
      <c r="H52" s="982">
        <f t="shared" si="11"/>
        <v>4.3339502765952451</v>
      </c>
      <c r="I52" s="978"/>
      <c r="J52" s="986"/>
      <c r="K52" s="988"/>
      <c r="L52" s="978"/>
      <c r="M52" s="988"/>
      <c r="N52" s="988"/>
      <c r="O52" s="978"/>
      <c r="P52" s="988"/>
      <c r="Q52" s="992"/>
      <c r="R52" s="990"/>
      <c r="T52" s="991"/>
      <c r="W52" s="975">
        <v>500</v>
      </c>
      <c r="X52" s="975">
        <f t="shared" si="12"/>
        <v>115.3681902397829</v>
      </c>
      <c r="Z52" s="995"/>
    </row>
    <row r="53" spans="1:26" ht="11.25" customHeight="1">
      <c r="A53" s="982">
        <f>A52</f>
        <v>127</v>
      </c>
      <c r="B53" s="982">
        <f>B52+1</f>
        <v>5.5</v>
      </c>
      <c r="C53" s="982">
        <f t="shared" si="6"/>
        <v>116</v>
      </c>
      <c r="D53" s="982">
        <f t="shared" si="7"/>
        <v>20.993675175</v>
      </c>
      <c r="E53" s="982">
        <f t="shared" si="8"/>
        <v>16.480035012374998</v>
      </c>
      <c r="F53" s="985">
        <f t="shared" si="9"/>
        <v>388.18617503273447</v>
      </c>
      <c r="G53" s="982">
        <f t="shared" si="10"/>
        <v>61.131681107517238</v>
      </c>
      <c r="H53" s="982">
        <f t="shared" si="11"/>
        <v>4.300072673804479</v>
      </c>
      <c r="I53" s="978"/>
      <c r="J53" s="986"/>
      <c r="K53" s="988"/>
      <c r="L53" s="978"/>
      <c r="M53" s="988"/>
      <c r="N53" s="988"/>
      <c r="O53" s="978"/>
      <c r="P53" s="988"/>
      <c r="Q53" s="992"/>
      <c r="R53" s="990"/>
      <c r="T53" s="991"/>
      <c r="W53" s="975">
        <v>500</v>
      </c>
      <c r="X53" s="975">
        <f t="shared" si="12"/>
        <v>116.2771045814968</v>
      </c>
    </row>
    <row r="54" spans="1:26" ht="11.25" customHeight="1">
      <c r="A54" s="993">
        <v>133</v>
      </c>
      <c r="B54" s="982">
        <v>4</v>
      </c>
      <c r="C54" s="982">
        <f t="shared" si="6"/>
        <v>125</v>
      </c>
      <c r="D54" s="982">
        <f t="shared" si="7"/>
        <v>16.210604400000001</v>
      </c>
      <c r="E54" s="982">
        <f t="shared" si="8"/>
        <v>12.725324454000001</v>
      </c>
      <c r="F54" s="985">
        <f t="shared" si="9"/>
        <v>337.52504686350005</v>
      </c>
      <c r="G54" s="982">
        <f t="shared" si="10"/>
        <v>50.75564614488723</v>
      </c>
      <c r="H54" s="996">
        <f t="shared" si="11"/>
        <v>4.5630307910422871</v>
      </c>
      <c r="I54" s="978">
        <v>350</v>
      </c>
      <c r="J54" s="986">
        <f>I54/H54</f>
        <v>76.70340526456387</v>
      </c>
      <c r="K54" s="994"/>
      <c r="L54" s="978">
        <v>1.58</v>
      </c>
      <c r="M54" s="986">
        <f>12*1.4</f>
        <v>16.799999999999997</v>
      </c>
      <c r="N54" s="988">
        <f>M54*L54/D54</f>
        <v>1.637446658065383</v>
      </c>
      <c r="O54" s="978"/>
      <c r="P54" s="988"/>
      <c r="Q54" s="992"/>
      <c r="R54" s="990"/>
      <c r="T54" s="991"/>
      <c r="W54" s="975">
        <v>500</v>
      </c>
      <c r="X54" s="975">
        <f t="shared" si="12"/>
        <v>109.57629323509124</v>
      </c>
      <c r="Z54" s="995"/>
    </row>
    <row r="55" spans="1:26" ht="11.25" customHeight="1">
      <c r="A55" s="982">
        <f>A54</f>
        <v>133</v>
      </c>
      <c r="B55" s="982">
        <v>10</v>
      </c>
      <c r="C55" s="982">
        <f t="shared" si="6"/>
        <v>113</v>
      </c>
      <c r="D55" s="982">
        <f t="shared" si="7"/>
        <v>38.641556999999999</v>
      </c>
      <c r="E55" s="982">
        <f t="shared" si="8"/>
        <v>30.333622244999997</v>
      </c>
      <c r="F55" s="985">
        <f t="shared" si="9"/>
        <v>735.59033944125008</v>
      </c>
      <c r="G55" s="982">
        <f t="shared" si="10"/>
        <v>110.61508863778198</v>
      </c>
      <c r="H55" s="982">
        <f t="shared" si="11"/>
        <v>4.363055122273841</v>
      </c>
      <c r="I55" s="978"/>
      <c r="J55" s="986"/>
      <c r="K55" s="988"/>
      <c r="L55" s="978"/>
      <c r="M55" s="988"/>
      <c r="N55" s="988"/>
      <c r="O55" s="978"/>
      <c r="P55" s="988"/>
      <c r="Q55" s="992"/>
      <c r="R55" s="990"/>
      <c r="T55" s="991"/>
      <c r="Z55" s="997"/>
    </row>
    <row r="56" spans="1:26" ht="11.25" customHeight="1">
      <c r="A56" s="982">
        <f>A55</f>
        <v>133</v>
      </c>
      <c r="B56" s="982">
        <f>B55+1</f>
        <v>11</v>
      </c>
      <c r="C56" s="982">
        <f t="shared" si="6"/>
        <v>111</v>
      </c>
      <c r="D56" s="982">
        <f t="shared" si="7"/>
        <v>42.160137800000001</v>
      </c>
      <c r="E56" s="982">
        <f t="shared" si="8"/>
        <v>33.095708172999998</v>
      </c>
      <c r="F56" s="985">
        <f t="shared" si="9"/>
        <v>790.76608461124999</v>
      </c>
      <c r="G56" s="982">
        <f t="shared" si="10"/>
        <v>118.91219317462406</v>
      </c>
      <c r="H56" s="982">
        <f t="shared" si="11"/>
        <v>4.3308486466280485</v>
      </c>
      <c r="I56" s="978"/>
      <c r="J56" s="986"/>
      <c r="K56" s="988"/>
      <c r="L56" s="978"/>
      <c r="M56" s="988"/>
      <c r="N56" s="988"/>
      <c r="O56" s="978"/>
      <c r="P56" s="988"/>
      <c r="Q56" s="992"/>
      <c r="R56" s="990"/>
      <c r="T56" s="991"/>
    </row>
    <row r="57" spans="1:26" ht="11.25" customHeight="1">
      <c r="A57" s="982">
        <f>A56</f>
        <v>133</v>
      </c>
      <c r="B57" s="982">
        <f>B56+1</f>
        <v>12</v>
      </c>
      <c r="C57" s="982">
        <f t="shared" si="6"/>
        <v>109</v>
      </c>
      <c r="D57" s="982">
        <f t="shared" si="7"/>
        <v>45.615886799999998</v>
      </c>
      <c r="E57" s="982">
        <f t="shared" si="8"/>
        <v>35.808471137999994</v>
      </c>
      <c r="F57" s="985">
        <f t="shared" si="9"/>
        <v>843.03860792249998</v>
      </c>
      <c r="G57" s="982">
        <f t="shared" si="10"/>
        <v>126.77272299586465</v>
      </c>
      <c r="H57" s="982">
        <f t="shared" si="11"/>
        <v>4.2989824377403547</v>
      </c>
      <c r="I57" s="978"/>
      <c r="J57" s="986"/>
      <c r="K57" s="988"/>
      <c r="L57" s="978"/>
      <c r="M57" s="988"/>
      <c r="N57" s="988"/>
      <c r="O57" s="978"/>
      <c r="P57" s="988"/>
      <c r="Q57" s="992"/>
      <c r="R57" s="990"/>
      <c r="T57" s="991"/>
    </row>
    <row r="58" spans="1:26" ht="11.25" customHeight="1">
      <c r="A58" s="981">
        <v>139.69999999999999</v>
      </c>
      <c r="B58" s="993">
        <v>3.6</v>
      </c>
      <c r="C58" s="983">
        <f t="shared" si="6"/>
        <v>132.5</v>
      </c>
      <c r="D58" s="982">
        <f t="shared" si="7"/>
        <v>15.392534363999971</v>
      </c>
      <c r="E58" s="982">
        <f t="shared" si="8"/>
        <v>12.083139475739978</v>
      </c>
      <c r="F58" s="985">
        <f t="shared" si="9"/>
        <v>356.64829212743143</v>
      </c>
      <c r="G58" s="982">
        <f t="shared" si="10"/>
        <v>51.059168522180592</v>
      </c>
      <c r="H58" s="996">
        <f t="shared" si="11"/>
        <v>4.813544691804573</v>
      </c>
      <c r="I58" s="978">
        <f>2*180</f>
        <v>360</v>
      </c>
      <c r="J58" s="986">
        <f>I58/H58</f>
        <v>74.788959706331894</v>
      </c>
      <c r="K58" s="994">
        <f>K86</f>
        <v>2.2000000000000002</v>
      </c>
      <c r="L58" s="978">
        <v>1.54</v>
      </c>
      <c r="M58" s="994">
        <f>L58*K58</f>
        <v>3.3880000000000003</v>
      </c>
      <c r="N58" s="988">
        <f>M58/D58</f>
        <v>0.22010670367082941</v>
      </c>
      <c r="O58" s="978"/>
      <c r="P58" s="988"/>
      <c r="Q58" s="992"/>
      <c r="R58" s="990"/>
      <c r="T58" s="991"/>
    </row>
    <row r="59" spans="1:26" ht="11.25" customHeight="1">
      <c r="A59" s="983">
        <f>A58</f>
        <v>139.69999999999999</v>
      </c>
      <c r="B59" s="982">
        <f>B58+1</f>
        <v>4.5999999999999996</v>
      </c>
      <c r="C59" s="983">
        <f t="shared" si="6"/>
        <v>130.5</v>
      </c>
      <c r="D59" s="982">
        <f t="shared" si="7"/>
        <v>19.52372521399997</v>
      </c>
      <c r="E59" s="982">
        <f t="shared" si="8"/>
        <v>15.326124292989975</v>
      </c>
      <c r="F59" s="985">
        <f t="shared" si="9"/>
        <v>445.95043733588449</v>
      </c>
      <c r="G59" s="982">
        <f t="shared" si="10"/>
        <v>63.844013934987046</v>
      </c>
      <c r="H59" s="982">
        <f t="shared" si="11"/>
        <v>4.7792742649904474</v>
      </c>
      <c r="I59" s="978"/>
      <c r="J59" s="986"/>
      <c r="K59" s="988"/>
      <c r="L59" s="978"/>
      <c r="M59" s="988"/>
      <c r="N59" s="988"/>
      <c r="O59" s="978"/>
      <c r="P59" s="988"/>
      <c r="Q59" s="992"/>
      <c r="R59" s="990"/>
      <c r="T59" s="991"/>
    </row>
    <row r="60" spans="1:26" ht="11.25" customHeight="1">
      <c r="A60" s="983">
        <f>A59</f>
        <v>139.69999999999999</v>
      </c>
      <c r="B60" s="982">
        <f>B59+1</f>
        <v>5.6</v>
      </c>
      <c r="C60" s="983">
        <f t="shared" si="6"/>
        <v>128.5</v>
      </c>
      <c r="D60" s="982">
        <f t="shared" si="7"/>
        <v>23.592084263999972</v>
      </c>
      <c r="E60" s="982">
        <f t="shared" si="8"/>
        <v>18.519786147239977</v>
      </c>
      <c r="F60" s="985">
        <f t="shared" si="9"/>
        <v>531.23977073252524</v>
      </c>
      <c r="G60" s="982">
        <f t="shared" si="10"/>
        <v>76.05436946779173</v>
      </c>
      <c r="H60" s="982">
        <f t="shared" si="11"/>
        <v>4.7452831843842569</v>
      </c>
      <c r="I60" s="978"/>
      <c r="J60" s="986"/>
      <c r="K60" s="988"/>
      <c r="L60" s="978"/>
      <c r="M60" s="988"/>
      <c r="N60" s="988"/>
      <c r="O60" s="978"/>
      <c r="P60" s="988"/>
      <c r="Q60" s="992"/>
      <c r="R60" s="990"/>
      <c r="T60" s="991"/>
    </row>
    <row r="61" spans="1:26" ht="11.25" customHeight="1">
      <c r="A61" s="983">
        <f>A60</f>
        <v>139.69999999999999</v>
      </c>
      <c r="B61" s="982">
        <f>B60+1</f>
        <v>6.6</v>
      </c>
      <c r="C61" s="983">
        <f t="shared" si="6"/>
        <v>126.49999999999999</v>
      </c>
      <c r="D61" s="982">
        <f t="shared" si="7"/>
        <v>27.597611514</v>
      </c>
      <c r="E61" s="982">
        <f t="shared" si="8"/>
        <v>21.664125038489999</v>
      </c>
      <c r="F61" s="985">
        <f t="shared" si="9"/>
        <v>612.63834308885384</v>
      </c>
      <c r="G61" s="982">
        <f t="shared" si="10"/>
        <v>87.707708387810158</v>
      </c>
      <c r="H61" s="982">
        <f t="shared" si="11"/>
        <v>4.7115774959136552</v>
      </c>
      <c r="I61" s="978"/>
      <c r="J61" s="986"/>
      <c r="K61" s="988"/>
      <c r="L61" s="978"/>
      <c r="M61" s="988"/>
      <c r="N61" s="988"/>
      <c r="O61" s="978"/>
      <c r="P61" s="988"/>
      <c r="Q61" s="992"/>
      <c r="R61" s="990"/>
      <c r="T61" s="991"/>
    </row>
    <row r="62" spans="1:26" ht="11.25" customHeight="1">
      <c r="A62" s="981">
        <v>141.30000000000001</v>
      </c>
      <c r="B62" s="982">
        <v>3.6</v>
      </c>
      <c r="C62" s="983">
        <f t="shared" si="6"/>
        <v>134.10000000000002</v>
      </c>
      <c r="D62" s="982">
        <f t="shared" si="7"/>
        <v>15.573489947999979</v>
      </c>
      <c r="E62" s="982">
        <f t="shared" si="8"/>
        <v>12.225189609179983</v>
      </c>
      <c r="F62" s="985">
        <f t="shared" si="9"/>
        <v>369.36911455729813</v>
      </c>
      <c r="G62" s="982">
        <f t="shared" si="10"/>
        <v>52.28154487718303</v>
      </c>
      <c r="H62" s="982">
        <f t="shared" si="11"/>
        <v>4.8700936849305059</v>
      </c>
      <c r="I62" s="978"/>
      <c r="J62" s="986"/>
      <c r="K62" s="988"/>
      <c r="L62" s="978"/>
      <c r="M62" s="988"/>
      <c r="N62" s="988"/>
      <c r="O62" s="978"/>
      <c r="P62" s="988"/>
      <c r="Q62" s="992"/>
      <c r="R62" s="990"/>
      <c r="T62" s="991"/>
    </row>
    <row r="63" spans="1:26" ht="11.25" customHeight="1">
      <c r="A63" s="983">
        <f t="shared" ref="A63:A69" si="13">A62</f>
        <v>141.30000000000001</v>
      </c>
      <c r="B63" s="982">
        <v>4</v>
      </c>
      <c r="C63" s="983">
        <f t="shared" si="6"/>
        <v>133.30000000000001</v>
      </c>
      <c r="D63" s="982">
        <f t="shared" si="7"/>
        <v>17.253612279999992</v>
      </c>
      <c r="E63" s="982">
        <f t="shared" si="8"/>
        <v>13.544085639799992</v>
      </c>
      <c r="F63" s="985">
        <f t="shared" si="9"/>
        <v>406.91113304290121</v>
      </c>
      <c r="G63" s="982">
        <f t="shared" si="10"/>
        <v>57.595347918315809</v>
      </c>
      <c r="H63" s="982">
        <f t="shared" si="11"/>
        <v>4.8563476502408678</v>
      </c>
      <c r="I63" s="978"/>
      <c r="J63" s="986"/>
      <c r="K63" s="988"/>
      <c r="L63" s="978"/>
      <c r="M63" s="988"/>
      <c r="N63" s="988"/>
      <c r="O63" s="978"/>
      <c r="P63" s="988"/>
      <c r="Q63" s="992"/>
      <c r="R63" s="990"/>
      <c r="T63" s="991"/>
    </row>
    <row r="64" spans="1:26" ht="11.25" customHeight="1">
      <c r="A64" s="983">
        <f t="shared" si="13"/>
        <v>141.30000000000001</v>
      </c>
      <c r="B64" s="982">
        <v>4.5</v>
      </c>
      <c r="C64" s="983">
        <f t="shared" si="6"/>
        <v>132.30000000000001</v>
      </c>
      <c r="D64" s="982">
        <f t="shared" si="7"/>
        <v>19.339628039999983</v>
      </c>
      <c r="E64" s="982">
        <f t="shared" si="8"/>
        <v>15.181608011399987</v>
      </c>
      <c r="F64" s="985">
        <f t="shared" si="9"/>
        <v>452.8975851488741</v>
      </c>
      <c r="G64" s="982">
        <f t="shared" si="10"/>
        <v>64.10439987952924</v>
      </c>
      <c r="H64" s="982">
        <f t="shared" si="11"/>
        <v>4.8392264361155908</v>
      </c>
      <c r="I64" s="978"/>
      <c r="J64" s="986"/>
      <c r="K64" s="988"/>
      <c r="L64" s="978"/>
      <c r="M64" s="988"/>
      <c r="N64" s="988"/>
      <c r="O64" s="978"/>
      <c r="P64" s="988"/>
      <c r="Q64" s="992"/>
      <c r="R64" s="990"/>
      <c r="T64" s="991"/>
    </row>
    <row r="65" spans="1:25" ht="11.25" customHeight="1">
      <c r="A65" s="983">
        <f t="shared" si="13"/>
        <v>141.30000000000001</v>
      </c>
      <c r="B65" s="982">
        <v>5</v>
      </c>
      <c r="C65" s="983">
        <f t="shared" si="6"/>
        <v>131.30000000000001</v>
      </c>
      <c r="D65" s="982">
        <f t="shared" si="7"/>
        <v>21.409935849999997</v>
      </c>
      <c r="E65" s="982">
        <f t="shared" si="8"/>
        <v>16.806799642249995</v>
      </c>
      <c r="F65" s="985">
        <f t="shared" si="9"/>
        <v>497.85299942179512</v>
      </c>
      <c r="G65" s="982">
        <f t="shared" si="10"/>
        <v>70.467515841726126</v>
      </c>
      <c r="H65" s="982">
        <f t="shared" si="11"/>
        <v>4.8221740428980766</v>
      </c>
      <c r="I65" s="978"/>
      <c r="J65" s="986"/>
      <c r="K65" s="988"/>
      <c r="L65" s="978"/>
      <c r="M65" s="988"/>
      <c r="N65" s="988"/>
      <c r="O65" s="978"/>
      <c r="P65" s="988"/>
      <c r="Q65" s="992"/>
      <c r="R65" s="990"/>
      <c r="T65" s="991"/>
    </row>
    <row r="66" spans="1:25" ht="11.25" customHeight="1">
      <c r="A66" s="983">
        <f t="shared" si="13"/>
        <v>141.30000000000001</v>
      </c>
      <c r="B66" s="982">
        <v>5.4</v>
      </c>
      <c r="C66" s="982">
        <f t="shared" si="6"/>
        <v>130.5</v>
      </c>
      <c r="D66" s="982">
        <f t="shared" si="7"/>
        <v>23.05487237400002</v>
      </c>
      <c r="E66" s="982">
        <f t="shared" si="8"/>
        <v>18.098074813590014</v>
      </c>
      <c r="F66" s="985">
        <f t="shared" si="9"/>
        <v>533.0854219101011</v>
      </c>
      <c r="G66" s="982">
        <f t="shared" si="10"/>
        <v>75.454412159957684</v>
      </c>
      <c r="H66" s="982">
        <f t="shared" si="11"/>
        <v>4.8085821714929642</v>
      </c>
      <c r="I66" s="978"/>
      <c r="J66" s="986"/>
      <c r="K66" s="988"/>
      <c r="L66" s="978"/>
      <c r="M66" s="988"/>
      <c r="N66" s="988"/>
      <c r="O66" s="978"/>
      <c r="P66" s="988"/>
      <c r="Q66" s="992"/>
      <c r="R66" s="990"/>
      <c r="T66" s="991"/>
    </row>
    <row r="67" spans="1:25" ht="11.25" customHeight="1">
      <c r="A67" s="983">
        <f t="shared" si="13"/>
        <v>141.30000000000001</v>
      </c>
      <c r="B67" s="982">
        <v>5.6</v>
      </c>
      <c r="C67" s="983">
        <f t="shared" si="6"/>
        <v>130.10000000000002</v>
      </c>
      <c r="D67" s="982">
        <f t="shared" si="7"/>
        <v>23.873570727999972</v>
      </c>
      <c r="E67" s="982">
        <f t="shared" si="8"/>
        <v>18.740753021479978</v>
      </c>
      <c r="F67" s="985">
        <f t="shared" si="9"/>
        <v>550.46038076634773</v>
      </c>
      <c r="G67" s="982">
        <f t="shared" si="10"/>
        <v>77.913712776553098</v>
      </c>
      <c r="H67" s="982">
        <f t="shared" si="11"/>
        <v>4.8018030467731592</v>
      </c>
      <c r="I67" s="978"/>
      <c r="J67" s="986"/>
      <c r="K67" s="988"/>
      <c r="L67" s="978"/>
      <c r="M67" s="988"/>
      <c r="N67" s="988"/>
      <c r="O67" s="978"/>
      <c r="P67" s="988"/>
      <c r="Q67" s="992"/>
      <c r="R67" s="990"/>
      <c r="T67" s="991"/>
    </row>
    <row r="68" spans="1:25" ht="11.25" customHeight="1">
      <c r="A68" s="983">
        <f t="shared" si="13"/>
        <v>141.30000000000001</v>
      </c>
      <c r="B68" s="982">
        <v>6</v>
      </c>
      <c r="C68" s="983">
        <f t="shared" ref="C68:C99" si="14">A68-B68*2</f>
        <v>129.30000000000001</v>
      </c>
      <c r="D68" s="982">
        <f t="shared" ref="D68:D99" si="15">3.14159*(A68*A68-C68*C68)/400</f>
        <v>25.503427620000007</v>
      </c>
      <c r="E68" s="982">
        <f t="shared" ref="E68:E99" si="16">100*D68*7.85/1000</f>
        <v>20.020190681700004</v>
      </c>
      <c r="F68" s="985">
        <f t="shared" ref="F68:F99" si="17">3.14159*(A68*A68*A68*A68/10000-C68*C68*C68*C68/10000)/64</f>
        <v>584.73270589315712</v>
      </c>
      <c r="G68" s="982">
        <f t="shared" ref="G68:G99" si="18">F68/A68*20</f>
        <v>82.764714209930219</v>
      </c>
      <c r="H68" s="982">
        <f t="shared" ref="H68:H99" si="19">SQRT(F68/D68)</f>
        <v>4.7882786573047298</v>
      </c>
      <c r="I68" s="978"/>
      <c r="J68" s="986"/>
      <c r="K68" s="988"/>
      <c r="L68" s="978"/>
      <c r="M68" s="988"/>
      <c r="N68" s="988"/>
      <c r="O68" s="978"/>
      <c r="P68" s="988"/>
      <c r="Q68" s="992"/>
      <c r="R68" s="990"/>
      <c r="T68" s="991"/>
    </row>
    <row r="69" spans="1:25" ht="11.25" customHeight="1">
      <c r="A69" s="983">
        <f t="shared" si="13"/>
        <v>141.30000000000001</v>
      </c>
      <c r="B69" s="982">
        <v>6.3</v>
      </c>
      <c r="C69" s="983">
        <f t="shared" si="14"/>
        <v>128.70000000000002</v>
      </c>
      <c r="D69" s="982">
        <f t="shared" si="15"/>
        <v>26.71922294999997</v>
      </c>
      <c r="E69" s="982">
        <f t="shared" si="16"/>
        <v>20.974590015749978</v>
      </c>
      <c r="F69" s="985">
        <f t="shared" si="17"/>
        <v>610.02290527829393</v>
      </c>
      <c r="G69" s="982">
        <f t="shared" si="18"/>
        <v>86.344360265859009</v>
      </c>
      <c r="H69" s="982">
        <f t="shared" si="19"/>
        <v>4.7781651813222208</v>
      </c>
      <c r="I69" s="978"/>
      <c r="J69" s="986"/>
      <c r="K69" s="988"/>
      <c r="L69" s="978"/>
      <c r="M69" s="988"/>
      <c r="N69" s="988"/>
      <c r="O69" s="978"/>
      <c r="P69" s="988"/>
      <c r="Q69" s="992"/>
      <c r="R69" s="990"/>
      <c r="T69" s="991"/>
    </row>
    <row r="70" spans="1:25" ht="11.25" customHeight="1">
      <c r="A70" s="981">
        <v>157.4</v>
      </c>
      <c r="B70" s="982">
        <v>3.6</v>
      </c>
      <c r="C70" s="983">
        <f t="shared" si="14"/>
        <v>150.20000000000002</v>
      </c>
      <c r="D70" s="982">
        <f t="shared" si="15"/>
        <v>17.394355511999979</v>
      </c>
      <c r="E70" s="982">
        <f t="shared" si="16"/>
        <v>13.654569076919982</v>
      </c>
      <c r="F70" s="985">
        <f t="shared" si="17"/>
        <v>514.59896205588575</v>
      </c>
      <c r="G70" s="982">
        <f t="shared" si="18"/>
        <v>65.387415763136687</v>
      </c>
      <c r="H70" s="982">
        <f t="shared" si="19"/>
        <v>5.4391405571101048</v>
      </c>
      <c r="I70" s="978"/>
      <c r="J70" s="986"/>
      <c r="K70" s="988"/>
      <c r="L70" s="978"/>
      <c r="M70" s="988"/>
      <c r="N70" s="988"/>
      <c r="O70" s="978"/>
      <c r="P70" s="988"/>
      <c r="Q70" s="992"/>
      <c r="R70" s="990"/>
      <c r="T70" s="991"/>
      <c r="X70" s="975">
        <f>3.14159*A70</f>
        <v>494.486266</v>
      </c>
      <c r="Y70" s="975">
        <f>+X70/2</f>
        <v>247.243133</v>
      </c>
    </row>
    <row r="71" spans="1:25" ht="11.25" customHeight="1">
      <c r="A71" s="983">
        <f t="shared" ref="A71:A77" si="20">A70</f>
        <v>157.4</v>
      </c>
      <c r="B71" s="982">
        <v>4</v>
      </c>
      <c r="C71" s="983">
        <f t="shared" si="14"/>
        <v>149.4</v>
      </c>
      <c r="D71" s="982">
        <f t="shared" si="15"/>
        <v>19.27679624000001</v>
      </c>
      <c r="E71" s="982">
        <f t="shared" si="16"/>
        <v>15.132285048400007</v>
      </c>
      <c r="F71" s="985">
        <f t="shared" si="17"/>
        <v>567.40189508646847</v>
      </c>
      <c r="G71" s="982">
        <f t="shared" si="18"/>
        <v>72.096810049106537</v>
      </c>
      <c r="H71" s="982">
        <f t="shared" si="19"/>
        <v>5.425352523108522</v>
      </c>
      <c r="I71" s="978"/>
      <c r="J71" s="986"/>
      <c r="K71" s="988"/>
      <c r="L71" s="978"/>
      <c r="M71" s="988"/>
      <c r="N71" s="988"/>
      <c r="O71" s="978"/>
      <c r="P71" s="988"/>
      <c r="Q71" s="992"/>
      <c r="R71" s="990"/>
      <c r="T71" s="991"/>
      <c r="Y71" s="975">
        <f>5*5*300</f>
        <v>7500</v>
      </c>
    </row>
    <row r="72" spans="1:25" ht="11.25" customHeight="1">
      <c r="A72" s="983">
        <f t="shared" si="20"/>
        <v>157.4</v>
      </c>
      <c r="B72" s="982">
        <v>4.5</v>
      </c>
      <c r="C72" s="983">
        <f t="shared" si="14"/>
        <v>148.4</v>
      </c>
      <c r="D72" s="982">
        <f t="shared" si="15"/>
        <v>21.615709995000007</v>
      </c>
      <c r="E72" s="982">
        <f t="shared" si="16"/>
        <v>16.968332346075002</v>
      </c>
      <c r="F72" s="985">
        <f t="shared" si="17"/>
        <v>632.22331103950876</v>
      </c>
      <c r="G72" s="982">
        <f t="shared" si="18"/>
        <v>80.333330500572913</v>
      </c>
      <c r="H72" s="982">
        <f t="shared" si="19"/>
        <v>5.4081720571742178</v>
      </c>
      <c r="I72" s="978"/>
      <c r="J72" s="986"/>
      <c r="K72" s="988"/>
      <c r="L72" s="978"/>
      <c r="M72" s="988"/>
      <c r="N72" s="988"/>
      <c r="O72" s="978"/>
      <c r="P72" s="988"/>
      <c r="Q72" s="992"/>
      <c r="R72" s="990"/>
      <c r="T72" s="991"/>
    </row>
    <row r="73" spans="1:25" ht="11.25" customHeight="1">
      <c r="A73" s="983">
        <f t="shared" si="20"/>
        <v>157.4</v>
      </c>
      <c r="B73" s="982">
        <v>5</v>
      </c>
      <c r="C73" s="983">
        <f t="shared" si="14"/>
        <v>147.4</v>
      </c>
      <c r="D73" s="982">
        <f t="shared" si="15"/>
        <v>23.9389158</v>
      </c>
      <c r="E73" s="982">
        <f t="shared" si="16"/>
        <v>18.792048902999998</v>
      </c>
      <c r="F73" s="985">
        <f t="shared" si="17"/>
        <v>695.74748240750989</v>
      </c>
      <c r="G73" s="982">
        <f t="shared" si="18"/>
        <v>88.405016824334155</v>
      </c>
      <c r="H73" s="982">
        <f t="shared" si="19"/>
        <v>5.3910527728821203</v>
      </c>
      <c r="I73" s="978"/>
      <c r="J73" s="986"/>
      <c r="K73" s="988"/>
      <c r="L73" s="978"/>
      <c r="M73" s="988"/>
      <c r="N73" s="988"/>
      <c r="O73" s="978"/>
      <c r="P73" s="988"/>
      <c r="Q73" s="992"/>
      <c r="R73" s="990"/>
      <c r="T73" s="991"/>
    </row>
    <row r="74" spans="1:25" ht="11.25" customHeight="1">
      <c r="A74" s="983">
        <f t="shared" si="20"/>
        <v>157.4</v>
      </c>
      <c r="B74" s="982">
        <v>5.4</v>
      </c>
      <c r="C74" s="982">
        <f t="shared" si="14"/>
        <v>146.6</v>
      </c>
      <c r="D74" s="982">
        <f t="shared" si="15"/>
        <v>25.786170720000033</v>
      </c>
      <c r="E74" s="982">
        <f t="shared" si="16"/>
        <v>20.242144015200026</v>
      </c>
      <c r="F74" s="985">
        <f t="shared" si="17"/>
        <v>745.64451631634518</v>
      </c>
      <c r="G74" s="982">
        <f t="shared" si="18"/>
        <v>94.745173610717302</v>
      </c>
      <c r="H74" s="982">
        <f t="shared" si="19"/>
        <v>5.3774017889683501</v>
      </c>
      <c r="I74" s="978"/>
      <c r="J74" s="986"/>
      <c r="K74" s="988"/>
      <c r="L74" s="978"/>
      <c r="M74" s="988"/>
      <c r="N74" s="988"/>
      <c r="O74" s="978"/>
      <c r="P74" s="988"/>
      <c r="Q74" s="992"/>
      <c r="R74" s="990"/>
      <c r="T74" s="991"/>
    </row>
    <row r="75" spans="1:25" ht="11.25" customHeight="1">
      <c r="A75" s="983">
        <f t="shared" si="20"/>
        <v>157.4</v>
      </c>
      <c r="B75" s="982">
        <v>5.6</v>
      </c>
      <c r="C75" s="983">
        <f t="shared" si="14"/>
        <v>146.20000000000002</v>
      </c>
      <c r="D75" s="982">
        <f t="shared" si="15"/>
        <v>26.706028271999966</v>
      </c>
      <c r="E75" s="982">
        <f t="shared" si="16"/>
        <v>20.964232193519972</v>
      </c>
      <c r="F75" s="985">
        <f t="shared" si="17"/>
        <v>770.28864995636332</v>
      </c>
      <c r="G75" s="982">
        <f t="shared" si="18"/>
        <v>97.876575598013119</v>
      </c>
      <c r="H75" s="982">
        <f t="shared" si="19"/>
        <v>5.3705912151270656</v>
      </c>
      <c r="I75" s="978"/>
      <c r="J75" s="986"/>
      <c r="K75" s="988"/>
      <c r="L75" s="978"/>
      <c r="M75" s="988"/>
      <c r="N75" s="988"/>
      <c r="O75" s="978"/>
      <c r="P75" s="988"/>
      <c r="Q75" s="992"/>
      <c r="R75" s="990"/>
      <c r="T75" s="991"/>
    </row>
    <row r="76" spans="1:25" ht="11.25" customHeight="1">
      <c r="A76" s="983">
        <f t="shared" si="20"/>
        <v>157.4</v>
      </c>
      <c r="B76" s="982">
        <v>6</v>
      </c>
      <c r="C76" s="983">
        <f t="shared" si="14"/>
        <v>145.4</v>
      </c>
      <c r="D76" s="982">
        <f t="shared" si="15"/>
        <v>28.538203560000014</v>
      </c>
      <c r="E76" s="982">
        <f t="shared" si="16"/>
        <v>22.402489794600012</v>
      </c>
      <c r="F76" s="985">
        <f t="shared" si="17"/>
        <v>818.97366975292255</v>
      </c>
      <c r="G76" s="982">
        <f t="shared" si="18"/>
        <v>104.06272804992662</v>
      </c>
      <c r="H76" s="982">
        <f t="shared" si="19"/>
        <v>5.3570000933358219</v>
      </c>
      <c r="I76" s="978"/>
      <c r="J76" s="986"/>
      <c r="K76" s="988"/>
      <c r="L76" s="978"/>
      <c r="M76" s="988"/>
      <c r="N76" s="988"/>
      <c r="O76" s="978"/>
      <c r="P76" s="988"/>
      <c r="Q76" s="992"/>
      <c r="R76" s="990"/>
      <c r="T76" s="991"/>
    </row>
    <row r="77" spans="1:25" ht="11.25" customHeight="1">
      <c r="A77" s="983">
        <f t="shared" si="20"/>
        <v>157.4</v>
      </c>
      <c r="B77" s="982">
        <v>6.3</v>
      </c>
      <c r="C77" s="983">
        <f t="shared" si="14"/>
        <v>144.80000000000001</v>
      </c>
      <c r="D77" s="982">
        <f t="shared" si="15"/>
        <v>29.905737686999977</v>
      </c>
      <c r="E77" s="993">
        <f t="shared" si="16"/>
        <v>23.476004084294981</v>
      </c>
      <c r="F77" s="998">
        <f t="shared" si="17"/>
        <v>854.96392008201008</v>
      </c>
      <c r="G77" s="982">
        <f t="shared" si="18"/>
        <v>108.63582211969631</v>
      </c>
      <c r="H77" s="982">
        <f t="shared" si="19"/>
        <v>5.34683317488025</v>
      </c>
      <c r="I77" s="978"/>
      <c r="J77" s="986"/>
      <c r="K77" s="988"/>
      <c r="L77" s="978"/>
      <c r="M77" s="988"/>
      <c r="N77" s="988"/>
      <c r="O77" s="978"/>
      <c r="P77" s="988"/>
      <c r="Q77" s="992"/>
      <c r="R77" s="990"/>
      <c r="T77" s="991"/>
    </row>
    <row r="78" spans="1:25" ht="11.25" customHeight="1">
      <c r="A78" s="993">
        <v>159</v>
      </c>
      <c r="B78" s="982">
        <v>3.6</v>
      </c>
      <c r="C78" s="983">
        <f t="shared" si="14"/>
        <v>151.80000000000001</v>
      </c>
      <c r="D78" s="982">
        <f t="shared" si="15"/>
        <v>17.575311095999957</v>
      </c>
      <c r="E78" s="982">
        <f t="shared" si="16"/>
        <v>13.796619210359966</v>
      </c>
      <c r="F78" s="985">
        <f t="shared" si="17"/>
        <v>530.82096967360326</v>
      </c>
      <c r="G78" s="982">
        <f t="shared" si="18"/>
        <v>66.769933292277145</v>
      </c>
      <c r="H78" s="982">
        <f t="shared" si="19"/>
        <v>5.4956937687611385</v>
      </c>
      <c r="I78" s="978"/>
      <c r="J78" s="986"/>
      <c r="K78" s="988"/>
      <c r="L78" s="978"/>
      <c r="M78" s="988"/>
      <c r="N78" s="988"/>
      <c r="O78" s="978"/>
      <c r="P78" s="988"/>
      <c r="Q78" s="992"/>
      <c r="R78" s="990"/>
      <c r="T78" s="991"/>
    </row>
    <row r="79" spans="1:25" ht="11.25" customHeight="1">
      <c r="A79" s="982">
        <f t="shared" ref="A79:A85" si="21">A78</f>
        <v>159</v>
      </c>
      <c r="B79" s="982">
        <v>4</v>
      </c>
      <c r="C79" s="982">
        <f t="shared" si="14"/>
        <v>151</v>
      </c>
      <c r="D79" s="982">
        <f t="shared" si="15"/>
        <v>19.477857999999998</v>
      </c>
      <c r="E79" s="982">
        <f t="shared" si="16"/>
        <v>15.290118529999996</v>
      </c>
      <c r="F79" s="985">
        <f t="shared" si="17"/>
        <v>585.3339802224998</v>
      </c>
      <c r="G79" s="982">
        <f t="shared" si="18"/>
        <v>73.626915751257826</v>
      </c>
      <c r="H79" s="982">
        <f t="shared" si="19"/>
        <v>5.4819020421747773</v>
      </c>
      <c r="I79" s="978"/>
      <c r="J79" s="986"/>
      <c r="K79" s="988"/>
      <c r="L79" s="978"/>
      <c r="M79" s="988"/>
      <c r="N79" s="988"/>
      <c r="O79" s="978"/>
      <c r="P79" s="988"/>
      <c r="Q79" s="992"/>
      <c r="R79" s="990"/>
      <c r="T79" s="991"/>
    </row>
    <row r="80" spans="1:25" ht="11.25" customHeight="1">
      <c r="A80" s="982">
        <f t="shared" si="21"/>
        <v>159</v>
      </c>
      <c r="B80" s="982">
        <v>4.5</v>
      </c>
      <c r="C80" s="982">
        <f t="shared" si="14"/>
        <v>150</v>
      </c>
      <c r="D80" s="982">
        <f t="shared" si="15"/>
        <v>21.841904475</v>
      </c>
      <c r="E80" s="982">
        <f t="shared" si="16"/>
        <v>17.145895012875002</v>
      </c>
      <c r="F80" s="985">
        <f t="shared" si="17"/>
        <v>652.26752357498424</v>
      </c>
      <c r="G80" s="982">
        <f t="shared" si="18"/>
        <v>82.04622938050116</v>
      </c>
      <c r="H80" s="982">
        <f t="shared" si="19"/>
        <v>5.4647163695840604</v>
      </c>
      <c r="I80" s="978">
        <v>517.4</v>
      </c>
      <c r="J80" s="986">
        <f>I80/H80</f>
        <v>94.68011970022539</v>
      </c>
      <c r="K80" s="988"/>
      <c r="L80" s="978">
        <v>1.86</v>
      </c>
      <c r="M80" s="986">
        <f>D80*1.44/L80</f>
        <v>16.909861529032256</v>
      </c>
      <c r="N80" s="988"/>
      <c r="O80" s="978"/>
      <c r="P80" s="988"/>
      <c r="Q80" s="992"/>
      <c r="R80" s="990"/>
      <c r="T80" s="991"/>
    </row>
    <row r="81" spans="1:20" ht="11.25" customHeight="1">
      <c r="A81" s="982">
        <f t="shared" si="21"/>
        <v>159</v>
      </c>
      <c r="B81" s="982">
        <v>5</v>
      </c>
      <c r="C81" s="982">
        <f t="shared" si="14"/>
        <v>149</v>
      </c>
      <c r="D81" s="982">
        <f t="shared" si="15"/>
        <v>24.190242999999999</v>
      </c>
      <c r="E81" s="982">
        <f t="shared" si="16"/>
        <v>18.989340755000001</v>
      </c>
      <c r="F81" s="985">
        <f t="shared" si="17"/>
        <v>717.87569882874993</v>
      </c>
      <c r="G81" s="982">
        <f t="shared" si="18"/>
        <v>90.298830041352204</v>
      </c>
      <c r="H81" s="982">
        <f t="shared" si="19"/>
        <v>5.4475912108013391</v>
      </c>
      <c r="I81" s="978"/>
      <c r="J81" s="986"/>
      <c r="K81" s="988"/>
      <c r="L81" s="978"/>
      <c r="M81" s="988"/>
      <c r="N81" s="988"/>
      <c r="O81" s="978"/>
      <c r="P81" s="988"/>
      <c r="Q81" s="992"/>
      <c r="R81" s="990"/>
      <c r="T81" s="991"/>
    </row>
    <row r="82" spans="1:20" ht="11.25" customHeight="1">
      <c r="A82" s="982">
        <f t="shared" si="21"/>
        <v>159</v>
      </c>
      <c r="B82" s="982">
        <v>5.4</v>
      </c>
      <c r="C82" s="982">
        <f t="shared" si="14"/>
        <v>148.19999999999999</v>
      </c>
      <c r="D82" s="982">
        <f t="shared" si="15"/>
        <v>26.057604096000013</v>
      </c>
      <c r="E82" s="982">
        <f t="shared" si="16"/>
        <v>20.455219215360007</v>
      </c>
      <c r="F82" s="985">
        <f t="shared" si="17"/>
        <v>769.4198135852547</v>
      </c>
      <c r="G82" s="982">
        <f t="shared" si="18"/>
        <v>96.782366488711276</v>
      </c>
      <c r="H82" s="982">
        <f t="shared" si="19"/>
        <v>5.4339350382572666</v>
      </c>
      <c r="I82" s="978"/>
      <c r="J82" s="986"/>
      <c r="K82" s="988"/>
      <c r="L82" s="978"/>
      <c r="M82" s="988"/>
      <c r="N82" s="988"/>
      <c r="O82" s="978"/>
      <c r="P82" s="988"/>
      <c r="Q82" s="992"/>
      <c r="R82" s="990"/>
      <c r="T82" s="991"/>
    </row>
    <row r="83" spans="1:20" ht="11.25" customHeight="1">
      <c r="A83" s="982">
        <f t="shared" si="21"/>
        <v>159</v>
      </c>
      <c r="B83" s="982">
        <v>5.6</v>
      </c>
      <c r="C83" s="983">
        <f t="shared" si="14"/>
        <v>147.80000000000001</v>
      </c>
      <c r="D83" s="982">
        <f t="shared" si="15"/>
        <v>26.987514735999969</v>
      </c>
      <c r="E83" s="982">
        <f t="shared" si="16"/>
        <v>21.185199067759974</v>
      </c>
      <c r="F83" s="985">
        <f t="shared" si="17"/>
        <v>794.8808134039856</v>
      </c>
      <c r="G83" s="982">
        <f t="shared" si="18"/>
        <v>99.985007975344104</v>
      </c>
      <c r="H83" s="982">
        <f t="shared" si="19"/>
        <v>5.4271217049187319</v>
      </c>
      <c r="I83" s="978"/>
      <c r="J83" s="986"/>
      <c r="K83" s="988"/>
      <c r="L83" s="978"/>
      <c r="M83" s="988"/>
      <c r="N83" s="988"/>
      <c r="O83" s="978"/>
      <c r="P83" s="988"/>
      <c r="Q83" s="992"/>
      <c r="R83" s="990"/>
      <c r="T83" s="991"/>
    </row>
    <row r="84" spans="1:20" ht="11.25" customHeight="1">
      <c r="A84" s="982">
        <f t="shared" si="21"/>
        <v>159</v>
      </c>
      <c r="B84" s="982">
        <v>6</v>
      </c>
      <c r="C84" s="982">
        <f t="shared" si="14"/>
        <v>147</v>
      </c>
      <c r="D84" s="982">
        <f t="shared" si="15"/>
        <v>28.839796200000002</v>
      </c>
      <c r="E84" s="982">
        <f t="shared" si="16"/>
        <v>22.639240016999999</v>
      </c>
      <c r="F84" s="985">
        <f t="shared" si="17"/>
        <v>845.18627738625003</v>
      </c>
      <c r="G84" s="982">
        <f t="shared" si="18"/>
        <v>106.31273929386793</v>
      </c>
      <c r="H84" s="982">
        <f t="shared" si="19"/>
        <v>5.4135247297855766</v>
      </c>
      <c r="I84" s="978"/>
      <c r="J84" s="986"/>
      <c r="K84" s="988"/>
      <c r="L84" s="978"/>
      <c r="M84" s="988"/>
      <c r="N84" s="988"/>
      <c r="O84" s="978"/>
      <c r="P84" s="988"/>
      <c r="Q84" s="992"/>
      <c r="R84" s="990"/>
      <c r="T84" s="991"/>
    </row>
    <row r="85" spans="1:20" ht="11.25" customHeight="1">
      <c r="A85" s="982">
        <f t="shared" si="21"/>
        <v>159</v>
      </c>
      <c r="B85" s="982">
        <v>6.3</v>
      </c>
      <c r="C85" s="983">
        <f t="shared" si="14"/>
        <v>146.4</v>
      </c>
      <c r="D85" s="982">
        <f t="shared" si="15"/>
        <v>30.222409958999979</v>
      </c>
      <c r="E85" s="982">
        <f t="shared" si="16"/>
        <v>23.724591817814982</v>
      </c>
      <c r="F85" s="985">
        <f t="shared" si="17"/>
        <v>882.38028120520414</v>
      </c>
      <c r="G85" s="982">
        <f t="shared" si="18"/>
        <v>110.99123034027726</v>
      </c>
      <c r="H85" s="982">
        <f t="shared" si="19"/>
        <v>5.4033531256063583</v>
      </c>
      <c r="I85" s="978"/>
      <c r="J85" s="986"/>
      <c r="K85" s="988"/>
      <c r="L85" s="978"/>
      <c r="M85" s="988"/>
      <c r="N85" s="988"/>
      <c r="O85" s="978"/>
      <c r="P85" s="988"/>
      <c r="Q85" s="992"/>
      <c r="R85" s="990"/>
      <c r="T85" s="991"/>
    </row>
    <row r="86" spans="1:20" ht="11.25" customHeight="1">
      <c r="A86" s="981">
        <v>165.1</v>
      </c>
      <c r="B86" s="982">
        <v>4</v>
      </c>
      <c r="C86" s="983">
        <f t="shared" si="14"/>
        <v>157.1</v>
      </c>
      <c r="D86" s="982">
        <f t="shared" si="15"/>
        <v>20.244405959999987</v>
      </c>
      <c r="E86" s="982">
        <f t="shared" si="16"/>
        <v>15.891858678599991</v>
      </c>
      <c r="F86" s="985">
        <f t="shared" si="17"/>
        <v>657.16403712561453</v>
      </c>
      <c r="G86" s="982">
        <f t="shared" si="18"/>
        <v>79.607999651800668</v>
      </c>
      <c r="H86" s="982">
        <f t="shared" si="19"/>
        <v>5.6975005484861532</v>
      </c>
      <c r="I86" s="978">
        <v>540</v>
      </c>
      <c r="J86" s="986">
        <f>I86/H86</f>
        <v>94.778402459913764</v>
      </c>
      <c r="K86" s="994">
        <f>'[3]simple support beam'!K20</f>
        <v>2.2000000000000002</v>
      </c>
      <c r="L86" s="999">
        <v>1.86</v>
      </c>
      <c r="M86" s="994">
        <f>L86*K86</f>
        <v>4.0920000000000005</v>
      </c>
      <c r="N86" s="994">
        <f>M86/D86</f>
        <v>0.2021299122377411</v>
      </c>
      <c r="O86" s="978"/>
      <c r="P86" s="988"/>
      <c r="Q86" s="992"/>
      <c r="R86" s="990"/>
      <c r="T86" s="991"/>
    </row>
    <row r="87" spans="1:20" ht="11.25" customHeight="1">
      <c r="A87" s="983">
        <f>A86</f>
        <v>165.1</v>
      </c>
      <c r="B87" s="982">
        <v>4.5</v>
      </c>
      <c r="C87" s="983">
        <f t="shared" si="14"/>
        <v>156.1</v>
      </c>
      <c r="D87" s="982">
        <f t="shared" si="15"/>
        <v>22.704270929999993</v>
      </c>
      <c r="E87" s="982">
        <f t="shared" si="16"/>
        <v>17.822852680049994</v>
      </c>
      <c r="F87" s="985">
        <f t="shared" si="17"/>
        <v>732.57061356303416</v>
      </c>
      <c r="G87" s="982">
        <f t="shared" si="18"/>
        <v>88.742654580621959</v>
      </c>
      <c r="H87" s="982">
        <f t="shared" si="19"/>
        <v>5.6802959870063123</v>
      </c>
      <c r="I87" s="978"/>
      <c r="J87" s="986"/>
      <c r="K87" s="988"/>
      <c r="L87" s="978"/>
      <c r="M87" s="988"/>
      <c r="N87" s="988"/>
      <c r="O87" s="978"/>
      <c r="P87" s="988"/>
      <c r="Q87" s="992"/>
      <c r="R87" s="990"/>
      <c r="T87" s="991"/>
    </row>
    <row r="88" spans="1:20" ht="11.25" customHeight="1">
      <c r="A88" s="983">
        <f>A87</f>
        <v>165.1</v>
      </c>
      <c r="B88" s="982">
        <v>5</v>
      </c>
      <c r="C88" s="983">
        <f t="shared" si="14"/>
        <v>155.1</v>
      </c>
      <c r="D88" s="982">
        <f t="shared" si="15"/>
        <v>25.148427949999999</v>
      </c>
      <c r="E88" s="982">
        <f t="shared" si="16"/>
        <v>19.741515940749998</v>
      </c>
      <c r="F88" s="985">
        <f t="shared" si="17"/>
        <v>806.54183424678683</v>
      </c>
      <c r="G88" s="982">
        <f t="shared" si="18"/>
        <v>97.70343237392936</v>
      </c>
      <c r="H88" s="982">
        <f t="shared" si="19"/>
        <v>5.6631495212469893</v>
      </c>
      <c r="I88" s="978"/>
      <c r="J88" s="986"/>
      <c r="K88" s="988"/>
      <c r="L88" s="978"/>
      <c r="M88" s="988"/>
      <c r="N88" s="988"/>
      <c r="O88" s="978"/>
      <c r="P88" s="988"/>
      <c r="Q88" s="992"/>
      <c r="R88" s="990"/>
      <c r="T88" s="991"/>
    </row>
    <row r="89" spans="1:20" ht="11.25" customHeight="1">
      <c r="A89" s="983">
        <f>A88</f>
        <v>165.1</v>
      </c>
      <c r="B89" s="982">
        <f>B88+1</f>
        <v>6</v>
      </c>
      <c r="C89" s="983">
        <f t="shared" si="14"/>
        <v>153.1</v>
      </c>
      <c r="D89" s="982">
        <f t="shared" si="15"/>
        <v>29.989618140000012</v>
      </c>
      <c r="E89" s="982">
        <f t="shared" si="16"/>
        <v>23.541850239900008</v>
      </c>
      <c r="F89" s="985">
        <f t="shared" si="17"/>
        <v>950.25141525426682</v>
      </c>
      <c r="G89" s="982">
        <f t="shared" si="18"/>
        <v>115.11222474309713</v>
      </c>
      <c r="H89" s="982">
        <f t="shared" si="19"/>
        <v>5.6290329986597154</v>
      </c>
      <c r="I89" s="978"/>
      <c r="J89" s="986"/>
      <c r="K89" s="988"/>
      <c r="L89" s="978"/>
      <c r="M89" s="988"/>
      <c r="N89" s="988"/>
      <c r="O89" s="978"/>
      <c r="P89" s="988"/>
      <c r="Q89" s="992"/>
      <c r="R89" s="990"/>
      <c r="T89" s="991"/>
    </row>
    <row r="90" spans="1:20" ht="11.25" customHeight="1">
      <c r="A90" s="981">
        <v>168.3</v>
      </c>
      <c r="B90" s="982">
        <v>3.6</v>
      </c>
      <c r="C90" s="983">
        <f t="shared" si="14"/>
        <v>161.10000000000002</v>
      </c>
      <c r="D90" s="982">
        <f t="shared" si="15"/>
        <v>18.627115427999971</v>
      </c>
      <c r="E90" s="982">
        <f t="shared" si="16"/>
        <v>14.622285610979977</v>
      </c>
      <c r="F90" s="985">
        <f t="shared" si="17"/>
        <v>631.90277119532891</v>
      </c>
      <c r="G90" s="982">
        <f t="shared" si="18"/>
        <v>75.092426761179908</v>
      </c>
      <c r="H90" s="982">
        <f t="shared" si="19"/>
        <v>5.824415206696723</v>
      </c>
      <c r="I90" s="978"/>
      <c r="J90" s="986"/>
      <c r="K90" s="988"/>
      <c r="L90" s="978"/>
      <c r="M90" s="988"/>
      <c r="N90" s="988"/>
      <c r="O90" s="978"/>
      <c r="P90" s="988"/>
      <c r="Q90" s="992"/>
      <c r="R90" s="990"/>
      <c r="T90" s="991"/>
    </row>
    <row r="91" spans="1:20" ht="11.25" customHeight="1">
      <c r="A91" s="983">
        <f t="shared" ref="A91:A98" si="22">A90</f>
        <v>168.3</v>
      </c>
      <c r="B91" s="982">
        <v>4</v>
      </c>
      <c r="C91" s="983">
        <f t="shared" si="14"/>
        <v>160.30000000000001</v>
      </c>
      <c r="D91" s="982">
        <f t="shared" si="15"/>
        <v>20.646529479999995</v>
      </c>
      <c r="E91" s="982">
        <f t="shared" si="16"/>
        <v>16.207525641799997</v>
      </c>
      <c r="F91" s="985">
        <f t="shared" si="17"/>
        <v>697.09109756780617</v>
      </c>
      <c r="G91" s="982">
        <f t="shared" si="18"/>
        <v>82.839108445372091</v>
      </c>
      <c r="H91" s="982">
        <f t="shared" si="19"/>
        <v>5.8106034540312583</v>
      </c>
      <c r="I91" s="978"/>
      <c r="J91" s="986"/>
      <c r="K91" s="988"/>
      <c r="L91" s="978"/>
      <c r="M91" s="988"/>
      <c r="N91" s="988"/>
      <c r="O91" s="978"/>
      <c r="P91" s="988"/>
      <c r="Q91" s="992"/>
      <c r="R91" s="990"/>
      <c r="T91" s="991"/>
    </row>
    <row r="92" spans="1:20" ht="11.25" customHeight="1">
      <c r="A92" s="983">
        <f t="shared" si="22"/>
        <v>168.3</v>
      </c>
      <c r="B92" s="982">
        <v>4.5</v>
      </c>
      <c r="C92" s="983">
        <f t="shared" si="14"/>
        <v>159.30000000000001</v>
      </c>
      <c r="D92" s="982">
        <f t="shared" si="15"/>
        <v>23.156659889999982</v>
      </c>
      <c r="E92" s="982">
        <f t="shared" si="16"/>
        <v>18.177978013649987</v>
      </c>
      <c r="F92" s="985">
        <f t="shared" si="17"/>
        <v>777.21537017727974</v>
      </c>
      <c r="G92" s="982">
        <f t="shared" si="18"/>
        <v>92.36070946848244</v>
      </c>
      <c r="H92" s="982">
        <f t="shared" si="19"/>
        <v>5.79338955189447</v>
      </c>
      <c r="I92" s="978"/>
      <c r="J92" s="986"/>
      <c r="K92" s="988"/>
      <c r="L92" s="978"/>
      <c r="M92" s="988"/>
      <c r="N92" s="988"/>
      <c r="O92" s="978"/>
      <c r="P92" s="988"/>
      <c r="Q92" s="992"/>
      <c r="R92" s="990"/>
      <c r="T92" s="991"/>
    </row>
    <row r="93" spans="1:20" ht="11.25" customHeight="1">
      <c r="A93" s="983">
        <f t="shared" si="22"/>
        <v>168.3</v>
      </c>
      <c r="B93" s="982">
        <v>5</v>
      </c>
      <c r="C93" s="983">
        <f t="shared" si="14"/>
        <v>158.30000000000001</v>
      </c>
      <c r="D93" s="982">
        <f t="shared" si="15"/>
        <v>25.651082349999996</v>
      </c>
      <c r="E93" s="982">
        <f t="shared" si="16"/>
        <v>20.136099644749997</v>
      </c>
      <c r="F93" s="985">
        <f t="shared" si="17"/>
        <v>855.84483558392697</v>
      </c>
      <c r="G93" s="982">
        <f t="shared" si="18"/>
        <v>101.70467446035971</v>
      </c>
      <c r="H93" s="982">
        <f t="shared" si="19"/>
        <v>5.7762325524514688</v>
      </c>
      <c r="I93" s="978"/>
      <c r="J93" s="986"/>
      <c r="K93" s="988"/>
      <c r="L93" s="978"/>
      <c r="M93" s="988"/>
      <c r="N93" s="988"/>
      <c r="O93" s="978"/>
      <c r="P93" s="988"/>
      <c r="Q93" s="992"/>
      <c r="R93" s="990"/>
      <c r="T93" s="991"/>
    </row>
    <row r="94" spans="1:20" ht="11.25" customHeight="1">
      <c r="A94" s="983">
        <f t="shared" si="22"/>
        <v>168.3</v>
      </c>
      <c r="B94" s="982">
        <v>5.4</v>
      </c>
      <c r="C94" s="982">
        <f t="shared" si="14"/>
        <v>157.5</v>
      </c>
      <c r="D94" s="982">
        <f t="shared" si="15"/>
        <v>27.635310594000025</v>
      </c>
      <c r="E94" s="982">
        <f t="shared" si="16"/>
        <v>21.693718816290019</v>
      </c>
      <c r="F94" s="985">
        <f t="shared" si="17"/>
        <v>917.68472257081169</v>
      </c>
      <c r="G94" s="982">
        <f t="shared" si="18"/>
        <v>109.05344296741671</v>
      </c>
      <c r="H94" s="982">
        <f t="shared" si="19"/>
        <v>5.7625482644399604</v>
      </c>
      <c r="I94" s="978"/>
      <c r="J94" s="986"/>
      <c r="K94" s="988"/>
      <c r="L94" s="978"/>
      <c r="M94" s="988"/>
      <c r="N94" s="988"/>
      <c r="O94" s="978"/>
      <c r="P94" s="988"/>
      <c r="Q94" s="992"/>
      <c r="R94" s="990"/>
      <c r="T94" s="991"/>
    </row>
    <row r="95" spans="1:20" ht="11.25" customHeight="1">
      <c r="A95" s="983">
        <f t="shared" si="22"/>
        <v>168.3</v>
      </c>
      <c r="B95" s="982">
        <v>5.6</v>
      </c>
      <c r="C95" s="983">
        <f t="shared" si="14"/>
        <v>157.10000000000002</v>
      </c>
      <c r="D95" s="982">
        <f t="shared" si="15"/>
        <v>28.623654807999966</v>
      </c>
      <c r="E95" s="982">
        <f t="shared" si="16"/>
        <v>22.469569024279973</v>
      </c>
      <c r="F95" s="985">
        <f t="shared" si="17"/>
        <v>948.25338137155063</v>
      </c>
      <c r="G95" s="982">
        <f t="shared" si="18"/>
        <v>112.68608215942372</v>
      </c>
      <c r="H95" s="982">
        <f t="shared" si="19"/>
        <v>5.7557199810275694</v>
      </c>
      <c r="I95" s="978"/>
      <c r="J95" s="986"/>
      <c r="K95" s="988"/>
      <c r="L95" s="978"/>
      <c r="M95" s="988"/>
      <c r="N95" s="988"/>
      <c r="O95" s="978"/>
      <c r="P95" s="988"/>
      <c r="Q95" s="992"/>
      <c r="R95" s="990"/>
      <c r="T95" s="991"/>
    </row>
    <row r="96" spans="1:20" ht="11.25" customHeight="1">
      <c r="A96" s="983">
        <f t="shared" si="22"/>
        <v>168.3</v>
      </c>
      <c r="B96" s="982">
        <v>6</v>
      </c>
      <c r="C96" s="983">
        <f t="shared" si="14"/>
        <v>156.30000000000001</v>
      </c>
      <c r="D96" s="982">
        <f t="shared" si="15"/>
        <v>30.592803420000006</v>
      </c>
      <c r="E96" s="982">
        <f t="shared" si="16"/>
        <v>24.015350684700003</v>
      </c>
      <c r="F96" s="985">
        <f t="shared" si="17"/>
        <v>1008.6940596529149</v>
      </c>
      <c r="G96" s="982">
        <f t="shared" si="18"/>
        <v>119.86857512215268</v>
      </c>
      <c r="H96" s="982">
        <f t="shared" si="19"/>
        <v>5.7420913002145832</v>
      </c>
      <c r="I96" s="978"/>
      <c r="J96" s="986"/>
      <c r="K96" s="988"/>
      <c r="L96" s="978"/>
      <c r="M96" s="988"/>
      <c r="N96" s="988"/>
      <c r="O96" s="978"/>
      <c r="P96" s="988"/>
      <c r="Q96" s="992"/>
      <c r="R96" s="990"/>
      <c r="T96" s="991"/>
    </row>
    <row r="97" spans="1:20" ht="11.25" customHeight="1">
      <c r="A97" s="983">
        <f t="shared" si="22"/>
        <v>168.3</v>
      </c>
      <c r="B97" s="982">
        <v>6.3</v>
      </c>
      <c r="C97" s="983">
        <f t="shared" si="14"/>
        <v>155.70000000000002</v>
      </c>
      <c r="D97" s="982">
        <f t="shared" si="15"/>
        <v>32.063067539999984</v>
      </c>
      <c r="E97" s="982">
        <f t="shared" si="16"/>
        <v>25.169508018899986</v>
      </c>
      <c r="F97" s="985">
        <f t="shared" si="17"/>
        <v>1053.419659588028</v>
      </c>
      <c r="G97" s="982">
        <f t="shared" si="18"/>
        <v>125.1835602600152</v>
      </c>
      <c r="H97" s="982">
        <f t="shared" si="19"/>
        <v>5.7318943203796078</v>
      </c>
      <c r="I97" s="978"/>
      <c r="J97" s="986"/>
      <c r="K97" s="988"/>
      <c r="L97" s="978"/>
      <c r="M97" s="988"/>
      <c r="N97" s="988"/>
      <c r="O97" s="978"/>
      <c r="P97" s="988"/>
      <c r="Q97" s="992"/>
      <c r="R97" s="990"/>
      <c r="T97" s="991"/>
    </row>
    <row r="98" spans="1:20" ht="11.25" customHeight="1">
      <c r="A98" s="983">
        <f t="shared" si="22"/>
        <v>168.3</v>
      </c>
      <c r="B98" s="982">
        <v>8.5</v>
      </c>
      <c r="C98" s="983">
        <f t="shared" si="14"/>
        <v>151.30000000000001</v>
      </c>
      <c r="D98" s="982">
        <f t="shared" si="15"/>
        <v>42.672216970000008</v>
      </c>
      <c r="E98" s="982">
        <f t="shared" si="16"/>
        <v>33.497690321450008</v>
      </c>
      <c r="F98" s="985">
        <f t="shared" si="17"/>
        <v>1365.9531338883519</v>
      </c>
      <c r="G98" s="982">
        <f t="shared" si="18"/>
        <v>162.32360474014877</v>
      </c>
      <c r="H98" s="982">
        <f t="shared" si="19"/>
        <v>5.6577700996063811</v>
      </c>
      <c r="I98" s="978"/>
      <c r="J98" s="986"/>
      <c r="K98" s="988"/>
      <c r="L98" s="978"/>
      <c r="M98" s="988"/>
      <c r="N98" s="988"/>
      <c r="O98" s="978"/>
      <c r="P98" s="988"/>
      <c r="Q98" s="992"/>
      <c r="R98" s="990"/>
      <c r="T98" s="991"/>
    </row>
    <row r="99" spans="1:20" ht="11.25" customHeight="1">
      <c r="A99" s="981">
        <v>177.8</v>
      </c>
      <c r="B99" s="982">
        <v>3.6</v>
      </c>
      <c r="C99" s="983">
        <f t="shared" si="14"/>
        <v>170.60000000000002</v>
      </c>
      <c r="D99" s="982">
        <f t="shared" si="15"/>
        <v>19.701539207999968</v>
      </c>
      <c r="E99" s="982">
        <f t="shared" si="16"/>
        <v>15.465708278279973</v>
      </c>
      <c r="F99" s="985">
        <f t="shared" si="17"/>
        <v>747.63893524998537</v>
      </c>
      <c r="G99" s="982">
        <f t="shared" si="18"/>
        <v>84.098867857141201</v>
      </c>
      <c r="H99" s="982">
        <f t="shared" si="19"/>
        <v>6.1602150936473015</v>
      </c>
      <c r="I99" s="978"/>
      <c r="J99" s="986"/>
      <c r="K99" s="988"/>
      <c r="L99" s="978"/>
      <c r="M99" s="988"/>
      <c r="N99" s="988"/>
      <c r="O99" s="978"/>
      <c r="P99" s="988"/>
      <c r="Q99" s="992"/>
      <c r="R99" s="990"/>
      <c r="T99" s="991"/>
    </row>
    <row r="100" spans="1:20" ht="11.25" customHeight="1">
      <c r="A100" s="983">
        <f t="shared" ref="A100:A107" si="23">A99</f>
        <v>177.8</v>
      </c>
      <c r="B100" s="982">
        <v>4</v>
      </c>
      <c r="C100" s="983">
        <f t="shared" ref="C100:C131" si="24">A100-B100*2</f>
        <v>169.8</v>
      </c>
      <c r="D100" s="982">
        <f t="shared" ref="D100:D131" si="25">3.14159*(A100*A100-C100*C100)/400</f>
        <v>21.840333679999993</v>
      </c>
      <c r="E100" s="982">
        <f t="shared" ref="E100:E131" si="26">100*D100*7.85/1000</f>
        <v>17.144661938799995</v>
      </c>
      <c r="F100" s="985">
        <f t="shared" ref="F100:F131" si="27">3.14159*(A100*A100*A100*A100/10000-C100*C100*C100*C100/10000)/64</f>
        <v>825.08521777972453</v>
      </c>
      <c r="G100" s="982">
        <f t="shared" ref="G100:G131" si="28">F100/A100*20</f>
        <v>92.810485689507814</v>
      </c>
      <c r="H100" s="982">
        <f t="shared" ref="H100:H131" si="29">SQRT(F100/D100)</f>
        <v>6.1463851164729366</v>
      </c>
      <c r="I100" s="978"/>
      <c r="J100" s="986"/>
      <c r="K100" s="988"/>
      <c r="L100" s="978"/>
      <c r="M100" s="988"/>
      <c r="N100" s="988"/>
      <c r="O100" s="978"/>
      <c r="P100" s="988"/>
      <c r="Q100" s="992"/>
      <c r="R100" s="990"/>
      <c r="T100" s="991"/>
    </row>
    <row r="101" spans="1:20" ht="11.25" customHeight="1">
      <c r="A101" s="983">
        <f t="shared" si="23"/>
        <v>177.8</v>
      </c>
      <c r="B101" s="982">
        <v>4.5</v>
      </c>
      <c r="C101" s="983">
        <f t="shared" si="24"/>
        <v>168.8</v>
      </c>
      <c r="D101" s="982">
        <f t="shared" si="25"/>
        <v>24.499689615000012</v>
      </c>
      <c r="E101" s="993">
        <f t="shared" si="26"/>
        <v>19.232256347775007</v>
      </c>
      <c r="F101" s="998">
        <f t="shared" si="27"/>
        <v>920.36575244517724</v>
      </c>
      <c r="G101" s="982">
        <f t="shared" si="28"/>
        <v>103.52820612431688</v>
      </c>
      <c r="H101" s="982">
        <f t="shared" si="29"/>
        <v>6.1291455358801867</v>
      </c>
      <c r="I101" s="978"/>
      <c r="J101" s="986"/>
      <c r="K101" s="988"/>
      <c r="L101" s="978"/>
      <c r="M101" s="988"/>
      <c r="N101" s="988"/>
      <c r="O101" s="978"/>
      <c r="P101" s="988"/>
      <c r="Q101" s="992"/>
      <c r="R101" s="990"/>
      <c r="T101" s="991"/>
    </row>
    <row r="102" spans="1:20" ht="11.25" customHeight="1">
      <c r="A102" s="983">
        <f t="shared" si="23"/>
        <v>177.8</v>
      </c>
      <c r="B102" s="982">
        <v>5</v>
      </c>
      <c r="C102" s="983">
        <f t="shared" si="24"/>
        <v>167.8</v>
      </c>
      <c r="D102" s="982">
        <f t="shared" si="25"/>
        <v>27.143337599999999</v>
      </c>
      <c r="E102" s="982">
        <f t="shared" si="26"/>
        <v>21.307520015999998</v>
      </c>
      <c r="F102" s="985">
        <f t="shared" si="27"/>
        <v>1013.9678765524802</v>
      </c>
      <c r="G102" s="982">
        <f t="shared" si="28"/>
        <v>114.05712897103264</v>
      </c>
      <c r="H102" s="982">
        <f t="shared" si="29"/>
        <v>6.1119595875627324</v>
      </c>
      <c r="I102" s="978"/>
      <c r="J102" s="986"/>
      <c r="K102" s="988"/>
      <c r="L102" s="978"/>
      <c r="M102" s="988"/>
      <c r="N102" s="988"/>
      <c r="O102" s="978"/>
      <c r="P102" s="988"/>
      <c r="Q102" s="992"/>
      <c r="R102" s="990"/>
      <c r="T102" s="991"/>
    </row>
    <row r="103" spans="1:20" ht="11.25" customHeight="1">
      <c r="A103" s="983">
        <f t="shared" si="23"/>
        <v>177.8</v>
      </c>
      <c r="B103" s="982">
        <v>5.4</v>
      </c>
      <c r="C103" s="982">
        <f t="shared" si="24"/>
        <v>167</v>
      </c>
      <c r="D103" s="982">
        <f t="shared" si="25"/>
        <v>29.24694626400003</v>
      </c>
      <c r="E103" s="982">
        <f t="shared" si="26"/>
        <v>22.958852817240022</v>
      </c>
      <c r="F103" s="985">
        <f t="shared" si="27"/>
        <v>1087.654448180705</v>
      </c>
      <c r="G103" s="982">
        <f t="shared" si="28"/>
        <v>122.34583219130539</v>
      </c>
      <c r="H103" s="982">
        <f t="shared" si="29"/>
        <v>6.0982497489033696</v>
      </c>
      <c r="I103" s="978"/>
      <c r="J103" s="986"/>
      <c r="K103" s="988"/>
      <c r="L103" s="978"/>
      <c r="M103" s="988"/>
      <c r="N103" s="988"/>
      <c r="O103" s="978"/>
      <c r="P103" s="988"/>
      <c r="Q103" s="992"/>
      <c r="R103" s="990"/>
      <c r="T103" s="991"/>
    </row>
    <row r="104" spans="1:20" ht="11.25" customHeight="1">
      <c r="A104" s="983">
        <f t="shared" si="23"/>
        <v>177.8</v>
      </c>
      <c r="B104" s="982">
        <v>5.6</v>
      </c>
      <c r="C104" s="983">
        <f t="shared" si="24"/>
        <v>166.60000000000002</v>
      </c>
      <c r="D104" s="982">
        <f t="shared" si="25"/>
        <v>30.29498068799996</v>
      </c>
      <c r="E104" s="982">
        <f t="shared" si="26"/>
        <v>23.781559840079968</v>
      </c>
      <c r="F104" s="985">
        <f t="shared" si="27"/>
        <v>1124.1028321734116</v>
      </c>
      <c r="G104" s="982">
        <f t="shared" si="28"/>
        <v>126.4457628991464</v>
      </c>
      <c r="H104" s="982">
        <f t="shared" si="29"/>
        <v>6.0914078832401328</v>
      </c>
      <c r="I104" s="978"/>
      <c r="J104" s="986"/>
      <c r="K104" s="988"/>
      <c r="L104" s="978"/>
      <c r="M104" s="988"/>
      <c r="N104" s="988"/>
      <c r="O104" s="978"/>
      <c r="P104" s="988"/>
      <c r="Q104" s="992"/>
      <c r="R104" s="990"/>
      <c r="T104" s="991"/>
    </row>
    <row r="105" spans="1:20" ht="11.25" customHeight="1">
      <c r="A105" s="983">
        <f t="shared" si="23"/>
        <v>177.8</v>
      </c>
      <c r="B105" s="982">
        <v>6</v>
      </c>
      <c r="C105" s="983">
        <f t="shared" si="24"/>
        <v>165.8</v>
      </c>
      <c r="D105" s="982">
        <f t="shared" si="25"/>
        <v>32.383509720000006</v>
      </c>
      <c r="E105" s="982">
        <f t="shared" si="26"/>
        <v>25.421055130200003</v>
      </c>
      <c r="F105" s="985">
        <f t="shared" si="27"/>
        <v>1196.2160847225666</v>
      </c>
      <c r="G105" s="982">
        <f t="shared" si="28"/>
        <v>134.55748984505811</v>
      </c>
      <c r="H105" s="982">
        <f t="shared" si="29"/>
        <v>6.0777504061947134</v>
      </c>
      <c r="I105" s="978"/>
      <c r="J105" s="986"/>
      <c r="K105" s="988"/>
      <c r="L105" s="978"/>
      <c r="M105" s="988"/>
      <c r="N105" s="988"/>
      <c r="O105" s="978"/>
      <c r="P105" s="988"/>
      <c r="Q105" s="992"/>
      <c r="R105" s="990"/>
      <c r="T105" s="991"/>
    </row>
    <row r="106" spans="1:20" ht="11.25" customHeight="1">
      <c r="A106" s="983">
        <f t="shared" si="23"/>
        <v>177.8</v>
      </c>
      <c r="B106" s="982">
        <v>6.3</v>
      </c>
      <c r="C106" s="983">
        <f t="shared" si="24"/>
        <v>165.20000000000002</v>
      </c>
      <c r="D106" s="982">
        <f t="shared" si="25"/>
        <v>33.943309154999994</v>
      </c>
      <c r="E106" s="982">
        <f t="shared" si="26"/>
        <v>26.645497686674993</v>
      </c>
      <c r="F106" s="985">
        <f t="shared" si="27"/>
        <v>1249.6203807931388</v>
      </c>
      <c r="G106" s="982">
        <f t="shared" si="28"/>
        <v>140.56472224894696</v>
      </c>
      <c r="H106" s="982">
        <f t="shared" si="29"/>
        <v>6.0675303872333446</v>
      </c>
      <c r="I106" s="978"/>
      <c r="J106" s="986"/>
      <c r="K106" s="988"/>
      <c r="L106" s="978"/>
      <c r="M106" s="988"/>
      <c r="N106" s="988"/>
      <c r="O106" s="978"/>
      <c r="P106" s="988"/>
      <c r="Q106" s="992"/>
      <c r="R106" s="990"/>
      <c r="T106" s="991"/>
    </row>
    <row r="107" spans="1:20" ht="11.25" customHeight="1">
      <c r="A107" s="983">
        <f t="shared" si="23"/>
        <v>177.8</v>
      </c>
      <c r="B107" s="982">
        <v>7.1</v>
      </c>
      <c r="C107" s="983">
        <f t="shared" si="24"/>
        <v>163.60000000000002</v>
      </c>
      <c r="D107" s="982">
        <f t="shared" si="25"/>
        <v>38.075128322999973</v>
      </c>
      <c r="E107" s="982">
        <f t="shared" si="26"/>
        <v>29.888975733554975</v>
      </c>
      <c r="F107" s="985">
        <f t="shared" si="27"/>
        <v>1389.2138913840179</v>
      </c>
      <c r="G107" s="982">
        <f t="shared" si="28"/>
        <v>156.26702940202674</v>
      </c>
      <c r="H107" s="982">
        <f t="shared" si="29"/>
        <v>6.040374574477978</v>
      </c>
      <c r="I107" s="978"/>
      <c r="J107" s="986"/>
      <c r="K107" s="988"/>
      <c r="L107" s="978"/>
      <c r="M107" s="988"/>
      <c r="N107" s="988"/>
      <c r="O107" s="978"/>
      <c r="P107" s="988"/>
      <c r="Q107" s="992"/>
      <c r="R107" s="990"/>
      <c r="T107" s="991"/>
    </row>
    <row r="108" spans="1:20" ht="11.25" customHeight="1">
      <c r="A108" s="981">
        <v>193.7</v>
      </c>
      <c r="B108" s="982">
        <v>4</v>
      </c>
      <c r="C108" s="983">
        <f t="shared" si="24"/>
        <v>185.7</v>
      </c>
      <c r="D108" s="982">
        <f t="shared" si="25"/>
        <v>23.838384919999974</v>
      </c>
      <c r="E108" s="982">
        <f t="shared" si="26"/>
        <v>18.713132162199983</v>
      </c>
      <c r="F108" s="985">
        <f t="shared" si="27"/>
        <v>1072.7895991806038</v>
      </c>
      <c r="G108" s="982">
        <f t="shared" si="28"/>
        <v>110.76815685912274</v>
      </c>
      <c r="H108" s="982">
        <f t="shared" si="29"/>
        <v>6.7083986539262899</v>
      </c>
      <c r="I108" s="978"/>
      <c r="J108" s="986"/>
      <c r="K108" s="988"/>
      <c r="L108" s="978"/>
      <c r="M108" s="988"/>
      <c r="N108" s="988"/>
      <c r="O108" s="978"/>
      <c r="P108" s="988"/>
      <c r="Q108" s="992"/>
      <c r="R108" s="990"/>
      <c r="T108" s="991"/>
    </row>
    <row r="109" spans="1:20" ht="11.25" customHeight="1">
      <c r="A109" s="983">
        <f t="shared" ref="A109:A115" si="30">A108</f>
        <v>193.7</v>
      </c>
      <c r="B109" s="982">
        <v>4.5</v>
      </c>
      <c r="C109" s="983">
        <f t="shared" si="24"/>
        <v>184.7</v>
      </c>
      <c r="D109" s="982">
        <f t="shared" si="25"/>
        <v>26.747497259999985</v>
      </c>
      <c r="E109" s="982">
        <f t="shared" si="26"/>
        <v>20.996785349099987</v>
      </c>
      <c r="F109" s="985">
        <f t="shared" si="27"/>
        <v>1197.5152089209021</v>
      </c>
      <c r="G109" s="982">
        <f t="shared" si="28"/>
        <v>123.64638192265382</v>
      </c>
      <c r="H109" s="982">
        <f t="shared" si="29"/>
        <v>6.691121916390407</v>
      </c>
      <c r="I109" s="978"/>
      <c r="J109" s="986"/>
      <c r="K109" s="988"/>
      <c r="L109" s="978"/>
      <c r="M109" s="988"/>
      <c r="N109" s="988"/>
      <c r="O109" s="978"/>
      <c r="P109" s="988"/>
      <c r="Q109" s="992"/>
      <c r="R109" s="990"/>
      <c r="T109" s="991"/>
    </row>
    <row r="110" spans="1:20" ht="11.25" customHeight="1">
      <c r="A110" s="983">
        <f t="shared" si="30"/>
        <v>193.7</v>
      </c>
      <c r="B110" s="982">
        <v>5</v>
      </c>
      <c r="C110" s="983">
        <f t="shared" si="24"/>
        <v>183.7</v>
      </c>
      <c r="D110" s="982">
        <f t="shared" si="25"/>
        <v>29.64090165</v>
      </c>
      <c r="E110" s="982">
        <f t="shared" si="26"/>
        <v>23.26810779525</v>
      </c>
      <c r="F110" s="985">
        <f t="shared" si="27"/>
        <v>1320.2313247686736</v>
      </c>
      <c r="G110" s="982">
        <f t="shared" si="28"/>
        <v>136.31712181400866</v>
      </c>
      <c r="H110" s="982">
        <f t="shared" si="29"/>
        <v>6.6738941031454804</v>
      </c>
      <c r="I110" s="978"/>
      <c r="J110" s="986"/>
      <c r="K110" s="988"/>
      <c r="L110" s="978"/>
      <c r="M110" s="988"/>
      <c r="N110" s="988"/>
      <c r="O110" s="978"/>
      <c r="P110" s="988"/>
      <c r="Q110" s="992"/>
      <c r="R110" s="990"/>
      <c r="T110" s="991"/>
    </row>
    <row r="111" spans="1:20" ht="11.25" customHeight="1">
      <c r="A111" s="983">
        <f t="shared" si="30"/>
        <v>193.7</v>
      </c>
      <c r="B111" s="982">
        <v>5.4</v>
      </c>
      <c r="C111" s="983">
        <f t="shared" si="24"/>
        <v>182.89999999999998</v>
      </c>
      <c r="D111" s="982">
        <f t="shared" si="25"/>
        <v>31.94431543800005</v>
      </c>
      <c r="E111" s="982">
        <f t="shared" si="26"/>
        <v>25.076287618830037</v>
      </c>
      <c r="F111" s="985">
        <f t="shared" si="27"/>
        <v>1416.9719685608027</v>
      </c>
      <c r="G111" s="982">
        <f t="shared" si="28"/>
        <v>146.30583051737767</v>
      </c>
      <c r="H111" s="982">
        <f t="shared" si="29"/>
        <v>6.6601473332051766</v>
      </c>
      <c r="I111" s="978"/>
      <c r="J111" s="986"/>
      <c r="K111" s="988"/>
      <c r="L111" s="978"/>
      <c r="M111" s="988"/>
      <c r="N111" s="988"/>
      <c r="O111" s="978"/>
      <c r="P111" s="988"/>
      <c r="Q111" s="992"/>
      <c r="R111" s="990"/>
      <c r="T111" s="991"/>
    </row>
    <row r="112" spans="1:20" ht="11.25" customHeight="1">
      <c r="A112" s="983">
        <f t="shared" si="30"/>
        <v>193.7</v>
      </c>
      <c r="B112" s="982">
        <v>5.6</v>
      </c>
      <c r="C112" s="983">
        <f t="shared" si="24"/>
        <v>182.5</v>
      </c>
      <c r="D112" s="982">
        <f t="shared" si="25"/>
        <v>33.092252423999959</v>
      </c>
      <c r="E112" s="982">
        <f t="shared" si="26"/>
        <v>25.977418152839963</v>
      </c>
      <c r="F112" s="985">
        <f t="shared" si="27"/>
        <v>1464.8686779044231</v>
      </c>
      <c r="G112" s="982">
        <f t="shared" si="28"/>
        <v>151.25128321160796</v>
      </c>
      <c r="H112" s="982">
        <f t="shared" si="29"/>
        <v>6.6532858423488781</v>
      </c>
      <c r="I112" s="978"/>
      <c r="J112" s="986"/>
      <c r="K112" s="988"/>
      <c r="L112" s="978"/>
      <c r="M112" s="988"/>
      <c r="N112" s="988"/>
      <c r="O112" s="978"/>
      <c r="P112" s="988"/>
      <c r="Q112" s="992"/>
      <c r="R112" s="990"/>
      <c r="T112" s="991"/>
    </row>
    <row r="113" spans="1:30" ht="11.25" customHeight="1">
      <c r="A113" s="983">
        <f t="shared" si="30"/>
        <v>193.7</v>
      </c>
      <c r="B113" s="982">
        <v>6</v>
      </c>
      <c r="C113" s="983">
        <f t="shared" si="24"/>
        <v>181.7</v>
      </c>
      <c r="D113" s="982">
        <f t="shared" si="25"/>
        <v>35.380586579999964</v>
      </c>
      <c r="E113" s="982">
        <f t="shared" si="26"/>
        <v>27.773760465299969</v>
      </c>
      <c r="F113" s="985">
        <f t="shared" si="27"/>
        <v>1559.7217591087103</v>
      </c>
      <c r="G113" s="982">
        <f t="shared" si="28"/>
        <v>161.04509644901501</v>
      </c>
      <c r="H113" s="982">
        <f t="shared" si="29"/>
        <v>6.6395867717803077</v>
      </c>
      <c r="I113" s="978"/>
      <c r="J113" s="986"/>
      <c r="K113" s="988"/>
      <c r="L113" s="978"/>
      <c r="M113" s="988"/>
      <c r="N113" s="988"/>
      <c r="O113" s="978"/>
      <c r="P113" s="988"/>
      <c r="Q113" s="992"/>
      <c r="R113" s="990"/>
      <c r="T113" s="991"/>
    </row>
    <row r="114" spans="1:30" ht="11.25" customHeight="1">
      <c r="A114" s="983">
        <f t="shared" si="30"/>
        <v>193.7</v>
      </c>
      <c r="B114" s="982">
        <v>6.3</v>
      </c>
      <c r="C114" s="983">
        <f t="shared" si="24"/>
        <v>181.1</v>
      </c>
      <c r="D114" s="982">
        <f t="shared" si="25"/>
        <v>37.090239857999968</v>
      </c>
      <c r="E114" s="982">
        <f t="shared" si="26"/>
        <v>29.115838288529972</v>
      </c>
      <c r="F114" s="985">
        <f t="shared" si="27"/>
        <v>1630.0441794193748</v>
      </c>
      <c r="G114" s="982">
        <f t="shared" si="28"/>
        <v>168.30605879394682</v>
      </c>
      <c r="H114" s="982">
        <f t="shared" si="29"/>
        <v>6.6293334883681956</v>
      </c>
      <c r="I114" s="978"/>
      <c r="J114" s="986"/>
      <c r="K114" s="988"/>
      <c r="L114" s="978"/>
      <c r="M114" s="988"/>
      <c r="N114" s="988"/>
      <c r="O114" s="978"/>
      <c r="P114" s="988"/>
      <c r="Q114" s="992"/>
      <c r="R114" s="990"/>
      <c r="T114" s="991"/>
    </row>
    <row r="115" spans="1:30" ht="11.25" customHeight="1">
      <c r="A115" s="983">
        <f t="shared" si="30"/>
        <v>193.7</v>
      </c>
      <c r="B115" s="982">
        <v>8</v>
      </c>
      <c r="C115" s="983">
        <f t="shared" si="24"/>
        <v>177.7</v>
      </c>
      <c r="D115" s="982">
        <f t="shared" si="25"/>
        <v>46.671461039999983</v>
      </c>
      <c r="E115" s="982">
        <f t="shared" si="26"/>
        <v>36.637096916399983</v>
      </c>
      <c r="F115" s="985">
        <f t="shared" si="27"/>
        <v>2015.5356312822867</v>
      </c>
      <c r="G115" s="982">
        <f t="shared" si="28"/>
        <v>208.10899651856343</v>
      </c>
      <c r="H115" s="982">
        <f t="shared" si="29"/>
        <v>6.5715761047103465</v>
      </c>
      <c r="I115" s="978"/>
      <c r="J115" s="986"/>
      <c r="K115" s="988"/>
      <c r="L115" s="978"/>
      <c r="M115" s="988"/>
      <c r="N115" s="988"/>
      <c r="O115" s="978"/>
      <c r="P115" s="988"/>
      <c r="Q115" s="992"/>
      <c r="R115" s="990"/>
      <c r="T115" s="991"/>
    </row>
    <row r="116" spans="1:30" ht="11.25" customHeight="1">
      <c r="A116" s="981">
        <v>219.1</v>
      </c>
      <c r="B116" s="982">
        <v>3.6</v>
      </c>
      <c r="C116" s="983">
        <f t="shared" si="24"/>
        <v>211.9</v>
      </c>
      <c r="D116" s="982">
        <f t="shared" si="25"/>
        <v>24.372455219999974</v>
      </c>
      <c r="E116" s="982">
        <f t="shared" si="26"/>
        <v>19.132377347699979</v>
      </c>
      <c r="F116" s="985">
        <f t="shared" si="27"/>
        <v>1415.2234756878181</v>
      </c>
      <c r="G116" s="982">
        <f t="shared" si="28"/>
        <v>129.1851643713207</v>
      </c>
      <c r="H116" s="982">
        <f t="shared" si="29"/>
        <v>7.6201386142248078</v>
      </c>
      <c r="I116" s="978"/>
      <c r="J116" s="986"/>
      <c r="K116" s="988"/>
      <c r="L116" s="978"/>
      <c r="M116" s="988"/>
      <c r="N116" s="988"/>
      <c r="O116" s="978"/>
      <c r="P116" s="988"/>
      <c r="Q116" s="992"/>
      <c r="R116" s="990"/>
      <c r="T116" s="991"/>
    </row>
    <row r="117" spans="1:30" ht="11.25" customHeight="1">
      <c r="A117" s="983">
        <f t="shared" ref="A117:A124" si="31">A116</f>
        <v>219.1</v>
      </c>
      <c r="B117" s="982">
        <v>4</v>
      </c>
      <c r="C117" s="983">
        <f t="shared" si="24"/>
        <v>211.1</v>
      </c>
      <c r="D117" s="982">
        <f t="shared" si="25"/>
        <v>27.03024035999999</v>
      </c>
      <c r="E117" s="982">
        <f t="shared" si="26"/>
        <v>21.218738682599991</v>
      </c>
      <c r="F117" s="985">
        <f t="shared" si="27"/>
        <v>1563.8348939058042</v>
      </c>
      <c r="G117" s="982">
        <f t="shared" si="28"/>
        <v>142.75078903749923</v>
      </c>
      <c r="H117" s="982">
        <f t="shared" si="29"/>
        <v>7.60624825390284</v>
      </c>
      <c r="I117" s="978">
        <v>3000</v>
      </c>
      <c r="J117" s="986">
        <f>I117/10/H117</f>
        <v>39.441258027052569</v>
      </c>
      <c r="K117" s="988"/>
      <c r="L117" s="978"/>
      <c r="M117" s="988"/>
      <c r="N117" s="988"/>
      <c r="O117" s="978"/>
      <c r="P117" s="988"/>
      <c r="Q117" s="992"/>
      <c r="R117" s="990"/>
      <c r="T117" s="991"/>
    </row>
    <row r="118" spans="1:30" ht="11.25" customHeight="1">
      <c r="A118" s="983">
        <f t="shared" si="31"/>
        <v>219.1</v>
      </c>
      <c r="B118" s="982">
        <v>4.5</v>
      </c>
      <c r="C118" s="983">
        <f t="shared" si="24"/>
        <v>210.1</v>
      </c>
      <c r="D118" s="982">
        <f t="shared" si="25"/>
        <v>30.338334630000023</v>
      </c>
      <c r="E118" s="982">
        <f t="shared" si="26"/>
        <v>23.815592684550019</v>
      </c>
      <c r="F118" s="985">
        <f t="shared" si="27"/>
        <v>1747.2381626564847</v>
      </c>
      <c r="G118" s="982">
        <f t="shared" si="28"/>
        <v>159.49230147480463</v>
      </c>
      <c r="H118" s="982">
        <f t="shared" si="29"/>
        <v>7.5889236720367625</v>
      </c>
      <c r="I118" s="978"/>
      <c r="J118" s="986"/>
      <c r="K118" s="988"/>
      <c r="L118" s="978"/>
      <c r="M118" s="988"/>
      <c r="N118" s="988"/>
      <c r="O118" s="978"/>
      <c r="P118" s="988"/>
      <c r="Q118" s="992"/>
      <c r="R118" s="990"/>
      <c r="T118" s="991"/>
    </row>
    <row r="119" spans="1:30" ht="11.25" customHeight="1">
      <c r="A119" s="983">
        <f t="shared" si="31"/>
        <v>219.1</v>
      </c>
      <c r="B119" s="982">
        <v>5</v>
      </c>
      <c r="C119" s="983">
        <f t="shared" si="24"/>
        <v>209.1</v>
      </c>
      <c r="D119" s="982">
        <f t="shared" si="25"/>
        <v>33.630720949999997</v>
      </c>
      <c r="E119" s="982">
        <f t="shared" si="26"/>
        <v>26.400115945749995</v>
      </c>
      <c r="F119" s="985">
        <f t="shared" si="27"/>
        <v>1928.041244767275</v>
      </c>
      <c r="G119" s="982">
        <f t="shared" si="28"/>
        <v>175.99646232471702</v>
      </c>
      <c r="H119" s="982">
        <f t="shared" si="29"/>
        <v>7.5716419949704452</v>
      </c>
      <c r="I119" s="978"/>
      <c r="J119" s="986"/>
      <c r="K119" s="988"/>
      <c r="L119" s="978"/>
      <c r="M119" s="988"/>
      <c r="N119" s="988"/>
      <c r="O119" s="978"/>
      <c r="P119" s="988"/>
      <c r="Q119" s="992"/>
      <c r="R119" s="990"/>
      <c r="T119" s="991"/>
    </row>
    <row r="120" spans="1:30" ht="11.25" customHeight="1">
      <c r="A120" s="983">
        <f t="shared" si="31"/>
        <v>219.1</v>
      </c>
      <c r="B120" s="982">
        <v>5.4</v>
      </c>
      <c r="C120" s="983">
        <f t="shared" si="24"/>
        <v>208.29999999999998</v>
      </c>
      <c r="D120" s="982">
        <f t="shared" si="25"/>
        <v>36.25332028200004</v>
      </c>
      <c r="E120" s="982">
        <f t="shared" si="26"/>
        <v>28.458856421370029</v>
      </c>
      <c r="F120" s="985">
        <f t="shared" si="27"/>
        <v>2070.8281736606423</v>
      </c>
      <c r="G120" s="982">
        <f t="shared" si="28"/>
        <v>189.03041293114032</v>
      </c>
      <c r="H120" s="982">
        <f t="shared" si="29"/>
        <v>7.5578477425785717</v>
      </c>
      <c r="I120" s="978"/>
      <c r="J120" s="986"/>
      <c r="K120" s="988"/>
      <c r="L120" s="978"/>
      <c r="M120" s="988"/>
      <c r="N120" s="988"/>
      <c r="O120" s="978"/>
      <c r="P120" s="988"/>
      <c r="Q120" s="992"/>
      <c r="R120" s="990"/>
      <c r="T120" s="991"/>
    </row>
    <row r="121" spans="1:30" ht="11.25" customHeight="1">
      <c r="A121" s="983">
        <f t="shared" si="31"/>
        <v>219.1</v>
      </c>
      <c r="B121" s="982">
        <v>5.6</v>
      </c>
      <c r="C121" s="983">
        <f t="shared" si="24"/>
        <v>207.9</v>
      </c>
      <c r="D121" s="982">
        <f t="shared" si="25"/>
        <v>37.560850039999956</v>
      </c>
      <c r="E121" s="982">
        <f t="shared" si="26"/>
        <v>29.485267281399963</v>
      </c>
      <c r="F121" s="985">
        <f t="shared" si="27"/>
        <v>2141.6074562413019</v>
      </c>
      <c r="G121" s="982">
        <f t="shared" si="28"/>
        <v>195.49132416625301</v>
      </c>
      <c r="H121" s="982">
        <f t="shared" si="29"/>
        <v>7.5509610315508828</v>
      </c>
      <c r="I121" s="978"/>
      <c r="J121" s="986"/>
      <c r="K121" s="988"/>
      <c r="L121" s="978"/>
      <c r="M121" s="988"/>
      <c r="N121" s="988"/>
      <c r="O121" s="978"/>
      <c r="P121" s="988"/>
      <c r="Q121" s="992"/>
      <c r="R121" s="990"/>
      <c r="T121" s="991"/>
    </row>
    <row r="122" spans="1:30" ht="11.25" customHeight="1">
      <c r="A122" s="983">
        <f t="shared" si="31"/>
        <v>219.1</v>
      </c>
      <c r="B122" s="982">
        <v>6</v>
      </c>
      <c r="C122" s="983">
        <f t="shared" si="24"/>
        <v>207.1</v>
      </c>
      <c r="D122" s="982">
        <f t="shared" si="25"/>
        <v>40.16836974000001</v>
      </c>
      <c r="E122" s="982">
        <f t="shared" si="26"/>
        <v>31.532170245900009</v>
      </c>
      <c r="F122" s="985">
        <f t="shared" si="27"/>
        <v>2281.9455028491516</v>
      </c>
      <c r="G122" s="982">
        <f t="shared" si="28"/>
        <v>208.3017346279463</v>
      </c>
      <c r="H122" s="982">
        <f t="shared" si="29"/>
        <v>7.5372085349949014</v>
      </c>
      <c r="I122" s="978"/>
      <c r="J122" s="986"/>
      <c r="K122" s="988"/>
      <c r="L122" s="978"/>
      <c r="M122" s="988"/>
      <c r="N122" s="988"/>
      <c r="O122" s="978"/>
      <c r="P122" s="988"/>
      <c r="Q122" s="992"/>
      <c r="R122" s="990"/>
      <c r="T122" s="991"/>
    </row>
    <row r="123" spans="1:30" ht="11.25" customHeight="1">
      <c r="A123" s="983">
        <f t="shared" si="31"/>
        <v>219.1</v>
      </c>
      <c r="B123" s="982">
        <v>6.3</v>
      </c>
      <c r="C123" s="983">
        <f t="shared" si="24"/>
        <v>206.5</v>
      </c>
      <c r="D123" s="982">
        <f t="shared" si="25"/>
        <v>42.117412175999981</v>
      </c>
      <c r="E123" s="982">
        <f t="shared" si="26"/>
        <v>33.062168558159982</v>
      </c>
      <c r="F123" s="985">
        <f t="shared" si="27"/>
        <v>2386.1372428516252</v>
      </c>
      <c r="G123" s="982">
        <f t="shared" si="28"/>
        <v>217.81261915578506</v>
      </c>
      <c r="H123" s="982">
        <f t="shared" si="29"/>
        <v>7.526912547651925</v>
      </c>
      <c r="I123" s="978"/>
      <c r="J123" s="986"/>
      <c r="K123" s="988"/>
      <c r="L123" s="978"/>
      <c r="M123" s="988"/>
      <c r="N123" s="988"/>
      <c r="O123" s="978"/>
      <c r="P123" s="988"/>
      <c r="Q123" s="992"/>
      <c r="R123" s="990"/>
      <c r="T123" s="991"/>
      <c r="X123" s="1000">
        <v>42.1</v>
      </c>
      <c r="Y123" s="975">
        <v>100</v>
      </c>
      <c r="Z123" s="991">
        <f>Y123*Y123*D123</f>
        <v>421174.12175999983</v>
      </c>
      <c r="AA123" s="991">
        <f>F123+Z123</f>
        <v>423560.25900285144</v>
      </c>
      <c r="AB123" s="991">
        <f>AA123*2</f>
        <v>847120.51800570288</v>
      </c>
      <c r="AC123" s="991">
        <f>E123*4</f>
        <v>132.24867423263993</v>
      </c>
      <c r="AD123" s="991">
        <f>AC123*2/18</f>
        <v>14.694297136959992</v>
      </c>
    </row>
    <row r="124" spans="1:30" ht="11.25" customHeight="1">
      <c r="A124" s="983">
        <f t="shared" si="31"/>
        <v>219.1</v>
      </c>
      <c r="B124" s="982">
        <v>30</v>
      </c>
      <c r="C124" s="983">
        <f t="shared" si="24"/>
        <v>159.1</v>
      </c>
      <c r="D124" s="982">
        <f t="shared" si="25"/>
        <v>178.22240070000001</v>
      </c>
      <c r="E124" s="982">
        <f t="shared" si="26"/>
        <v>139.90458454949999</v>
      </c>
      <c r="F124" s="985">
        <f t="shared" si="27"/>
        <v>8166.7764062564574</v>
      </c>
      <c r="G124" s="982">
        <f t="shared" si="28"/>
        <v>745.48392571943941</v>
      </c>
      <c r="H124" s="982">
        <f t="shared" si="29"/>
        <v>6.7693066483946485</v>
      </c>
      <c r="I124" s="978"/>
      <c r="J124" s="986"/>
      <c r="K124" s="988"/>
      <c r="L124" s="978"/>
      <c r="M124" s="988"/>
      <c r="N124" s="988"/>
      <c r="O124" s="978"/>
      <c r="P124" s="988"/>
      <c r="Q124" s="992"/>
      <c r="R124" s="990"/>
      <c r="T124" s="991"/>
      <c r="W124" s="1001"/>
      <c r="X124" s="1001" t="s">
        <v>110</v>
      </c>
      <c r="Y124" s="1001" t="s">
        <v>607</v>
      </c>
      <c r="Z124" s="991"/>
      <c r="AA124" s="991"/>
      <c r="AB124" s="1002" t="s">
        <v>111</v>
      </c>
      <c r="AC124" s="1002" t="s">
        <v>599</v>
      </c>
      <c r="AD124" s="1002" t="s">
        <v>58</v>
      </c>
    </row>
    <row r="125" spans="1:30" ht="11.25" customHeight="1">
      <c r="A125" s="981">
        <v>244.5</v>
      </c>
      <c r="B125" s="982">
        <v>3.6</v>
      </c>
      <c r="C125" s="983">
        <f t="shared" si="24"/>
        <v>237.3</v>
      </c>
      <c r="D125" s="982">
        <f t="shared" si="25"/>
        <v>27.245125115999937</v>
      </c>
      <c r="E125" s="982">
        <f t="shared" si="26"/>
        <v>21.38742321605995</v>
      </c>
      <c r="F125" s="985">
        <f t="shared" si="27"/>
        <v>1976.8303326306971</v>
      </c>
      <c r="G125" s="982">
        <f t="shared" si="28"/>
        <v>161.70391268962757</v>
      </c>
      <c r="H125" s="982">
        <f t="shared" si="29"/>
        <v>8.5180521541019036</v>
      </c>
      <c r="I125" s="978"/>
      <c r="J125" s="986"/>
      <c r="K125" s="988"/>
      <c r="L125" s="978"/>
      <c r="M125" s="988"/>
      <c r="N125" s="988"/>
      <c r="O125" s="978"/>
      <c r="P125" s="988"/>
      <c r="Q125" s="992"/>
      <c r="R125" s="990"/>
      <c r="T125" s="991"/>
      <c r="Z125" s="991"/>
      <c r="AA125" s="991"/>
      <c r="AB125" s="991"/>
      <c r="AC125" s="991">
        <v>250</v>
      </c>
      <c r="AD125" s="991">
        <f>AD123*AC125/AC123</f>
        <v>27.777777777777779</v>
      </c>
    </row>
    <row r="126" spans="1:30" ht="11.25" customHeight="1">
      <c r="A126" s="983">
        <f t="shared" ref="A126:A133" si="32">A125</f>
        <v>244.5</v>
      </c>
      <c r="B126" s="982">
        <v>4</v>
      </c>
      <c r="C126" s="983">
        <f t="shared" si="24"/>
        <v>236.5</v>
      </c>
      <c r="D126" s="982">
        <f t="shared" si="25"/>
        <v>30.222095799999998</v>
      </c>
      <c r="E126" s="982">
        <f t="shared" si="26"/>
        <v>23.724345202999999</v>
      </c>
      <c r="F126" s="985">
        <f t="shared" si="27"/>
        <v>2185.6714126609395</v>
      </c>
      <c r="G126" s="982">
        <f t="shared" si="28"/>
        <v>178.78702762052677</v>
      </c>
      <c r="H126" s="982">
        <f t="shared" si="29"/>
        <v>8.5041350236223359</v>
      </c>
      <c r="I126" s="978"/>
      <c r="J126" s="986"/>
      <c r="K126" s="988"/>
      <c r="L126" s="978"/>
      <c r="M126" s="988"/>
      <c r="N126" s="988"/>
      <c r="O126" s="978"/>
      <c r="P126" s="988"/>
      <c r="Q126" s="992"/>
      <c r="R126" s="990"/>
      <c r="T126" s="991"/>
      <c r="X126" s="975">
        <f>X123*1.4</f>
        <v>58.94</v>
      </c>
      <c r="Y126" s="975" t="s">
        <v>1507</v>
      </c>
      <c r="Z126" s="991"/>
      <c r="AA126" s="991"/>
      <c r="AB126" s="991"/>
      <c r="AC126" s="991">
        <v>300</v>
      </c>
      <c r="AD126" s="991">
        <f>AD125-AD123</f>
        <v>13.083480640817786</v>
      </c>
    </row>
    <row r="127" spans="1:30" ht="11.25" customHeight="1">
      <c r="A127" s="983">
        <f t="shared" si="32"/>
        <v>244.5</v>
      </c>
      <c r="B127" s="982">
        <v>4.5</v>
      </c>
      <c r="C127" s="983">
        <f t="shared" si="24"/>
        <v>235.5</v>
      </c>
      <c r="D127" s="982">
        <f t="shared" si="25"/>
        <v>33.929172000000001</v>
      </c>
      <c r="E127" s="982">
        <f t="shared" si="26"/>
        <v>26.634400020000001</v>
      </c>
      <c r="F127" s="985">
        <f t="shared" si="27"/>
        <v>2443.7592161662501</v>
      </c>
      <c r="G127" s="982">
        <f t="shared" si="28"/>
        <v>199.8985043898773</v>
      </c>
      <c r="H127" s="982">
        <f t="shared" si="29"/>
        <v>8.4867727965346162</v>
      </c>
      <c r="I127" s="978"/>
      <c r="J127" s="986"/>
      <c r="K127" s="988"/>
      <c r="L127" s="978"/>
      <c r="M127" s="988"/>
      <c r="N127" s="988"/>
      <c r="O127" s="978"/>
      <c r="P127" s="988"/>
      <c r="Q127" s="992"/>
      <c r="R127" s="990"/>
      <c r="T127" s="991"/>
      <c r="X127" s="975">
        <f>X126*2</f>
        <v>117.88</v>
      </c>
      <c r="Y127" s="975" t="s">
        <v>240</v>
      </c>
      <c r="Z127" s="991"/>
      <c r="AA127" s="991"/>
      <c r="AB127" s="991"/>
      <c r="AC127" s="991"/>
      <c r="AD127" s="991"/>
    </row>
    <row r="128" spans="1:30" ht="11.25" customHeight="1">
      <c r="A128" s="983">
        <f t="shared" si="32"/>
        <v>244.5</v>
      </c>
      <c r="B128" s="982">
        <v>5</v>
      </c>
      <c r="C128" s="983">
        <f t="shared" si="24"/>
        <v>234.5</v>
      </c>
      <c r="D128" s="982">
        <f t="shared" si="25"/>
        <v>37.620540249999998</v>
      </c>
      <c r="E128" s="982">
        <f t="shared" si="26"/>
        <v>29.532124096249998</v>
      </c>
      <c r="F128" s="985">
        <f t="shared" si="27"/>
        <v>2698.5801342266427</v>
      </c>
      <c r="G128" s="982">
        <f t="shared" si="28"/>
        <v>220.74275126598306</v>
      </c>
      <c r="H128" s="982">
        <f t="shared" si="29"/>
        <v>8.4694487719095424</v>
      </c>
      <c r="I128" s="978"/>
      <c r="J128" s="986"/>
      <c r="K128" s="988"/>
      <c r="L128" s="978"/>
      <c r="M128" s="988"/>
      <c r="N128" s="988"/>
      <c r="O128" s="978"/>
      <c r="P128" s="988"/>
      <c r="Q128" s="992"/>
      <c r="R128" s="990"/>
      <c r="T128" s="991"/>
      <c r="X128" s="975">
        <f>X127*100/1.2</f>
        <v>9823.3333333333339</v>
      </c>
      <c r="Y128" s="975" t="s">
        <v>72</v>
      </c>
      <c r="Z128" s="991"/>
      <c r="AA128" s="991"/>
      <c r="AB128" s="991"/>
      <c r="AC128" s="991"/>
      <c r="AD128" s="991"/>
    </row>
    <row r="129" spans="1:25" ht="11.25" customHeight="1">
      <c r="A129" s="983">
        <f t="shared" si="32"/>
        <v>244.5</v>
      </c>
      <c r="B129" s="982">
        <v>5.4</v>
      </c>
      <c r="C129" s="983">
        <f t="shared" si="24"/>
        <v>233.7</v>
      </c>
      <c r="D129" s="982">
        <f t="shared" si="25"/>
        <v>40.56232512600004</v>
      </c>
      <c r="E129" s="982">
        <f t="shared" si="26"/>
        <v>31.841425223910033</v>
      </c>
      <c r="F129" s="985">
        <f t="shared" si="27"/>
        <v>2900.103319608997</v>
      </c>
      <c r="G129" s="982">
        <f t="shared" si="28"/>
        <v>237.22726540768892</v>
      </c>
      <c r="H129" s="982">
        <f t="shared" si="29"/>
        <v>8.4556172157921168</v>
      </c>
      <c r="I129" s="978"/>
      <c r="J129" s="986"/>
      <c r="K129" s="988"/>
      <c r="L129" s="978"/>
      <c r="M129" s="988"/>
      <c r="N129" s="988"/>
      <c r="O129" s="978"/>
      <c r="P129" s="988"/>
      <c r="Q129" s="992"/>
      <c r="R129" s="990"/>
      <c r="T129" s="991"/>
    </row>
    <row r="130" spans="1:25" ht="11.25" customHeight="1">
      <c r="A130" s="983">
        <f t="shared" si="32"/>
        <v>244.5</v>
      </c>
      <c r="B130" s="982">
        <v>5.6</v>
      </c>
      <c r="C130" s="983">
        <f t="shared" si="24"/>
        <v>233.3</v>
      </c>
      <c r="D130" s="982">
        <f t="shared" si="25"/>
        <v>42.029447655999945</v>
      </c>
      <c r="E130" s="982">
        <f t="shared" si="26"/>
        <v>32.993116409959953</v>
      </c>
      <c r="F130" s="985">
        <f t="shared" si="27"/>
        <v>3000.0919196667319</v>
      </c>
      <c r="G130" s="982">
        <f t="shared" si="28"/>
        <v>245.40629199727869</v>
      </c>
      <c r="H130" s="982">
        <f t="shared" si="29"/>
        <v>8.4487107004560187</v>
      </c>
      <c r="I130" s="978"/>
      <c r="J130" s="986"/>
      <c r="K130" s="988"/>
      <c r="L130" s="978"/>
      <c r="M130" s="988"/>
      <c r="N130" s="988"/>
      <c r="O130" s="978"/>
      <c r="P130" s="988"/>
      <c r="Q130" s="992"/>
      <c r="R130" s="990"/>
      <c r="T130" s="991"/>
    </row>
    <row r="131" spans="1:25" ht="11.25" customHeight="1">
      <c r="A131" s="983">
        <f t="shared" si="32"/>
        <v>244.5</v>
      </c>
      <c r="B131" s="982">
        <v>6</v>
      </c>
      <c r="C131" s="983">
        <f t="shared" si="24"/>
        <v>232.5</v>
      </c>
      <c r="D131" s="982">
        <f t="shared" si="25"/>
        <v>44.956152899999999</v>
      </c>
      <c r="E131" s="982">
        <f t="shared" si="26"/>
        <v>35.290580026500002</v>
      </c>
      <c r="F131" s="985">
        <f t="shared" si="27"/>
        <v>3198.5319372505319</v>
      </c>
      <c r="G131" s="982">
        <f t="shared" si="28"/>
        <v>261.63860427407212</v>
      </c>
      <c r="H131" s="982">
        <f t="shared" si="29"/>
        <v>8.4349162710722876</v>
      </c>
      <c r="I131" s="978"/>
      <c r="J131" s="986"/>
      <c r="K131" s="988"/>
      <c r="L131" s="978"/>
      <c r="M131" s="988"/>
      <c r="N131" s="988"/>
      <c r="O131" s="978"/>
      <c r="P131" s="988"/>
      <c r="Q131" s="992"/>
      <c r="R131" s="990"/>
      <c r="T131" s="991"/>
    </row>
    <row r="132" spans="1:25" ht="11.25" customHeight="1">
      <c r="A132" s="983">
        <f t="shared" si="32"/>
        <v>244.5</v>
      </c>
      <c r="B132" s="982">
        <v>6.3</v>
      </c>
      <c r="C132" s="983">
        <f t="shared" ref="C132:C162" si="33">A132-B132*2</f>
        <v>231.9</v>
      </c>
      <c r="D132" s="982">
        <f t="shared" ref="D132:D162" si="34">3.14159*(A132*A132-C132*C132)/400</f>
        <v>47.144584493999993</v>
      </c>
      <c r="E132" s="982">
        <f t="shared" ref="E132:E162" si="35">100*D132*7.85/1000</f>
        <v>37.008498827789992</v>
      </c>
      <c r="F132" s="985">
        <f t="shared" ref="F132:F162" si="36">3.14159*(A132*A132*A132*A132/10000-C132*C132*C132*C132/10000)/64</f>
        <v>3346.0238285798887</v>
      </c>
      <c r="G132" s="982">
        <f t="shared" ref="G132:G162" si="37">F132/A132*20</f>
        <v>273.7033806609316</v>
      </c>
      <c r="H132" s="982">
        <f t="shared" ref="H132:H162" si="38">SQRT(F132/D132)</f>
        <v>8.4245867851188994</v>
      </c>
      <c r="I132" s="978"/>
      <c r="J132" s="986"/>
      <c r="K132" s="988"/>
      <c r="L132" s="978"/>
      <c r="M132" s="988"/>
      <c r="N132" s="988"/>
      <c r="O132" s="978"/>
      <c r="P132" s="988"/>
      <c r="Q132" s="992"/>
      <c r="R132" s="990"/>
      <c r="T132" s="991"/>
    </row>
    <row r="133" spans="1:25" ht="11.25" customHeight="1">
      <c r="A133" s="983">
        <f t="shared" si="32"/>
        <v>244.5</v>
      </c>
      <c r="B133" s="982">
        <v>7.1</v>
      </c>
      <c r="C133" s="983">
        <f t="shared" si="33"/>
        <v>230.3</v>
      </c>
      <c r="D133" s="982">
        <f t="shared" si="34"/>
        <v>52.952756085999972</v>
      </c>
      <c r="E133" s="982">
        <f t="shared" si="35"/>
        <v>41.56791352750998</v>
      </c>
      <c r="F133" s="985">
        <f t="shared" si="36"/>
        <v>3733.7762750296338</v>
      </c>
      <c r="G133" s="982">
        <f t="shared" si="37"/>
        <v>305.42137219056309</v>
      </c>
      <c r="H133" s="982">
        <f t="shared" si="38"/>
        <v>8.3971103660723667</v>
      </c>
      <c r="I133" s="978"/>
      <c r="J133" s="986"/>
      <c r="K133" s="988"/>
      <c r="L133" s="978"/>
      <c r="M133" s="988"/>
      <c r="N133" s="988"/>
      <c r="O133" s="978"/>
      <c r="P133" s="988"/>
      <c r="Q133" s="992"/>
      <c r="R133" s="990"/>
      <c r="T133" s="991"/>
    </row>
    <row r="134" spans="1:25" ht="11.25" customHeight="1">
      <c r="A134" s="993">
        <v>273</v>
      </c>
      <c r="B134" s="982">
        <v>3</v>
      </c>
      <c r="C134" s="983">
        <f t="shared" si="33"/>
        <v>267</v>
      </c>
      <c r="D134" s="982">
        <f t="shared" si="34"/>
        <v>25.446878999999999</v>
      </c>
      <c r="E134" s="982">
        <f t="shared" si="35"/>
        <v>19.975800014999997</v>
      </c>
      <c r="F134" s="985">
        <f t="shared" si="36"/>
        <v>2319.1331262637473</v>
      </c>
      <c r="G134" s="982">
        <f t="shared" si="37"/>
        <v>169.89986272994486</v>
      </c>
      <c r="H134" s="996">
        <f t="shared" si="38"/>
        <v>9.5465307834835951</v>
      </c>
      <c r="I134" s="1003"/>
      <c r="J134" s="986"/>
      <c r="K134" s="988"/>
      <c r="L134" s="1003"/>
      <c r="M134" s="988"/>
      <c r="N134" s="988"/>
      <c r="O134" s="1003"/>
      <c r="P134" s="988"/>
      <c r="Q134" s="1004"/>
      <c r="R134" s="1005"/>
      <c r="T134" s="991"/>
    </row>
    <row r="135" spans="1:25" ht="11.25" customHeight="1">
      <c r="A135" s="982">
        <v>273</v>
      </c>
      <c r="B135" s="982">
        <v>3.5</v>
      </c>
      <c r="C135" s="983">
        <f t="shared" si="33"/>
        <v>266</v>
      </c>
      <c r="D135" s="982">
        <f t="shared" si="34"/>
        <v>29.633047674999997</v>
      </c>
      <c r="E135" s="982">
        <f t="shared" si="35"/>
        <v>23.261942424874995</v>
      </c>
      <c r="F135" s="985">
        <f t="shared" si="36"/>
        <v>2690.7733321639812</v>
      </c>
      <c r="G135" s="982">
        <f t="shared" si="37"/>
        <v>197.12625144058472</v>
      </c>
      <c r="H135" s="996">
        <f t="shared" si="38"/>
        <v>9.5290673730433824</v>
      </c>
      <c r="I135" s="1003"/>
      <c r="J135" s="986"/>
      <c r="K135" s="988"/>
      <c r="L135" s="1003"/>
      <c r="M135" s="988"/>
      <c r="N135" s="988"/>
      <c r="O135" s="1003"/>
      <c r="P135" s="988"/>
      <c r="Q135" s="1004"/>
      <c r="R135" s="1005"/>
      <c r="T135" s="991"/>
    </row>
    <row r="136" spans="1:25" ht="11.25" customHeight="1">
      <c r="A136" s="982">
        <f>A134</f>
        <v>273</v>
      </c>
      <c r="B136" s="982">
        <f>B134+1</f>
        <v>4</v>
      </c>
      <c r="C136" s="983">
        <f t="shared" si="33"/>
        <v>265</v>
      </c>
      <c r="D136" s="982">
        <f t="shared" si="34"/>
        <v>33.803508399999998</v>
      </c>
      <c r="E136" s="982">
        <f t="shared" si="35"/>
        <v>26.535754094000001</v>
      </c>
      <c r="F136" s="985">
        <f t="shared" si="36"/>
        <v>3058.2456593334978</v>
      </c>
      <c r="G136" s="982">
        <f t="shared" si="37"/>
        <v>224.04730105007309</v>
      </c>
      <c r="H136" s="996">
        <f t="shared" si="38"/>
        <v>9.5116376087401449</v>
      </c>
      <c r="I136" s="1003"/>
      <c r="J136" s="986"/>
      <c r="K136" s="988"/>
      <c r="L136" s="1003"/>
      <c r="M136" s="988"/>
      <c r="N136" s="988"/>
      <c r="O136" s="1003"/>
      <c r="P136" s="988"/>
      <c r="Q136" s="1004"/>
      <c r="R136" s="1005"/>
      <c r="T136" s="991"/>
    </row>
    <row r="137" spans="1:25" ht="11.25" customHeight="1">
      <c r="A137" s="982">
        <f>A135</f>
        <v>273</v>
      </c>
      <c r="B137" s="982">
        <f>B135+1</f>
        <v>4.5</v>
      </c>
      <c r="C137" s="983">
        <f t="shared" si="33"/>
        <v>264</v>
      </c>
      <c r="D137" s="982">
        <f t="shared" si="34"/>
        <v>37.958261174999997</v>
      </c>
      <c r="E137" s="982">
        <f t="shared" si="35"/>
        <v>29.797235022374995</v>
      </c>
      <c r="F137" s="985">
        <f t="shared" si="36"/>
        <v>3421.5813862277314</v>
      </c>
      <c r="G137" s="982">
        <f t="shared" si="37"/>
        <v>250.66530302034661</v>
      </c>
      <c r="H137" s="996">
        <f t="shared" si="38"/>
        <v>9.4942416758791186</v>
      </c>
      <c r="I137" s="1003"/>
      <c r="J137" s="986"/>
      <c r="K137" s="988"/>
      <c r="L137" s="1003"/>
      <c r="M137" s="988"/>
      <c r="N137" s="988"/>
      <c r="O137" s="1003"/>
      <c r="P137" s="988"/>
      <c r="Q137" s="1004"/>
      <c r="R137" s="1005"/>
      <c r="T137" s="991"/>
    </row>
    <row r="138" spans="1:25" ht="11.25" customHeight="1">
      <c r="A138" s="982">
        <f>A136</f>
        <v>273</v>
      </c>
      <c r="B138" s="982">
        <f>B136+1</f>
        <v>5</v>
      </c>
      <c r="C138" s="983">
        <f t="shared" si="33"/>
        <v>263</v>
      </c>
      <c r="D138" s="982">
        <f t="shared" si="34"/>
        <v>42.097305999999996</v>
      </c>
      <c r="E138" s="982">
        <f t="shared" si="35"/>
        <v>33.046385209999997</v>
      </c>
      <c r="F138" s="985">
        <f t="shared" si="36"/>
        <v>3780.8116734924984</v>
      </c>
      <c r="G138" s="993">
        <f t="shared" si="37"/>
        <v>276.98254018260064</v>
      </c>
      <c r="H138" s="996">
        <f t="shared" si="38"/>
        <v>9.4768797607651418</v>
      </c>
      <c r="I138" s="1003"/>
      <c r="J138" s="986"/>
      <c r="K138" s="988"/>
      <c r="L138" s="1003"/>
      <c r="M138" s="988"/>
      <c r="N138" s="988"/>
      <c r="O138" s="1003"/>
      <c r="P138" s="988"/>
      <c r="Q138" s="1004"/>
      <c r="R138" s="1005"/>
      <c r="T138" s="991"/>
    </row>
    <row r="139" spans="1:25" ht="11.25" customHeight="1">
      <c r="A139" s="982">
        <f>A138</f>
        <v>273</v>
      </c>
      <c r="B139" s="982">
        <v>5.6</v>
      </c>
      <c r="C139" s="1006">
        <f t="shared" si="33"/>
        <v>261.8</v>
      </c>
      <c r="D139" s="996">
        <f t="shared" si="34"/>
        <v>47.04342529599996</v>
      </c>
      <c r="E139" s="982">
        <f t="shared" si="35"/>
        <v>36.929088857359964</v>
      </c>
      <c r="F139" s="985">
        <f t="shared" si="36"/>
        <v>4206.5125379188703</v>
      </c>
      <c r="G139" s="982">
        <f t="shared" si="37"/>
        <v>308.16941669735314</v>
      </c>
      <c r="H139" s="996">
        <f t="shared" si="38"/>
        <v>9.4560906298533318</v>
      </c>
      <c r="I139" s="1003"/>
      <c r="J139" s="986"/>
      <c r="K139" s="988"/>
      <c r="L139" s="1003"/>
      <c r="M139" s="988"/>
      <c r="N139" s="988"/>
      <c r="O139" s="1003"/>
      <c r="P139" s="988"/>
      <c r="Q139" s="1004"/>
      <c r="R139" s="1005"/>
      <c r="T139" s="991"/>
    </row>
    <row r="140" spans="1:25" ht="11.25" customHeight="1">
      <c r="A140" s="982">
        <f t="shared" ref="A140:A146" si="39">A138</f>
        <v>273</v>
      </c>
      <c r="B140" s="982">
        <f>B138+1</f>
        <v>6</v>
      </c>
      <c r="C140" s="983">
        <f t="shared" si="33"/>
        <v>261</v>
      </c>
      <c r="D140" s="982">
        <f t="shared" si="34"/>
        <v>50.328271800000003</v>
      </c>
      <c r="E140" s="982">
        <f t="shared" si="35"/>
        <v>39.507693363000001</v>
      </c>
      <c r="F140" s="985">
        <f t="shared" si="36"/>
        <v>4487.0799826687471</v>
      </c>
      <c r="G140" s="982">
        <f t="shared" si="37"/>
        <v>328.72380825412063</v>
      </c>
      <c r="H140" s="996">
        <f t="shared" si="38"/>
        <v>9.4422587340106254</v>
      </c>
      <c r="I140" s="1003"/>
      <c r="J140" s="986"/>
      <c r="K140" s="988"/>
      <c r="L140" s="1003"/>
      <c r="M140" s="988"/>
      <c r="N140" s="988"/>
      <c r="O140" s="1003"/>
      <c r="P140" s="988"/>
      <c r="Q140" s="1004"/>
      <c r="R140" s="1005"/>
      <c r="T140" s="991"/>
    </row>
    <row r="141" spans="1:25" ht="11.25" customHeight="1">
      <c r="A141" s="993">
        <f t="shared" si="39"/>
        <v>273</v>
      </c>
      <c r="B141" s="993">
        <v>4</v>
      </c>
      <c r="C141" s="1007">
        <f t="shared" si="33"/>
        <v>265</v>
      </c>
      <c r="D141" s="993">
        <f t="shared" si="34"/>
        <v>33.803508399999998</v>
      </c>
      <c r="E141" s="993">
        <f t="shared" si="35"/>
        <v>26.535754094000001</v>
      </c>
      <c r="F141" s="998">
        <f t="shared" si="36"/>
        <v>3058.2456593334978</v>
      </c>
      <c r="G141" s="993">
        <f t="shared" si="37"/>
        <v>224.04730105007309</v>
      </c>
      <c r="H141" s="1008">
        <f t="shared" si="38"/>
        <v>9.5116376087401449</v>
      </c>
      <c r="I141" s="1003"/>
      <c r="J141" s="986"/>
      <c r="K141" s="988"/>
      <c r="L141" s="1003"/>
      <c r="M141" s="988"/>
      <c r="N141" s="988"/>
      <c r="O141" s="1003"/>
      <c r="P141" s="988"/>
      <c r="Q141" s="1004"/>
      <c r="R141" s="1005"/>
      <c r="T141" s="991"/>
      <c r="Y141" s="1009">
        <f>A141</f>
        <v>273</v>
      </c>
    </row>
    <row r="142" spans="1:25" ht="11.25" customHeight="1">
      <c r="A142" s="982">
        <f t="shared" si="39"/>
        <v>273</v>
      </c>
      <c r="B142" s="982">
        <v>6.5</v>
      </c>
      <c r="C142" s="1006">
        <f t="shared" si="33"/>
        <v>260</v>
      </c>
      <c r="D142" s="982">
        <f t="shared" si="34"/>
        <v>54.420192774999997</v>
      </c>
      <c r="E142" s="982">
        <f t="shared" si="35"/>
        <v>42.719851328374993</v>
      </c>
      <c r="F142" s="985">
        <f t="shared" si="36"/>
        <v>4834.1797368237321</v>
      </c>
      <c r="G142" s="982">
        <f t="shared" si="37"/>
        <v>354.15236167206831</v>
      </c>
      <c r="H142" s="996">
        <f t="shared" si="38"/>
        <v>9.4249999999999989</v>
      </c>
      <c r="I142" s="1003"/>
      <c r="J142" s="986"/>
      <c r="K142" s="988"/>
      <c r="L142" s="1003"/>
      <c r="M142" s="988"/>
      <c r="N142" s="988"/>
      <c r="O142" s="1003"/>
      <c r="P142" s="988"/>
      <c r="Q142" s="1004"/>
      <c r="R142" s="1005"/>
      <c r="T142" s="991"/>
      <c r="Y142" s="1009">
        <v>150</v>
      </c>
    </row>
    <row r="143" spans="1:25" ht="11.25" customHeight="1">
      <c r="A143" s="982">
        <f t="shared" si="39"/>
        <v>273</v>
      </c>
      <c r="B143" s="982">
        <v>7.1</v>
      </c>
      <c r="C143" s="1006">
        <f t="shared" si="33"/>
        <v>258.8</v>
      </c>
      <c r="D143" s="982">
        <f t="shared" si="34"/>
        <v>59.309763450999981</v>
      </c>
      <c r="E143" s="982">
        <f t="shared" si="35"/>
        <v>46.558164309034986</v>
      </c>
      <c r="F143" s="985">
        <f t="shared" si="36"/>
        <v>5245.4459269956969</v>
      </c>
      <c r="G143" s="982">
        <f t="shared" si="37"/>
        <v>384.28175289345768</v>
      </c>
      <c r="H143" s="996">
        <f t="shared" si="38"/>
        <v>9.4043354363825156</v>
      </c>
      <c r="I143" s="1003"/>
      <c r="J143" s="986"/>
      <c r="K143" s="988"/>
      <c r="L143" s="1003"/>
      <c r="M143" s="988"/>
      <c r="N143" s="988"/>
      <c r="O143" s="1003"/>
      <c r="P143" s="988"/>
      <c r="Q143" s="1004"/>
      <c r="R143" s="1005"/>
      <c r="T143" s="991"/>
      <c r="Y143" s="1009">
        <v>240</v>
      </c>
    </row>
    <row r="144" spans="1:25" ht="11.25" customHeight="1">
      <c r="A144" s="982">
        <f t="shared" si="39"/>
        <v>273</v>
      </c>
      <c r="B144" s="982">
        <f>B142+1</f>
        <v>7.5</v>
      </c>
      <c r="C144" s="983">
        <f t="shared" si="33"/>
        <v>258</v>
      </c>
      <c r="D144" s="982">
        <f t="shared" si="34"/>
        <v>62.556910874999993</v>
      </c>
      <c r="E144" s="982">
        <f t="shared" si="35"/>
        <v>49.107175036874992</v>
      </c>
      <c r="F144" s="985">
        <f t="shared" si="36"/>
        <v>5516.4638913039807</v>
      </c>
      <c r="G144" s="982">
        <f t="shared" si="37"/>
        <v>404.13654881347844</v>
      </c>
      <c r="H144" s="996">
        <f t="shared" si="38"/>
        <v>9.3905870423525677</v>
      </c>
      <c r="I144" s="1003"/>
      <c r="J144" s="986"/>
      <c r="K144" s="988"/>
      <c r="L144" s="1003"/>
      <c r="M144" s="988"/>
      <c r="N144" s="988"/>
      <c r="O144" s="1003"/>
      <c r="P144" s="988"/>
      <c r="Q144" s="1004"/>
      <c r="R144" s="1005"/>
      <c r="T144" s="991"/>
      <c r="Y144" s="1009">
        <f>SUM(Y141:Y143)</f>
        <v>663</v>
      </c>
    </row>
    <row r="145" spans="1:20" ht="11.25" customHeight="1">
      <c r="A145" s="982">
        <f t="shared" si="39"/>
        <v>273</v>
      </c>
      <c r="B145" s="982">
        <v>8</v>
      </c>
      <c r="C145" s="983">
        <f t="shared" si="33"/>
        <v>257</v>
      </c>
      <c r="D145" s="982">
        <f t="shared" si="34"/>
        <v>66.601708000000002</v>
      </c>
      <c r="E145" s="982">
        <f t="shared" si="35"/>
        <v>52.282340779999998</v>
      </c>
      <c r="F145" s="985">
        <f t="shared" si="36"/>
        <v>5851.7093170149983</v>
      </c>
      <c r="G145" s="982">
        <f t="shared" si="37"/>
        <v>428.696653261172</v>
      </c>
      <c r="H145" s="996">
        <f t="shared" si="38"/>
        <v>9.3734332024077478</v>
      </c>
      <c r="I145" s="1003"/>
      <c r="J145" s="986"/>
      <c r="K145" s="988"/>
      <c r="L145" s="1003"/>
      <c r="M145" s="988"/>
      <c r="N145" s="988"/>
      <c r="O145" s="1003"/>
      <c r="P145" s="988"/>
      <c r="Q145" s="1004"/>
      <c r="R145" s="1005"/>
      <c r="T145" s="991"/>
    </row>
    <row r="146" spans="1:20" ht="11.25" customHeight="1">
      <c r="A146" s="982">
        <f t="shared" si="39"/>
        <v>273</v>
      </c>
      <c r="B146" s="982">
        <f>B144+1</f>
        <v>8.5</v>
      </c>
      <c r="C146" s="983">
        <f t="shared" si="33"/>
        <v>256</v>
      </c>
      <c r="D146" s="982">
        <f t="shared" si="34"/>
        <v>70.630797174999998</v>
      </c>
      <c r="E146" s="982">
        <f t="shared" si="35"/>
        <v>55.445175782374996</v>
      </c>
      <c r="F146" s="985">
        <f t="shared" si="36"/>
        <v>6183.0641289477308</v>
      </c>
      <c r="G146" s="982">
        <f t="shared" si="37"/>
        <v>452.97173105844183</v>
      </c>
      <c r="H146" s="996">
        <f t="shared" si="38"/>
        <v>9.3563147125350561</v>
      </c>
      <c r="I146" s="1003"/>
      <c r="J146" s="986"/>
      <c r="K146" s="988"/>
      <c r="L146" s="1003"/>
      <c r="M146" s="988"/>
      <c r="N146" s="988"/>
      <c r="O146" s="1003"/>
      <c r="P146" s="988"/>
      <c r="Q146" s="1004"/>
      <c r="R146" s="1005"/>
      <c r="T146" s="991"/>
    </row>
    <row r="147" spans="1:20" ht="11.25" customHeight="1">
      <c r="A147" s="982">
        <f>A146</f>
        <v>273</v>
      </c>
      <c r="B147" s="982">
        <v>10</v>
      </c>
      <c r="C147" s="983">
        <f t="shared" si="33"/>
        <v>253</v>
      </c>
      <c r="D147" s="982">
        <f t="shared" si="34"/>
        <v>82.623817000000003</v>
      </c>
      <c r="E147" s="982">
        <f t="shared" si="35"/>
        <v>64.859696345000003</v>
      </c>
      <c r="F147" s="985">
        <f t="shared" si="36"/>
        <v>7154.0864747162477</v>
      </c>
      <c r="G147" s="982">
        <f t="shared" si="37"/>
        <v>524.1088992466116</v>
      </c>
      <c r="H147" s="996">
        <f t="shared" si="38"/>
        <v>9.3051732923143327</v>
      </c>
      <c r="I147" s="1003"/>
      <c r="J147" s="986"/>
      <c r="K147" s="988"/>
      <c r="L147" s="1003"/>
      <c r="M147" s="988"/>
      <c r="N147" s="988"/>
      <c r="O147" s="1003"/>
      <c r="P147" s="988"/>
      <c r="Q147" s="1004"/>
      <c r="R147" s="1005"/>
      <c r="T147" s="991"/>
    </row>
    <row r="148" spans="1:20" ht="11.25" customHeight="1">
      <c r="A148" s="993">
        <v>323.89999999999998</v>
      </c>
      <c r="B148" s="982">
        <v>6</v>
      </c>
      <c r="C148" s="983">
        <f t="shared" si="33"/>
        <v>311.89999999999998</v>
      </c>
      <c r="D148" s="982">
        <f t="shared" si="34"/>
        <v>59.922687660000044</v>
      </c>
      <c r="E148" s="982">
        <f t="shared" si="35"/>
        <v>47.03930981310004</v>
      </c>
      <c r="F148" s="985">
        <f t="shared" si="36"/>
        <v>7572.4607499716221</v>
      </c>
      <c r="G148" s="982">
        <f t="shared" si="37"/>
        <v>467.58016362899804</v>
      </c>
      <c r="H148" s="982">
        <f t="shared" si="38"/>
        <v>11.241463983841244</v>
      </c>
      <c r="I148" s="1003"/>
      <c r="J148" s="986"/>
      <c r="K148" s="988"/>
      <c r="L148" s="1003"/>
      <c r="M148" s="988"/>
      <c r="N148" s="988"/>
      <c r="O148" s="1003"/>
      <c r="P148" s="988"/>
      <c r="Q148" s="1004"/>
      <c r="R148" s="1005"/>
      <c r="T148" s="991"/>
    </row>
    <row r="149" spans="1:20" ht="11.25" customHeight="1">
      <c r="A149" s="982">
        <f>A148</f>
        <v>323.89999999999998</v>
      </c>
      <c r="B149" s="982">
        <v>7.5</v>
      </c>
      <c r="C149" s="983">
        <f t="shared" si="33"/>
        <v>308.89999999999998</v>
      </c>
      <c r="D149" s="982">
        <f t="shared" si="34"/>
        <v>74.54993069999999</v>
      </c>
      <c r="E149" s="982">
        <f t="shared" si="35"/>
        <v>58.521695599499985</v>
      </c>
      <c r="F149" s="985">
        <f t="shared" si="36"/>
        <v>9334.1368300636786</v>
      </c>
      <c r="G149" s="982">
        <f t="shared" si="37"/>
        <v>576.35917444048653</v>
      </c>
      <c r="H149" s="982">
        <f t="shared" si="38"/>
        <v>11.189571595910182</v>
      </c>
      <c r="I149" s="978"/>
      <c r="J149" s="986"/>
      <c r="K149" s="988"/>
      <c r="L149" s="978"/>
      <c r="M149" s="988">
        <f>D156/D154</f>
        <v>1.8277153558052432</v>
      </c>
      <c r="N149" s="988"/>
      <c r="O149" s="978"/>
      <c r="P149" s="988"/>
      <c r="Q149" s="992"/>
      <c r="R149" s="990"/>
      <c r="T149" s="991"/>
    </row>
    <row r="150" spans="1:20" ht="11.25" customHeight="1">
      <c r="A150" s="982">
        <f>A149</f>
        <v>323.89999999999998</v>
      </c>
      <c r="B150" s="982">
        <v>36</v>
      </c>
      <c r="C150" s="983">
        <f t="shared" si="33"/>
        <v>251.89999999999998</v>
      </c>
      <c r="D150" s="982">
        <f t="shared" si="34"/>
        <v>325.60695396000006</v>
      </c>
      <c r="E150" s="982">
        <f t="shared" si="35"/>
        <v>255.60145885860004</v>
      </c>
      <c r="F150" s="985">
        <f t="shared" si="36"/>
        <v>34262.972621389796</v>
      </c>
      <c r="G150" s="982">
        <f t="shared" si="37"/>
        <v>2115.6512887551589</v>
      </c>
      <c r="H150" s="982">
        <f t="shared" si="38"/>
        <v>10.258070603188493</v>
      </c>
      <c r="I150" s="978"/>
      <c r="J150" s="986"/>
      <c r="K150" s="988"/>
      <c r="L150" s="978"/>
      <c r="M150" s="988"/>
      <c r="N150" s="988"/>
      <c r="O150" s="978"/>
      <c r="P150" s="988"/>
      <c r="Q150" s="992"/>
      <c r="R150" s="990"/>
      <c r="T150" s="991"/>
    </row>
    <row r="151" spans="1:20" ht="11.25" customHeight="1">
      <c r="A151" s="982">
        <v>355.6</v>
      </c>
      <c r="B151" s="982">
        <v>6</v>
      </c>
      <c r="C151" s="983">
        <f t="shared" si="33"/>
        <v>343.6</v>
      </c>
      <c r="D151" s="982">
        <f t="shared" si="34"/>
        <v>65.897991839999946</v>
      </c>
      <c r="E151" s="982">
        <f t="shared" si="35"/>
        <v>51.729923594399956</v>
      </c>
      <c r="F151" s="985">
        <f t="shared" si="36"/>
        <v>10070.544292587185</v>
      </c>
      <c r="G151" s="982">
        <f t="shared" si="37"/>
        <v>566.39731679342992</v>
      </c>
      <c r="H151" s="982">
        <f t="shared" si="38"/>
        <v>12.362046756099913</v>
      </c>
      <c r="I151" s="1524">
        <v>1500</v>
      </c>
      <c r="J151" s="1387">
        <f>I151/H151</f>
        <v>121.33913012906555</v>
      </c>
      <c r="K151" s="1656">
        <v>2.5499999999999998</v>
      </c>
      <c r="L151" s="978">
        <v>3</v>
      </c>
      <c r="M151" s="988">
        <f>L151*K151/D151</f>
        <v>0.1160885147847019</v>
      </c>
      <c r="N151" s="988">
        <f>500/G151</f>
        <v>0.88277254354005774</v>
      </c>
      <c r="O151" s="1655">
        <f>SUM(M151:N151)</f>
        <v>0.99886105832475969</v>
      </c>
      <c r="P151" s="988">
        <v>7.5</v>
      </c>
      <c r="Q151" s="992">
        <f>P151*E151</f>
        <v>387.9744269579997</v>
      </c>
      <c r="R151" s="990"/>
      <c r="T151" s="991"/>
    </row>
    <row r="152" spans="1:20" ht="11.25" customHeight="1">
      <c r="A152" s="982">
        <v>355.6</v>
      </c>
      <c r="B152" s="982">
        <v>10</v>
      </c>
      <c r="C152" s="983">
        <f t="shared" si="33"/>
        <v>335.6</v>
      </c>
      <c r="D152" s="982">
        <f t="shared" si="34"/>
        <v>108.5733504</v>
      </c>
      <c r="E152" s="982">
        <f t="shared" si="35"/>
        <v>85.230080063999992</v>
      </c>
      <c r="F152" s="985">
        <f t="shared" si="36"/>
        <v>16223.486024839684</v>
      </c>
      <c r="G152" s="982">
        <f t="shared" si="37"/>
        <v>912.45703176826112</v>
      </c>
      <c r="H152" s="982">
        <f t="shared" si="38"/>
        <v>12.223919175125465</v>
      </c>
      <c r="I152" s="978"/>
      <c r="J152" s="986"/>
      <c r="K152" s="988"/>
      <c r="L152" s="978"/>
      <c r="M152" s="988"/>
      <c r="N152" s="988"/>
      <c r="O152" s="978"/>
      <c r="P152" s="988"/>
      <c r="Q152" s="992"/>
      <c r="R152" s="990"/>
      <c r="T152" s="991"/>
    </row>
    <row r="153" spans="1:20" ht="11.25" customHeight="1">
      <c r="A153" s="1010">
        <v>406.4</v>
      </c>
      <c r="B153" s="982">
        <v>15</v>
      </c>
      <c r="C153" s="983">
        <f t="shared" si="33"/>
        <v>376.4</v>
      </c>
      <c r="D153" s="982">
        <f t="shared" si="34"/>
        <v>184.4427489</v>
      </c>
      <c r="E153" s="982">
        <f t="shared" si="35"/>
        <v>144.7875578865</v>
      </c>
      <c r="F153" s="985">
        <f t="shared" si="36"/>
        <v>35371.268394723927</v>
      </c>
      <c r="G153" s="982">
        <f t="shared" si="37"/>
        <v>1740.7120272994061</v>
      </c>
      <c r="H153" s="982">
        <f t="shared" si="38"/>
        <v>13.848238155086733</v>
      </c>
      <c r="I153" s="1524">
        <v>8000</v>
      </c>
      <c r="J153" s="1387">
        <f t="shared" ref="J153:J159" si="40">I153/10/H153</f>
        <v>57.76908160018494</v>
      </c>
      <c r="K153" s="1004">
        <v>150</v>
      </c>
      <c r="L153" s="1526">
        <v>1.33</v>
      </c>
      <c r="M153" s="1004">
        <f t="shared" ref="M153:M159" si="41">L153*K153</f>
        <v>199.5</v>
      </c>
      <c r="N153" s="1384">
        <f t="shared" ref="N153:N159" si="42">M153/E153</f>
        <v>1.3778808270002694</v>
      </c>
      <c r="O153" s="1011">
        <f>E153*I153/1000</f>
        <v>1158.300463092</v>
      </c>
      <c r="P153" s="988"/>
      <c r="Q153" s="992"/>
      <c r="R153" s="990"/>
      <c r="T153" s="991"/>
    </row>
    <row r="154" spans="1:20" ht="11.25" customHeight="1">
      <c r="A154" s="1385">
        <v>457</v>
      </c>
      <c r="B154" s="982">
        <v>12</v>
      </c>
      <c r="C154" s="983">
        <f t="shared" si="33"/>
        <v>433</v>
      </c>
      <c r="D154" s="982">
        <f t="shared" si="34"/>
        <v>167.76090600000001</v>
      </c>
      <c r="E154" s="982">
        <f t="shared" si="35"/>
        <v>131.69231120999999</v>
      </c>
      <c r="F154" s="985">
        <f t="shared" si="36"/>
        <v>41556.263726392513</v>
      </c>
      <c r="G154" s="982">
        <f t="shared" si="37"/>
        <v>1818.6548676758212</v>
      </c>
      <c r="H154" s="982">
        <f t="shared" si="38"/>
        <v>15.738845256244185</v>
      </c>
      <c r="I154" s="1524">
        <f>I153</f>
        <v>8000</v>
      </c>
      <c r="J154" s="1387">
        <f t="shared" si="40"/>
        <v>50.829650268186626</v>
      </c>
      <c r="K154" s="1004">
        <f>K153</f>
        <v>150</v>
      </c>
      <c r="L154" s="1526">
        <v>1.27</v>
      </c>
      <c r="M154" s="1004">
        <f t="shared" si="41"/>
        <v>190.5</v>
      </c>
      <c r="N154" s="1384">
        <f t="shared" si="42"/>
        <v>1.4465536996782125</v>
      </c>
      <c r="O154" s="978"/>
      <c r="P154" s="988"/>
      <c r="Q154" s="989">
        <f>8750/3</f>
        <v>2916.6666666666665</v>
      </c>
      <c r="R154" s="990">
        <f>Q154*E154/1000</f>
        <v>384.10257436249992</v>
      </c>
      <c r="S154" s="975">
        <v>550</v>
      </c>
      <c r="T154" s="991">
        <f>S154*R154</f>
        <v>211256.41589937496</v>
      </c>
    </row>
    <row r="155" spans="1:20" ht="11.25" customHeight="1">
      <c r="A155" s="1385">
        <v>457</v>
      </c>
      <c r="B155" s="982">
        <f>B154*1.3</f>
        <v>15.600000000000001</v>
      </c>
      <c r="C155" s="983">
        <f t="shared" si="33"/>
        <v>425.8</v>
      </c>
      <c r="D155" s="982">
        <f t="shared" si="34"/>
        <v>216.32486085599987</v>
      </c>
      <c r="E155" s="982">
        <f t="shared" si="35"/>
        <v>169.81501577195988</v>
      </c>
      <c r="F155" s="985">
        <f t="shared" si="36"/>
        <v>52750.09263145172</v>
      </c>
      <c r="G155" s="982">
        <f t="shared" si="37"/>
        <v>2308.5379707418697</v>
      </c>
      <c r="H155" s="982">
        <f t="shared" si="38"/>
        <v>15.615589966440591</v>
      </c>
      <c r="I155" s="1524">
        <f>I153</f>
        <v>8000</v>
      </c>
      <c r="J155" s="1387">
        <f t="shared" si="40"/>
        <v>51.230853379172807</v>
      </c>
      <c r="K155" s="1004">
        <f>K154</f>
        <v>150</v>
      </c>
      <c r="L155" s="1526">
        <v>1.21</v>
      </c>
      <c r="M155" s="1004">
        <f t="shared" si="41"/>
        <v>181.5</v>
      </c>
      <c r="N155" s="1384">
        <f t="shared" si="42"/>
        <v>1.0688100765113233</v>
      </c>
      <c r="O155" s="978"/>
      <c r="P155" s="988"/>
      <c r="Q155" s="989">
        <f>Q154*2</f>
        <v>5833.333333333333</v>
      </c>
      <c r="R155" s="990">
        <f>Q155*E155/1000</f>
        <v>990.5875920030993</v>
      </c>
      <c r="S155" s="975">
        <v>500</v>
      </c>
      <c r="T155" s="991">
        <f>S155*R155</f>
        <v>495293.79600154964</v>
      </c>
    </row>
    <row r="156" spans="1:20" ht="11.25" customHeight="1">
      <c r="A156" s="1385">
        <v>508</v>
      </c>
      <c r="B156" s="982">
        <v>20</v>
      </c>
      <c r="C156" s="983">
        <f t="shared" si="33"/>
        <v>468</v>
      </c>
      <c r="D156" s="982">
        <f t="shared" si="34"/>
        <v>306.61918399999996</v>
      </c>
      <c r="E156" s="982">
        <f t="shared" si="35"/>
        <v>240.69605943999994</v>
      </c>
      <c r="F156" s="985">
        <f t="shared" si="36"/>
        <v>91427.70828512001</v>
      </c>
      <c r="G156" s="982">
        <f t="shared" si="37"/>
        <v>3599.516074217323</v>
      </c>
      <c r="H156" s="982">
        <f t="shared" si="38"/>
        <v>17.267889274604471</v>
      </c>
      <c r="I156" s="1524">
        <f>I155</f>
        <v>8000</v>
      </c>
      <c r="J156" s="1387">
        <f t="shared" si="40"/>
        <v>46.328765912145585</v>
      </c>
      <c r="K156" s="1004">
        <f>K155</f>
        <v>150</v>
      </c>
      <c r="L156" s="1526">
        <f>L155</f>
        <v>1.21</v>
      </c>
      <c r="M156" s="1004">
        <f t="shared" si="41"/>
        <v>181.5</v>
      </c>
      <c r="N156" s="1384">
        <f t="shared" si="42"/>
        <v>0.75406303045540235</v>
      </c>
      <c r="O156" s="978"/>
      <c r="P156" s="988"/>
      <c r="Q156" s="992"/>
      <c r="R156" s="992"/>
      <c r="T156" s="991"/>
    </row>
    <row r="157" spans="1:20" ht="11.25" customHeight="1">
      <c r="A157" s="1385">
        <v>610</v>
      </c>
      <c r="B157" s="982">
        <v>20</v>
      </c>
      <c r="C157" s="983">
        <f t="shared" ref="C157" si="43">A157-B157*2</f>
        <v>570</v>
      </c>
      <c r="D157" s="982">
        <f t="shared" ref="D157" si="44">3.14159*(A157*A157-C157*C157)/400</f>
        <v>370.70761999999996</v>
      </c>
      <c r="E157" s="982">
        <f t="shared" ref="E157" si="45">100*D157*7.85/1000</f>
        <v>291.00548169999996</v>
      </c>
      <c r="F157" s="985">
        <f t="shared" ref="F157" si="46">3.14159*(A157*A157*A157*A157/10000-C157*C157*C157*C157/10000)/64</f>
        <v>161489.50696249999</v>
      </c>
      <c r="G157" s="982">
        <f t="shared" ref="G157" si="47">F157/A157*20</f>
        <v>5294.7379331967204</v>
      </c>
      <c r="H157" s="982">
        <f t="shared" ref="H157" si="48">SQRT(F157/D157)</f>
        <v>20.871631464741803</v>
      </c>
      <c r="I157" s="1524">
        <f>I156</f>
        <v>8000</v>
      </c>
      <c r="J157" s="1387">
        <f t="shared" ref="J157" si="49">I157/10/H157</f>
        <v>38.329538414446922</v>
      </c>
      <c r="K157" s="1004">
        <f>K156</f>
        <v>150</v>
      </c>
      <c r="L157" s="1526">
        <f>L156</f>
        <v>1.21</v>
      </c>
      <c r="M157" s="1004">
        <f t="shared" ref="M157" si="50">L157*K157</f>
        <v>181.5</v>
      </c>
      <c r="N157" s="1384">
        <f t="shared" ref="N157" si="51">M157/E157</f>
        <v>0.62369959129192587</v>
      </c>
      <c r="O157" s="978"/>
      <c r="P157" s="988"/>
      <c r="Q157" s="992"/>
      <c r="R157" s="992"/>
      <c r="T157" s="991"/>
    </row>
    <row r="158" spans="1:20" ht="11.25" customHeight="1">
      <c r="A158" s="1385">
        <v>711</v>
      </c>
      <c r="B158" s="982">
        <v>8</v>
      </c>
      <c r="C158" s="983">
        <f>A158-B158*2</f>
        <v>695</v>
      </c>
      <c r="D158" s="982">
        <f>3.14159*(A158*A158-C158*C158)/400</f>
        <v>176.68302159999999</v>
      </c>
      <c r="E158" s="982">
        <f t="shared" si="35"/>
        <v>138.69617195599997</v>
      </c>
      <c r="F158" s="985">
        <f>3.14159*(A158*A158*A158*A158/10000-C158*C158*C158*C158/10000)/64</f>
        <v>109162.05891912096</v>
      </c>
      <c r="G158" s="982">
        <f>F158/A158*20</f>
        <v>3070.6626981468621</v>
      </c>
      <c r="H158" s="982">
        <f>SQRT(F158/D158)</f>
        <v>24.856412653478372</v>
      </c>
      <c r="I158" s="1524">
        <f>I155</f>
        <v>8000</v>
      </c>
      <c r="J158" s="1387">
        <f t="shared" si="40"/>
        <v>32.184853508539135</v>
      </c>
      <c r="K158" s="1004">
        <f>K156</f>
        <v>150</v>
      </c>
      <c r="L158" s="1526">
        <v>1.21</v>
      </c>
      <c r="M158" s="1004">
        <f t="shared" si="41"/>
        <v>181.5</v>
      </c>
      <c r="N158" s="1384">
        <f t="shared" si="42"/>
        <v>1.3086157854275828</v>
      </c>
      <c r="O158" s="978"/>
      <c r="P158" s="988"/>
      <c r="Q158" s="989">
        <f>Q156*2</f>
        <v>0</v>
      </c>
      <c r="R158" s="990">
        <f>Q158*E158/1000</f>
        <v>0</v>
      </c>
      <c r="S158" s="975">
        <v>500</v>
      </c>
      <c r="T158" s="991">
        <f>S158*R158</f>
        <v>0</v>
      </c>
    </row>
    <row r="159" spans="1:20" ht="11.25" customHeight="1">
      <c r="A159" s="1385">
        <v>800</v>
      </c>
      <c r="B159" s="982">
        <v>40</v>
      </c>
      <c r="C159" s="983">
        <f>A159-B159*2</f>
        <v>720</v>
      </c>
      <c r="D159" s="982">
        <f>3.14159*(A159*A159-C159*C159)/400</f>
        <v>955.04336000000001</v>
      </c>
      <c r="E159" s="982">
        <f t="shared" si="35"/>
        <v>749.70903759999987</v>
      </c>
      <c r="F159" s="985">
        <f>3.14159*(A159*A159*A159*A159/10000-C159*C159*C159*C159/10000)/64</f>
        <v>691451.39263999998</v>
      </c>
      <c r="G159" s="982">
        <f>F159/A159*20</f>
        <v>17286.284815999999</v>
      </c>
      <c r="H159" s="982">
        <f>SQRT(F159/D159)</f>
        <v>26.90724809414742</v>
      </c>
      <c r="I159" s="1524">
        <f>I158</f>
        <v>8000</v>
      </c>
      <c r="J159" s="1387">
        <f t="shared" si="40"/>
        <v>29.731765849886653</v>
      </c>
      <c r="K159" s="1004">
        <f>K158</f>
        <v>150</v>
      </c>
      <c r="L159" s="1526">
        <f>L158</f>
        <v>1.21</v>
      </c>
      <c r="M159" s="1004">
        <f t="shared" si="41"/>
        <v>181.5</v>
      </c>
      <c r="N159" s="1384">
        <f t="shared" si="42"/>
        <v>0.24209392030410282</v>
      </c>
      <c r="O159" s="978"/>
      <c r="P159" s="988"/>
      <c r="Q159" s="992"/>
      <c r="R159" s="992"/>
      <c r="T159" s="991"/>
    </row>
    <row r="160" spans="1:20" ht="11.25" customHeight="1">
      <c r="A160" s="1385"/>
      <c r="B160" s="982"/>
      <c r="C160" s="983"/>
      <c r="D160" s="982"/>
      <c r="E160" s="982"/>
      <c r="F160" s="985"/>
      <c r="G160" s="982"/>
      <c r="H160" s="982"/>
      <c r="I160" s="1524"/>
      <c r="J160" s="1387"/>
      <c r="K160" s="1004"/>
      <c r="L160" s="1526"/>
      <c r="M160" s="1004"/>
      <c r="N160" s="1384"/>
      <c r="O160" s="978"/>
      <c r="P160" s="988"/>
      <c r="Q160" s="992"/>
      <c r="R160" s="992"/>
      <c r="T160" s="991"/>
    </row>
    <row r="161" spans="1:20" ht="11.25" customHeight="1">
      <c r="A161" s="1386">
        <v>1750</v>
      </c>
      <c r="B161" s="983">
        <v>15</v>
      </c>
      <c r="C161" s="983">
        <f t="shared" si="33"/>
        <v>1720</v>
      </c>
      <c r="D161" s="982">
        <f t="shared" si="34"/>
        <v>817.59879749999993</v>
      </c>
      <c r="E161" s="982">
        <f t="shared" si="35"/>
        <v>641.81505603749997</v>
      </c>
      <c r="F161" s="985">
        <f t="shared" si="36"/>
        <v>3076675.3749173437</v>
      </c>
      <c r="G161" s="985">
        <f t="shared" si="37"/>
        <v>35162.004284769639</v>
      </c>
      <c r="H161" s="982">
        <f t="shared" si="38"/>
        <v>61.343805718263035</v>
      </c>
      <c r="I161" s="1524">
        <v>6500</v>
      </c>
      <c r="J161" s="1387">
        <f>I161/10/H161</f>
        <v>10.596016865749895</v>
      </c>
      <c r="K161" s="1004"/>
      <c r="L161" s="1526">
        <v>2.13</v>
      </c>
      <c r="M161" s="1004">
        <f>1400*$D161/L161/1000</f>
        <v>537.38888098591553</v>
      </c>
      <c r="N161" s="1384">
        <f>M161/E161</f>
        <v>0.83729553542059154</v>
      </c>
      <c r="O161" s="1524">
        <f>2*I161/100*E161</f>
        <v>83435.957284874996</v>
      </c>
      <c r="P161" s="1525" t="s">
        <v>2509</v>
      </c>
      <c r="Q161" s="992"/>
      <c r="R161" s="992"/>
      <c r="T161" s="991"/>
    </row>
    <row r="162" spans="1:20">
      <c r="A162" s="1012">
        <v>48</v>
      </c>
      <c r="B162" s="983">
        <v>3</v>
      </c>
      <c r="C162" s="983">
        <f t="shared" si="33"/>
        <v>42</v>
      </c>
      <c r="D162" s="982">
        <f t="shared" si="34"/>
        <v>4.2411465000000002</v>
      </c>
      <c r="E162" s="982">
        <f t="shared" si="35"/>
        <v>3.3293000025000001</v>
      </c>
      <c r="F162" s="985">
        <f t="shared" si="36"/>
        <v>10.783114976249998</v>
      </c>
      <c r="G162" s="985">
        <f t="shared" si="37"/>
        <v>4.492964573437499</v>
      </c>
      <c r="H162" s="1013">
        <f t="shared" si="38"/>
        <v>1.5945218719101972</v>
      </c>
      <c r="K162" s="991"/>
      <c r="N162" s="995"/>
      <c r="O162" s="1524"/>
    </row>
    <row r="163" spans="1:20">
      <c r="E163" s="1000">
        <f>E161*10</f>
        <v>6418.1505603749993</v>
      </c>
      <c r="O163" s="1524"/>
    </row>
    <row r="164" spans="1:20">
      <c r="E164" s="1000">
        <v>150</v>
      </c>
      <c r="O164" s="1524">
        <v>165</v>
      </c>
      <c r="P164" s="975">
        <v>418</v>
      </c>
      <c r="Q164" s="975">
        <v>8</v>
      </c>
      <c r="R164" s="975">
        <f>Q164*P164</f>
        <v>3344</v>
      </c>
    </row>
    <row r="165" spans="1:20">
      <c r="E165" s="1000">
        <v>750</v>
      </c>
      <c r="O165" s="1524">
        <v>4</v>
      </c>
      <c r="R165" s="975">
        <v>3101</v>
      </c>
      <c r="S165" s="975">
        <f>R165/2</f>
        <v>1550.5</v>
      </c>
    </row>
    <row r="166" spans="1:20" ht="14.25">
      <c r="A166" s="978" t="s">
        <v>228</v>
      </c>
      <c r="B166" s="978" t="s">
        <v>229</v>
      </c>
      <c r="C166" s="978" t="s">
        <v>230</v>
      </c>
      <c r="D166" s="979" t="s">
        <v>1874</v>
      </c>
      <c r="E166" s="979" t="s">
        <v>1873</v>
      </c>
      <c r="F166" s="980" t="s">
        <v>242</v>
      </c>
      <c r="G166" s="979" t="s">
        <v>98</v>
      </c>
      <c r="H166" s="979" t="s">
        <v>205</v>
      </c>
      <c r="I166" s="978" t="s">
        <v>231</v>
      </c>
      <c r="J166" s="975" t="s">
        <v>241</v>
      </c>
      <c r="O166" s="1524">
        <f>O164/O165</f>
        <v>41.25</v>
      </c>
      <c r="R166" s="975">
        <f>R164-R165</f>
        <v>243</v>
      </c>
    </row>
    <row r="167" spans="1:20">
      <c r="A167" s="1010">
        <v>1500</v>
      </c>
      <c r="B167" s="982">
        <v>20</v>
      </c>
      <c r="C167" s="983">
        <f>A167-B167*2</f>
        <v>1460</v>
      </c>
      <c r="D167" s="982">
        <f>3.14159*(A167*A167-C167*C167)/400</f>
        <v>929.91063999999994</v>
      </c>
      <c r="E167" s="982">
        <f>100*D167*7.85/1000</f>
        <v>729.97985240000003</v>
      </c>
      <c r="F167" s="985">
        <v>12</v>
      </c>
      <c r="G167" s="982">
        <f>F167*E167</f>
        <v>8759.7582288000012</v>
      </c>
      <c r="H167" s="982"/>
      <c r="I167" s="1014"/>
      <c r="O167" s="1524"/>
    </row>
    <row r="168" spans="1:20">
      <c r="A168" s="1010">
        <v>1200</v>
      </c>
      <c r="B168" s="982">
        <v>40</v>
      </c>
      <c r="C168" s="983">
        <f>A168-B168*2</f>
        <v>1120</v>
      </c>
      <c r="D168" s="982">
        <f>3.14159*(A168*A168-C168*C168)/400</f>
        <v>1457.6977599999998</v>
      </c>
      <c r="E168" s="982">
        <f>100*D168*7.85/1000</f>
        <v>1144.2927415999998</v>
      </c>
      <c r="F168" s="985"/>
      <c r="G168" s="982"/>
      <c r="H168" s="982"/>
      <c r="O168" s="1524"/>
    </row>
    <row r="169" spans="1:20">
      <c r="A169" s="1010">
        <v>900</v>
      </c>
      <c r="B169" s="982">
        <v>40</v>
      </c>
      <c r="C169" s="983">
        <f>A169-B169*2</f>
        <v>820</v>
      </c>
      <c r="D169" s="982">
        <f>3.14159*(A169*A169-C169*C169)/400</f>
        <v>1080.70696</v>
      </c>
      <c r="E169" s="982">
        <f>100*D169*7.85/1000</f>
        <v>848.35496359999991</v>
      </c>
      <c r="F169" s="985"/>
      <c r="G169" s="982"/>
      <c r="H169" s="982"/>
    </row>
    <row r="170" spans="1:20">
      <c r="A170" s="1010">
        <v>350</v>
      </c>
      <c r="B170" s="982">
        <v>20</v>
      </c>
      <c r="C170" s="983">
        <f>A170-B170*2</f>
        <v>310</v>
      </c>
      <c r="D170" s="982">
        <f>3.14159*(A170*A170-C170*C170)/400</f>
        <v>207.34493999999998</v>
      </c>
      <c r="E170" s="982">
        <f>100*D170*7.85/1000</f>
        <v>162.76577789999999</v>
      </c>
      <c r="F170" s="985"/>
      <c r="G170" s="982"/>
      <c r="H170" s="982"/>
    </row>
    <row r="173" spans="1:20">
      <c r="H173" s="1000">
        <f>D158</f>
        <v>176.68302159999999</v>
      </c>
    </row>
    <row r="174" spans="1:20">
      <c r="H174" s="1000">
        <f>H173/2</f>
        <v>88.341510799999995</v>
      </c>
    </row>
    <row r="175" spans="1:20">
      <c r="H175" s="1000">
        <v>25</v>
      </c>
    </row>
    <row r="176" spans="1:20">
      <c r="H176" s="1000">
        <f>H174/H175</f>
        <v>3.5336604319999996</v>
      </c>
    </row>
  </sheetData>
  <phoneticPr fontId="68" type="noConversion"/>
  <pageMargins left="0.75" right="0.75" top="1" bottom="1" header="0.5" footer="0.5"/>
  <pageSetup paperSize="9" orientation="portrait" horizontalDpi="300" verticalDpi="300" r:id="rId1"/>
  <headerFooter alignWithMargins="0">
    <oddHeader>&amp;A</oddHeader>
    <oddFooter>Sayfa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V273"/>
  <sheetViews>
    <sheetView topLeftCell="D1" workbookViewId="0">
      <selection activeCell="J4" sqref="J4"/>
    </sheetView>
  </sheetViews>
  <sheetFormatPr defaultRowHeight="12"/>
  <cols>
    <col min="8" max="8" width="16.85546875" customWidth="1"/>
    <col min="10" max="10" width="10.140625" customWidth="1"/>
    <col min="11" max="11" width="12.5703125" customWidth="1"/>
  </cols>
  <sheetData>
    <row r="1" spans="1:22" ht="13.5" thickBot="1">
      <c r="A1" s="959" t="s">
        <v>1881</v>
      </c>
      <c r="B1" s="960" t="s">
        <v>1882</v>
      </c>
      <c r="C1" s="960" t="s">
        <v>1883</v>
      </c>
      <c r="D1" s="961"/>
      <c r="E1" s="961"/>
      <c r="F1" s="961"/>
      <c r="I1" s="561"/>
    </row>
    <row r="2" spans="1:22" ht="18.75">
      <c r="A2" s="962">
        <v>10</v>
      </c>
      <c r="B2" s="963"/>
      <c r="C2" s="963">
        <v>1</v>
      </c>
      <c r="D2" s="961"/>
      <c r="E2" s="961"/>
      <c r="F2" s="961"/>
      <c r="H2" s="1753" t="s">
        <v>215</v>
      </c>
      <c r="I2" s="1754"/>
      <c r="J2" s="1755"/>
      <c r="K2" s="949" t="s">
        <v>216</v>
      </c>
      <c r="L2" s="950" t="s">
        <v>217</v>
      </c>
      <c r="M2" s="970" t="s">
        <v>218</v>
      </c>
    </row>
    <row r="3" spans="1:22" ht="18">
      <c r="A3" s="962">
        <v>11</v>
      </c>
      <c r="B3" s="964"/>
      <c r="C3" s="964">
        <v>1</v>
      </c>
      <c r="D3" s="961"/>
      <c r="E3" s="965"/>
      <c r="F3" s="961"/>
      <c r="H3" s="1749" t="s">
        <v>222</v>
      </c>
      <c r="I3" s="1750"/>
      <c r="J3" s="968">
        <v>73</v>
      </c>
      <c r="K3" s="951">
        <v>110</v>
      </c>
      <c r="L3" s="952">
        <v>1.5</v>
      </c>
      <c r="M3" s="1362">
        <f>K3/L3</f>
        <v>73.333333333333329</v>
      </c>
    </row>
    <row r="4" spans="1:22" ht="18.75" thickBot="1">
      <c r="A4" s="962">
        <v>12</v>
      </c>
      <c r="B4" s="964"/>
      <c r="C4" s="964">
        <v>1</v>
      </c>
      <c r="D4" s="961" t="s">
        <v>1884</v>
      </c>
      <c r="E4" s="966">
        <v>113</v>
      </c>
      <c r="F4" s="967"/>
      <c r="H4" s="1751" t="s">
        <v>219</v>
      </c>
      <c r="I4" s="1752"/>
      <c r="J4" s="969">
        <f>SUMIF(H21:H251,J3,I21:I251)</f>
        <v>1.51</v>
      </c>
      <c r="K4" s="951"/>
      <c r="L4" s="952"/>
      <c r="M4" s="1363"/>
      <c r="N4">
        <v>1500</v>
      </c>
      <c r="O4" s="1361">
        <v>12</v>
      </c>
      <c r="P4">
        <f>N4/O4</f>
        <v>125</v>
      </c>
      <c r="Q4">
        <f>P4*J4</f>
        <v>188.75</v>
      </c>
      <c r="R4" t="s">
        <v>236</v>
      </c>
      <c r="S4">
        <v>240</v>
      </c>
      <c r="T4" t="s">
        <v>110</v>
      </c>
      <c r="U4" s="561">
        <f>Q4/S4</f>
        <v>0.78645833333333337</v>
      </c>
      <c r="V4" t="s">
        <v>457</v>
      </c>
    </row>
    <row r="5" spans="1:22" ht="13.5" thickBot="1">
      <c r="A5" s="962">
        <v>13</v>
      </c>
      <c r="B5" s="964"/>
      <c r="C5" s="964">
        <v>1</v>
      </c>
      <c r="D5" s="960" t="s">
        <v>1882</v>
      </c>
      <c r="E5" s="961">
        <f>VLOOKUP(E4,A2:C242,2)</f>
        <v>2.29</v>
      </c>
      <c r="F5" s="961">
        <v>2.29</v>
      </c>
      <c r="H5" s="953"/>
      <c r="I5" s="954"/>
      <c r="J5" s="955"/>
    </row>
    <row r="6" spans="1:22" ht="18.75">
      <c r="A6" s="962">
        <v>14</v>
      </c>
      <c r="B6" s="964"/>
      <c r="C6" s="964">
        <v>1</v>
      </c>
      <c r="D6" s="960" t="s">
        <v>1883</v>
      </c>
      <c r="E6" s="961">
        <f>VLOOKUP(E4,A2:C242,3)</f>
        <v>3.33</v>
      </c>
      <c r="F6" s="961">
        <v>3.33</v>
      </c>
      <c r="H6" s="1753" t="s">
        <v>220</v>
      </c>
      <c r="I6" s="1754"/>
      <c r="J6" s="1756"/>
      <c r="K6" s="948"/>
      <c r="L6" s="948"/>
      <c r="M6" s="948"/>
    </row>
    <row r="7" spans="1:22" ht="18">
      <c r="A7" s="962">
        <v>15</v>
      </c>
      <c r="B7" s="964"/>
      <c r="C7" s="964">
        <v>1.01</v>
      </c>
      <c r="D7" s="961"/>
      <c r="E7" s="961"/>
      <c r="F7" s="961"/>
      <c r="H7" s="1749" t="s">
        <v>222</v>
      </c>
      <c r="I7" s="1750"/>
      <c r="J7" s="956">
        <v>67</v>
      </c>
      <c r="K7" s="948"/>
      <c r="L7" s="948">
        <v>2500</v>
      </c>
      <c r="M7" s="948"/>
    </row>
    <row r="8" spans="1:22" ht="18.75" thickBot="1">
      <c r="A8" s="962">
        <v>16</v>
      </c>
      <c r="B8" s="964"/>
      <c r="C8" s="964">
        <v>1.02</v>
      </c>
      <c r="D8" s="961"/>
      <c r="E8" s="961"/>
      <c r="F8" s="961"/>
      <c r="H8" s="1751" t="s">
        <v>219</v>
      </c>
      <c r="I8" s="1752"/>
      <c r="J8" s="1360">
        <f>SUMIF(H11:H251,J7,J11:J251)</f>
        <v>1.64</v>
      </c>
      <c r="K8" s="948"/>
      <c r="L8" s="948">
        <f>L7*J4</f>
        <v>3775</v>
      </c>
      <c r="M8" s="948"/>
    </row>
    <row r="9" spans="1:22" ht="14.25" customHeight="1">
      <c r="A9" s="962">
        <v>17</v>
      </c>
      <c r="B9" s="964"/>
      <c r="C9" s="964">
        <v>1.03</v>
      </c>
      <c r="D9" s="961"/>
      <c r="E9" s="961"/>
      <c r="F9" s="961"/>
      <c r="H9" s="957" t="s">
        <v>221</v>
      </c>
      <c r="I9" s="561"/>
      <c r="L9">
        <v>1.2</v>
      </c>
    </row>
    <row r="10" spans="1:22" ht="12.75">
      <c r="A10" s="962">
        <v>18</v>
      </c>
      <c r="B10" s="964"/>
      <c r="C10" s="964">
        <v>1.03</v>
      </c>
      <c r="D10" s="961"/>
      <c r="E10" s="961"/>
      <c r="F10" s="961"/>
      <c r="H10" s="562" t="s">
        <v>1881</v>
      </c>
      <c r="I10" s="563" t="s">
        <v>1882</v>
      </c>
      <c r="J10" s="563" t="s">
        <v>1883</v>
      </c>
      <c r="L10">
        <f>L8/L9</f>
        <v>3145.8333333333335</v>
      </c>
    </row>
    <row r="11" spans="1:22" ht="12.75">
      <c r="A11" s="962">
        <v>19</v>
      </c>
      <c r="B11" s="964"/>
      <c r="C11" s="964">
        <v>1.04</v>
      </c>
      <c r="D11" s="961"/>
      <c r="E11" s="961"/>
      <c r="F11" s="961"/>
      <c r="H11" s="564">
        <v>10</v>
      </c>
      <c r="I11" s="565"/>
      <c r="J11" s="565">
        <v>1</v>
      </c>
    </row>
    <row r="12" spans="1:22" ht="12.75">
      <c r="A12" s="962">
        <v>20</v>
      </c>
      <c r="B12" s="963">
        <v>1.02</v>
      </c>
      <c r="C12" s="963">
        <v>1.05</v>
      </c>
      <c r="D12" s="961"/>
      <c r="E12" s="961"/>
      <c r="F12" s="961"/>
      <c r="H12" s="564">
        <v>11</v>
      </c>
      <c r="I12" s="566"/>
      <c r="J12" s="566">
        <v>1</v>
      </c>
    </row>
    <row r="13" spans="1:22" ht="12.75">
      <c r="A13" s="962">
        <v>21</v>
      </c>
      <c r="B13" s="964">
        <v>1.03</v>
      </c>
      <c r="C13" s="964">
        <v>1.06</v>
      </c>
      <c r="D13" s="961"/>
      <c r="E13" s="961"/>
      <c r="F13" s="961"/>
      <c r="H13" s="564">
        <v>12</v>
      </c>
      <c r="I13" s="566"/>
      <c r="J13" s="566">
        <v>1</v>
      </c>
    </row>
    <row r="14" spans="1:22" ht="12.75">
      <c r="A14" s="962">
        <v>22</v>
      </c>
      <c r="B14" s="964">
        <v>1.03</v>
      </c>
      <c r="C14" s="964">
        <v>1.07</v>
      </c>
      <c r="D14" s="961"/>
      <c r="E14" s="961"/>
      <c r="F14" s="961"/>
      <c r="H14" s="564">
        <v>13</v>
      </c>
      <c r="I14" s="566"/>
      <c r="J14" s="566">
        <v>1</v>
      </c>
    </row>
    <row r="15" spans="1:22" ht="12.75">
      <c r="A15" s="962">
        <v>23</v>
      </c>
      <c r="B15" s="964">
        <v>1.04</v>
      </c>
      <c r="C15" s="964">
        <v>1.08</v>
      </c>
      <c r="D15" s="961"/>
      <c r="E15" s="961"/>
      <c r="F15" s="961"/>
      <c r="H15" s="564">
        <v>14</v>
      </c>
      <c r="I15" s="566"/>
      <c r="J15" s="566">
        <v>1</v>
      </c>
    </row>
    <row r="16" spans="1:22" ht="12.75">
      <c r="A16" s="962">
        <v>24</v>
      </c>
      <c r="B16" s="964">
        <v>1.05</v>
      </c>
      <c r="C16" s="964">
        <v>1.0900000000000001</v>
      </c>
      <c r="D16" s="961"/>
      <c r="E16" s="961"/>
      <c r="F16" s="961"/>
      <c r="H16" s="564">
        <v>15</v>
      </c>
      <c r="I16" s="566"/>
      <c r="J16" s="566">
        <v>1.01</v>
      </c>
    </row>
    <row r="17" spans="1:10" ht="12.75">
      <c r="A17" s="962">
        <v>25</v>
      </c>
      <c r="B17" s="964">
        <v>1.06</v>
      </c>
      <c r="C17" s="964">
        <v>1.1000000000000001</v>
      </c>
      <c r="D17" s="961"/>
      <c r="E17" s="961"/>
      <c r="F17" s="961"/>
      <c r="H17" s="564">
        <v>16</v>
      </c>
      <c r="I17" s="566"/>
      <c r="J17" s="566">
        <v>1.02</v>
      </c>
    </row>
    <row r="18" spans="1:10" ht="12.75">
      <c r="A18" s="962">
        <v>26</v>
      </c>
      <c r="B18" s="964">
        <v>1.06</v>
      </c>
      <c r="C18" s="964">
        <v>1.1100000000000001</v>
      </c>
      <c r="D18" s="961"/>
      <c r="E18" s="961"/>
      <c r="F18" s="961"/>
      <c r="H18" s="564">
        <v>17</v>
      </c>
      <c r="I18" s="566"/>
      <c r="J18" s="566">
        <v>1.03</v>
      </c>
    </row>
    <row r="19" spans="1:10" ht="12.75">
      <c r="A19" s="962">
        <v>27</v>
      </c>
      <c r="B19" s="964">
        <v>1.07</v>
      </c>
      <c r="C19" s="964">
        <v>1.1100000000000001</v>
      </c>
      <c r="D19" s="961"/>
      <c r="E19" s="961"/>
      <c r="F19" s="961"/>
      <c r="H19" s="564">
        <v>18</v>
      </c>
      <c r="I19" s="566"/>
      <c r="J19" s="566">
        <v>1.03</v>
      </c>
    </row>
    <row r="20" spans="1:10" ht="12.75">
      <c r="A20" s="962">
        <v>28</v>
      </c>
      <c r="B20" s="964">
        <v>1.08</v>
      </c>
      <c r="C20" s="964">
        <v>1.1200000000000001</v>
      </c>
      <c r="D20" s="961"/>
      <c r="E20" s="961"/>
      <c r="F20" s="961"/>
      <c r="H20" s="564">
        <v>19</v>
      </c>
      <c r="I20" s="566"/>
      <c r="J20" s="566">
        <v>1.04</v>
      </c>
    </row>
    <row r="21" spans="1:10" ht="12.75">
      <c r="A21" s="962">
        <v>29</v>
      </c>
      <c r="B21" s="964">
        <v>1.08</v>
      </c>
      <c r="C21" s="964">
        <v>1.1299999999999999</v>
      </c>
      <c r="D21" s="961"/>
      <c r="E21" s="961"/>
      <c r="F21" s="961"/>
      <c r="H21" s="564">
        <v>20</v>
      </c>
      <c r="I21" s="565">
        <v>1.02</v>
      </c>
      <c r="J21" s="565">
        <v>1.05</v>
      </c>
    </row>
    <row r="22" spans="1:10" ht="12.75">
      <c r="A22" s="962">
        <v>30</v>
      </c>
      <c r="B22" s="964">
        <v>1.0900000000000001</v>
      </c>
      <c r="C22" s="964">
        <v>1.1399999999999999</v>
      </c>
      <c r="D22" s="961"/>
      <c r="E22" s="961"/>
      <c r="F22" s="961"/>
      <c r="H22" s="564">
        <v>21</v>
      </c>
      <c r="I22" s="566">
        <v>1.03</v>
      </c>
      <c r="J22" s="566">
        <v>1.06</v>
      </c>
    </row>
    <row r="23" spans="1:10" ht="12.75">
      <c r="A23" s="962">
        <v>31</v>
      </c>
      <c r="B23" s="964">
        <v>1.1000000000000001</v>
      </c>
      <c r="C23" s="964">
        <v>1.1499999999999999</v>
      </c>
      <c r="D23" s="961"/>
      <c r="E23" s="961"/>
      <c r="F23" s="961"/>
      <c r="H23" s="564">
        <v>22</v>
      </c>
      <c r="I23" s="566">
        <v>1.03</v>
      </c>
      <c r="J23" s="566">
        <v>1.07</v>
      </c>
    </row>
    <row r="24" spans="1:10" ht="12.75">
      <c r="A24" s="962">
        <v>32</v>
      </c>
      <c r="B24" s="964">
        <v>1.1100000000000001</v>
      </c>
      <c r="C24" s="964">
        <v>1.1599999999999999</v>
      </c>
      <c r="D24" s="961"/>
      <c r="E24" s="961"/>
      <c r="F24" s="961"/>
      <c r="H24" s="564">
        <v>23</v>
      </c>
      <c r="I24" s="566">
        <v>1.04</v>
      </c>
      <c r="J24" s="566">
        <v>1.08</v>
      </c>
    </row>
    <row r="25" spans="1:10" ht="12.75">
      <c r="A25" s="962">
        <v>33</v>
      </c>
      <c r="B25" s="964">
        <v>1.1100000000000001</v>
      </c>
      <c r="C25" s="964">
        <v>1.17</v>
      </c>
      <c r="D25" s="961"/>
      <c r="E25" s="961"/>
      <c r="F25" s="961"/>
      <c r="H25" s="564">
        <v>24</v>
      </c>
      <c r="I25" s="566">
        <v>1.05</v>
      </c>
      <c r="J25" s="566">
        <v>1.0900000000000001</v>
      </c>
    </row>
    <row r="26" spans="1:10" ht="12.75">
      <c r="A26" s="962">
        <v>34</v>
      </c>
      <c r="B26" s="964">
        <v>1.1200000000000001</v>
      </c>
      <c r="C26" s="964">
        <v>1.18</v>
      </c>
      <c r="D26" s="961"/>
      <c r="E26" s="961"/>
      <c r="F26" s="961"/>
      <c r="H26" s="564">
        <v>25</v>
      </c>
      <c r="I26" s="566">
        <v>1.06</v>
      </c>
      <c r="J26" s="566">
        <v>1.1000000000000001</v>
      </c>
    </row>
    <row r="27" spans="1:10" ht="12.75">
      <c r="A27" s="962">
        <v>35</v>
      </c>
      <c r="B27" s="964">
        <v>1.1299999999999999</v>
      </c>
      <c r="C27" s="964">
        <v>1.19</v>
      </c>
      <c r="D27" s="961"/>
      <c r="E27" s="961"/>
      <c r="F27" s="961"/>
      <c r="H27" s="564">
        <v>26</v>
      </c>
      <c r="I27" s="566">
        <v>1.06</v>
      </c>
      <c r="J27" s="566">
        <v>1.1100000000000001</v>
      </c>
    </row>
    <row r="28" spans="1:10" ht="12.75">
      <c r="A28" s="962">
        <v>36</v>
      </c>
      <c r="B28" s="964">
        <v>1.1399999999999999</v>
      </c>
      <c r="C28" s="964">
        <v>1.2</v>
      </c>
      <c r="D28" s="961"/>
      <c r="E28" s="961"/>
      <c r="F28" s="961"/>
      <c r="H28" s="564">
        <v>27</v>
      </c>
      <c r="I28" s="566">
        <v>1.07</v>
      </c>
      <c r="J28" s="566">
        <v>1.1100000000000001</v>
      </c>
    </row>
    <row r="29" spans="1:10" ht="12.75">
      <c r="A29" s="962">
        <v>37</v>
      </c>
      <c r="B29" s="964">
        <v>1.1499999999999999</v>
      </c>
      <c r="C29" s="964">
        <v>1.22</v>
      </c>
      <c r="D29" s="961"/>
      <c r="E29" s="961"/>
      <c r="F29" s="961"/>
      <c r="H29" s="564">
        <v>28</v>
      </c>
      <c r="I29" s="566">
        <v>1.08</v>
      </c>
      <c r="J29" s="566">
        <v>1.1200000000000001</v>
      </c>
    </row>
    <row r="30" spans="1:10" ht="12.75">
      <c r="A30" s="962">
        <v>38</v>
      </c>
      <c r="B30" s="964">
        <v>1.1499999999999999</v>
      </c>
      <c r="C30" s="964">
        <v>1.23</v>
      </c>
      <c r="D30" s="961"/>
      <c r="E30" s="961"/>
      <c r="F30" s="961"/>
      <c r="H30" s="564">
        <v>29</v>
      </c>
      <c r="I30" s="566">
        <v>1.08</v>
      </c>
      <c r="J30" s="566">
        <v>1.1299999999999999</v>
      </c>
    </row>
    <row r="31" spans="1:10" ht="12.75">
      <c r="A31" s="962">
        <v>39</v>
      </c>
      <c r="B31" s="964">
        <v>1.1599999999999999</v>
      </c>
      <c r="C31" s="964">
        <v>1.24</v>
      </c>
      <c r="D31" s="961"/>
      <c r="E31" s="961"/>
      <c r="F31" s="961"/>
      <c r="H31" s="564">
        <v>30</v>
      </c>
      <c r="I31" s="566">
        <v>1.0900000000000001</v>
      </c>
      <c r="J31" s="566">
        <v>1.1399999999999999</v>
      </c>
    </row>
    <row r="32" spans="1:10" ht="12.75">
      <c r="A32" s="962">
        <v>40</v>
      </c>
      <c r="B32" s="964">
        <v>1.17</v>
      </c>
      <c r="C32" s="964">
        <v>1.25</v>
      </c>
      <c r="D32" s="961"/>
      <c r="E32" s="961"/>
      <c r="F32" s="961"/>
      <c r="H32" s="564">
        <v>31</v>
      </c>
      <c r="I32" s="566">
        <v>1.1000000000000001</v>
      </c>
      <c r="J32" s="566">
        <v>1.1499999999999999</v>
      </c>
    </row>
    <row r="33" spans="1:10" ht="12.75">
      <c r="A33" s="962">
        <v>41</v>
      </c>
      <c r="B33" s="964">
        <v>1.18</v>
      </c>
      <c r="C33" s="964">
        <v>1.26</v>
      </c>
      <c r="D33" s="961"/>
      <c r="E33" s="961"/>
      <c r="F33" s="961"/>
      <c r="H33" s="564">
        <v>32</v>
      </c>
      <c r="I33" s="566">
        <v>1.1100000000000001</v>
      </c>
      <c r="J33" s="566">
        <v>1.1599999999999999</v>
      </c>
    </row>
    <row r="34" spans="1:10" ht="12.75">
      <c r="A34" s="962">
        <v>42</v>
      </c>
      <c r="B34" s="964">
        <v>1.19</v>
      </c>
      <c r="C34" s="964">
        <v>1.27</v>
      </c>
      <c r="D34" s="961"/>
      <c r="E34" s="961"/>
      <c r="F34" s="961"/>
      <c r="H34" s="564">
        <v>33</v>
      </c>
      <c r="I34" s="566">
        <v>1.1100000000000001</v>
      </c>
      <c r="J34" s="566">
        <v>1.17</v>
      </c>
    </row>
    <row r="35" spans="1:10" ht="12.75">
      <c r="A35" s="962">
        <v>43</v>
      </c>
      <c r="B35" s="964">
        <v>1.2</v>
      </c>
      <c r="C35" s="964">
        <v>1.28</v>
      </c>
      <c r="D35" s="961"/>
      <c r="E35" s="961"/>
      <c r="F35" s="961"/>
      <c r="H35" s="564">
        <v>34</v>
      </c>
      <c r="I35" s="566">
        <v>1.1200000000000001</v>
      </c>
      <c r="J35" s="566">
        <v>1.18</v>
      </c>
    </row>
    <row r="36" spans="1:10" ht="12.75">
      <c r="A36" s="962">
        <v>44</v>
      </c>
      <c r="B36" s="964">
        <v>1.2</v>
      </c>
      <c r="C36" s="964">
        <v>1.3</v>
      </c>
      <c r="D36" s="961"/>
      <c r="E36" s="961"/>
      <c r="F36" s="961"/>
      <c r="H36" s="564">
        <v>35</v>
      </c>
      <c r="I36" s="566">
        <v>1.1299999999999999</v>
      </c>
      <c r="J36" s="566">
        <v>1.19</v>
      </c>
    </row>
    <row r="37" spans="1:10" ht="12.75">
      <c r="A37" s="962">
        <v>45</v>
      </c>
      <c r="B37" s="964">
        <v>1.21</v>
      </c>
      <c r="C37" s="964">
        <v>1.31</v>
      </c>
      <c r="D37" s="961"/>
      <c r="E37" s="961"/>
      <c r="F37" s="961"/>
      <c r="H37" s="564">
        <v>36</v>
      </c>
      <c r="I37" s="566">
        <v>1.1399999999999999</v>
      </c>
      <c r="J37" s="566">
        <v>1.2</v>
      </c>
    </row>
    <row r="38" spans="1:10" ht="12.75">
      <c r="A38" s="962">
        <v>46</v>
      </c>
      <c r="B38" s="964">
        <v>1.22</v>
      </c>
      <c r="C38" s="964">
        <v>1.32</v>
      </c>
      <c r="D38" s="961"/>
      <c r="E38" s="961"/>
      <c r="F38" s="961"/>
      <c r="H38" s="564">
        <v>37</v>
      </c>
      <c r="I38" s="566">
        <v>1.1499999999999999</v>
      </c>
      <c r="J38" s="566">
        <v>1.22</v>
      </c>
    </row>
    <row r="39" spans="1:10" ht="12.75">
      <c r="A39" s="962">
        <v>47</v>
      </c>
      <c r="B39" s="964">
        <v>1.23</v>
      </c>
      <c r="C39" s="964">
        <v>1.33</v>
      </c>
      <c r="D39" s="961"/>
      <c r="E39" s="961"/>
      <c r="F39" s="961"/>
      <c r="H39" s="564">
        <v>38</v>
      </c>
      <c r="I39" s="566">
        <v>1.1499999999999999</v>
      </c>
      <c r="J39" s="566">
        <v>1.23</v>
      </c>
    </row>
    <row r="40" spans="1:10" ht="12.75">
      <c r="A40" s="962">
        <v>48</v>
      </c>
      <c r="B40" s="964">
        <v>1.24</v>
      </c>
      <c r="C40" s="964">
        <v>1.35</v>
      </c>
      <c r="D40" s="961"/>
      <c r="E40" s="961"/>
      <c r="F40" s="961"/>
      <c r="H40" s="564">
        <v>39</v>
      </c>
      <c r="I40" s="566">
        <v>1.1599999999999999</v>
      </c>
      <c r="J40" s="566">
        <v>1.24</v>
      </c>
    </row>
    <row r="41" spans="1:10" ht="12.75">
      <c r="A41" s="962">
        <v>49</v>
      </c>
      <c r="B41" s="964">
        <v>1.25</v>
      </c>
      <c r="C41" s="964">
        <v>1.36</v>
      </c>
      <c r="D41" s="961"/>
      <c r="E41" s="961"/>
      <c r="F41" s="961"/>
      <c r="H41" s="564">
        <v>40</v>
      </c>
      <c r="I41" s="566">
        <v>1.17</v>
      </c>
      <c r="J41" s="566">
        <v>1.25</v>
      </c>
    </row>
    <row r="42" spans="1:10" ht="12.75">
      <c r="A42" s="962">
        <v>50</v>
      </c>
      <c r="B42" s="964">
        <v>1.26</v>
      </c>
      <c r="C42" s="964">
        <v>1.37</v>
      </c>
      <c r="D42" s="961"/>
      <c r="E42" s="961"/>
      <c r="F42" s="961"/>
      <c r="H42" s="564">
        <v>41</v>
      </c>
      <c r="I42" s="566">
        <v>1.18</v>
      </c>
      <c r="J42" s="566">
        <v>1.26</v>
      </c>
    </row>
    <row r="43" spans="1:10" ht="12.75">
      <c r="A43" s="962">
        <v>51</v>
      </c>
      <c r="B43" s="964">
        <v>1.27</v>
      </c>
      <c r="C43" s="964">
        <v>1.39</v>
      </c>
      <c r="D43" s="961"/>
      <c r="E43" s="961"/>
      <c r="F43" s="961"/>
      <c r="H43" s="564">
        <v>42</v>
      </c>
      <c r="I43" s="566">
        <v>1.19</v>
      </c>
      <c r="J43" s="566">
        <v>1.27</v>
      </c>
    </row>
    <row r="44" spans="1:10" ht="12.75">
      <c r="A44" s="962">
        <v>52</v>
      </c>
      <c r="B44" s="964">
        <v>1.28</v>
      </c>
      <c r="C44" s="964">
        <v>1.4</v>
      </c>
      <c r="D44" s="961"/>
      <c r="E44" s="961"/>
      <c r="F44" s="961"/>
      <c r="H44" s="564">
        <v>43</v>
      </c>
      <c r="I44" s="566">
        <v>1.2</v>
      </c>
      <c r="J44" s="566">
        <v>1.28</v>
      </c>
    </row>
    <row r="45" spans="1:10" ht="12.75">
      <c r="A45" s="962">
        <v>53</v>
      </c>
      <c r="B45" s="964">
        <v>1.29</v>
      </c>
      <c r="C45" s="964">
        <v>1.41</v>
      </c>
      <c r="D45" s="961"/>
      <c r="E45" s="961"/>
      <c r="F45" s="961"/>
      <c r="H45" s="564">
        <v>44</v>
      </c>
      <c r="I45" s="566">
        <v>1.2</v>
      </c>
      <c r="J45" s="566">
        <v>1.3</v>
      </c>
    </row>
    <row r="46" spans="1:10" ht="12.75">
      <c r="A46" s="962">
        <v>54</v>
      </c>
      <c r="B46" s="964">
        <v>1.3</v>
      </c>
      <c r="C46" s="964">
        <v>1.43</v>
      </c>
      <c r="D46" s="961"/>
      <c r="E46" s="961"/>
      <c r="F46" s="961"/>
      <c r="H46" s="564">
        <v>45</v>
      </c>
      <c r="I46" s="566">
        <v>1.21</v>
      </c>
      <c r="J46" s="566">
        <v>1.31</v>
      </c>
    </row>
    <row r="47" spans="1:10" ht="12.75">
      <c r="A47" s="962">
        <v>55</v>
      </c>
      <c r="B47" s="964">
        <v>1.31</v>
      </c>
      <c r="C47" s="964">
        <v>1.44</v>
      </c>
      <c r="D47" s="961"/>
      <c r="E47" s="961"/>
      <c r="F47" s="961"/>
      <c r="H47" s="564">
        <v>46</v>
      </c>
      <c r="I47" s="566">
        <v>1.22</v>
      </c>
      <c r="J47" s="566">
        <v>1.32</v>
      </c>
    </row>
    <row r="48" spans="1:10" ht="12.75">
      <c r="A48" s="962">
        <v>56</v>
      </c>
      <c r="B48" s="964">
        <v>1.32</v>
      </c>
      <c r="C48" s="964">
        <v>1.46</v>
      </c>
      <c r="D48" s="961"/>
      <c r="E48" s="961"/>
      <c r="F48" s="961"/>
      <c r="H48" s="564">
        <v>47</v>
      </c>
      <c r="I48" s="566">
        <v>1.23</v>
      </c>
      <c r="J48" s="566">
        <v>1.33</v>
      </c>
    </row>
    <row r="49" spans="1:10" ht="12.75">
      <c r="A49" s="962">
        <v>57</v>
      </c>
      <c r="B49" s="964">
        <v>1.33</v>
      </c>
      <c r="C49" s="964">
        <v>1.47</v>
      </c>
      <c r="D49" s="961"/>
      <c r="E49" s="961"/>
      <c r="F49" s="961"/>
      <c r="H49" s="564">
        <v>48</v>
      </c>
      <c r="I49" s="566">
        <v>1.24</v>
      </c>
      <c r="J49" s="566">
        <v>1.35</v>
      </c>
    </row>
    <row r="50" spans="1:10" ht="12.75">
      <c r="A50" s="962">
        <v>58</v>
      </c>
      <c r="B50" s="964">
        <v>1.34</v>
      </c>
      <c r="C50" s="964">
        <v>1.49</v>
      </c>
      <c r="D50" s="961"/>
      <c r="E50" s="961"/>
      <c r="F50" s="961"/>
      <c r="H50" s="564">
        <v>49</v>
      </c>
      <c r="I50" s="566">
        <v>1.25</v>
      </c>
      <c r="J50" s="566">
        <v>1.36</v>
      </c>
    </row>
    <row r="51" spans="1:10" ht="12.75">
      <c r="A51" s="962">
        <v>59</v>
      </c>
      <c r="B51" s="964">
        <v>1.35</v>
      </c>
      <c r="C51" s="964">
        <v>1.5</v>
      </c>
      <c r="D51" s="961"/>
      <c r="E51" s="961"/>
      <c r="F51" s="961"/>
      <c r="H51" s="564">
        <v>50</v>
      </c>
      <c r="I51" s="566">
        <v>1.26</v>
      </c>
      <c r="J51" s="566">
        <v>1.37</v>
      </c>
    </row>
    <row r="52" spans="1:10" ht="12.75">
      <c r="A52" s="962">
        <v>60</v>
      </c>
      <c r="B52" s="964">
        <v>1.36</v>
      </c>
      <c r="C52" s="964">
        <v>1.52</v>
      </c>
      <c r="D52" s="961"/>
      <c r="E52" s="961"/>
      <c r="F52" s="961"/>
      <c r="H52" s="564">
        <v>51</v>
      </c>
      <c r="I52" s="566">
        <v>1.27</v>
      </c>
      <c r="J52" s="566">
        <v>1.39</v>
      </c>
    </row>
    <row r="53" spans="1:10" ht="12.75">
      <c r="A53" s="962">
        <v>61</v>
      </c>
      <c r="B53" s="964">
        <v>1.37</v>
      </c>
      <c r="C53" s="964">
        <v>1.54</v>
      </c>
      <c r="D53" s="961"/>
      <c r="E53" s="961"/>
      <c r="F53" s="961"/>
      <c r="H53" s="564">
        <v>52</v>
      </c>
      <c r="I53" s="566">
        <v>1.28</v>
      </c>
      <c r="J53" s="566">
        <v>1.4</v>
      </c>
    </row>
    <row r="54" spans="1:10" ht="12.75">
      <c r="A54" s="962">
        <v>62</v>
      </c>
      <c r="B54" s="964">
        <v>1.38</v>
      </c>
      <c r="C54" s="964">
        <v>1.55</v>
      </c>
      <c r="D54" s="961"/>
      <c r="E54" s="961"/>
      <c r="F54" s="961"/>
      <c r="H54" s="564">
        <v>53</v>
      </c>
      <c r="I54" s="566">
        <v>1.29</v>
      </c>
      <c r="J54" s="566">
        <v>1.41</v>
      </c>
    </row>
    <row r="55" spans="1:10" ht="12.75">
      <c r="A55" s="962">
        <v>63</v>
      </c>
      <c r="B55" s="964">
        <v>1.39</v>
      </c>
      <c r="C55" s="964">
        <v>1.57</v>
      </c>
      <c r="D55" s="961"/>
      <c r="E55" s="961"/>
      <c r="F55" s="961"/>
      <c r="H55" s="564">
        <v>54</v>
      </c>
      <c r="I55" s="566">
        <v>1.3</v>
      </c>
      <c r="J55" s="566">
        <v>1.43</v>
      </c>
    </row>
    <row r="56" spans="1:10" ht="12.75">
      <c r="A56" s="962">
        <v>64</v>
      </c>
      <c r="B56" s="964">
        <v>1.4</v>
      </c>
      <c r="C56" s="964">
        <v>1.59</v>
      </c>
      <c r="D56" s="961"/>
      <c r="E56" s="961"/>
      <c r="F56" s="961"/>
      <c r="H56" s="564">
        <v>55</v>
      </c>
      <c r="I56" s="566">
        <v>1.31</v>
      </c>
      <c r="J56" s="566">
        <v>1.44</v>
      </c>
    </row>
    <row r="57" spans="1:10" ht="12.75">
      <c r="A57" s="962">
        <v>65</v>
      </c>
      <c r="B57" s="964">
        <v>1.41</v>
      </c>
      <c r="C57" s="964">
        <v>1.6</v>
      </c>
      <c r="D57" s="961"/>
      <c r="E57" s="961"/>
      <c r="F57" s="961"/>
      <c r="H57" s="564">
        <v>56</v>
      </c>
      <c r="I57" s="566">
        <v>1.32</v>
      </c>
      <c r="J57" s="566">
        <v>1.46</v>
      </c>
    </row>
    <row r="58" spans="1:10" ht="12.75">
      <c r="A58" s="962">
        <v>66</v>
      </c>
      <c r="B58" s="964">
        <v>1.43</v>
      </c>
      <c r="C58" s="964">
        <v>1.62</v>
      </c>
      <c r="D58" s="961"/>
      <c r="E58" s="961"/>
      <c r="F58" s="961"/>
      <c r="H58" s="564">
        <v>57</v>
      </c>
      <c r="I58" s="566">
        <v>1.33</v>
      </c>
      <c r="J58" s="566">
        <v>1.47</v>
      </c>
    </row>
    <row r="59" spans="1:10" ht="12.75">
      <c r="A59" s="962">
        <v>67</v>
      </c>
      <c r="B59" s="964">
        <v>1.44</v>
      </c>
      <c r="C59" s="964">
        <v>1.64</v>
      </c>
      <c r="D59" s="961"/>
      <c r="E59" s="961"/>
      <c r="F59" s="961"/>
      <c r="H59" s="564">
        <v>58</v>
      </c>
      <c r="I59" s="566">
        <v>1.34</v>
      </c>
      <c r="J59" s="566">
        <v>1.49</v>
      </c>
    </row>
    <row r="60" spans="1:10" ht="12.75">
      <c r="A60" s="962">
        <v>68</v>
      </c>
      <c r="B60" s="964">
        <v>1.45</v>
      </c>
      <c r="C60" s="964">
        <v>1.66</v>
      </c>
      <c r="D60" s="961"/>
      <c r="E60" s="961"/>
      <c r="F60" s="961"/>
      <c r="H60" s="564">
        <v>59</v>
      </c>
      <c r="I60" s="566">
        <v>1.35</v>
      </c>
      <c r="J60" s="566">
        <v>1.5</v>
      </c>
    </row>
    <row r="61" spans="1:10" ht="12.75">
      <c r="A61" s="962">
        <v>69</v>
      </c>
      <c r="B61" s="964">
        <v>1.46</v>
      </c>
      <c r="C61" s="964">
        <v>1.68</v>
      </c>
      <c r="D61" s="961"/>
      <c r="E61" s="961"/>
      <c r="F61" s="961"/>
      <c r="H61" s="564">
        <v>60</v>
      </c>
      <c r="I61" s="566">
        <v>1.36</v>
      </c>
      <c r="J61" s="566">
        <v>1.52</v>
      </c>
    </row>
    <row r="62" spans="1:10" ht="12.75">
      <c r="A62" s="962">
        <v>70</v>
      </c>
      <c r="B62" s="964">
        <v>1.47</v>
      </c>
      <c r="C62" s="964">
        <v>1.7</v>
      </c>
      <c r="D62" s="961"/>
      <c r="E62" s="961"/>
      <c r="F62" s="961"/>
      <c r="H62" s="564">
        <v>61</v>
      </c>
      <c r="I62" s="566">
        <v>1.37</v>
      </c>
      <c r="J62" s="566">
        <v>1.54</v>
      </c>
    </row>
    <row r="63" spans="1:10" ht="12.75">
      <c r="A63" s="962">
        <v>71</v>
      </c>
      <c r="B63" s="964">
        <v>1.49</v>
      </c>
      <c r="C63" s="964">
        <v>1.72</v>
      </c>
      <c r="D63" s="961"/>
      <c r="E63" s="961"/>
      <c r="F63" s="961"/>
      <c r="H63" s="564">
        <v>62</v>
      </c>
      <c r="I63" s="566">
        <v>1.38</v>
      </c>
      <c r="J63" s="566">
        <v>1.55</v>
      </c>
    </row>
    <row r="64" spans="1:10" ht="12.75">
      <c r="A64" s="962">
        <v>72</v>
      </c>
      <c r="B64" s="964">
        <v>1.5</v>
      </c>
      <c r="C64" s="964">
        <v>1.74</v>
      </c>
      <c r="D64" s="961"/>
      <c r="E64" s="961"/>
      <c r="F64" s="961"/>
      <c r="H64" s="564">
        <v>63</v>
      </c>
      <c r="I64" s="566">
        <v>1.39</v>
      </c>
      <c r="J64" s="566">
        <v>1.57</v>
      </c>
    </row>
    <row r="65" spans="1:10" ht="12.75">
      <c r="A65" s="962">
        <v>73</v>
      </c>
      <c r="B65" s="964">
        <v>1.51</v>
      </c>
      <c r="C65" s="964">
        <v>1.76</v>
      </c>
      <c r="D65" s="961"/>
      <c r="E65" s="961"/>
      <c r="F65" s="961"/>
      <c r="H65" s="564">
        <v>64</v>
      </c>
      <c r="I65" s="566">
        <v>1.4</v>
      </c>
      <c r="J65" s="566">
        <v>1.59</v>
      </c>
    </row>
    <row r="66" spans="1:10" ht="12.75">
      <c r="A66" s="962">
        <v>74</v>
      </c>
      <c r="B66" s="964">
        <v>1.53</v>
      </c>
      <c r="C66" s="964">
        <v>1.78</v>
      </c>
      <c r="D66" s="961"/>
      <c r="E66" s="961"/>
      <c r="F66" s="961"/>
      <c r="H66" s="564">
        <v>65</v>
      </c>
      <c r="I66" s="566">
        <v>1.41</v>
      </c>
      <c r="J66" s="566">
        <v>1.6</v>
      </c>
    </row>
    <row r="67" spans="1:10" ht="12.75">
      <c r="A67" s="962">
        <v>75</v>
      </c>
      <c r="B67" s="964">
        <v>1.54</v>
      </c>
      <c r="C67" s="964">
        <v>1.8</v>
      </c>
      <c r="D67" s="961"/>
      <c r="E67" s="961"/>
      <c r="F67" s="961"/>
      <c r="H67" s="564">
        <v>66</v>
      </c>
      <c r="I67" s="566">
        <v>1.43</v>
      </c>
      <c r="J67" s="566">
        <v>1.62</v>
      </c>
    </row>
    <row r="68" spans="1:10" ht="12.75">
      <c r="A68" s="962">
        <v>76</v>
      </c>
      <c r="B68" s="964">
        <v>1.55</v>
      </c>
      <c r="C68" s="964">
        <v>1.83</v>
      </c>
      <c r="D68" s="961"/>
      <c r="E68" s="961"/>
      <c r="F68" s="961"/>
      <c r="H68" s="564">
        <v>67</v>
      </c>
      <c r="I68" s="566">
        <v>1.44</v>
      </c>
      <c r="J68" s="566">
        <v>1.64</v>
      </c>
    </row>
    <row r="69" spans="1:10" ht="12.75">
      <c r="A69" s="962">
        <v>77</v>
      </c>
      <c r="B69" s="964">
        <v>1.57</v>
      </c>
      <c r="C69" s="964">
        <v>1.85</v>
      </c>
      <c r="D69" s="961"/>
      <c r="E69" s="961"/>
      <c r="F69" s="961"/>
      <c r="H69" s="564">
        <v>68</v>
      </c>
      <c r="I69" s="566">
        <v>1.45</v>
      </c>
      <c r="J69" s="566">
        <v>1.66</v>
      </c>
    </row>
    <row r="70" spans="1:10" ht="12.75">
      <c r="A70" s="962">
        <v>78</v>
      </c>
      <c r="B70" s="964">
        <v>1.58</v>
      </c>
      <c r="C70" s="964">
        <v>1.87</v>
      </c>
      <c r="D70" s="961"/>
      <c r="E70" s="961"/>
      <c r="F70" s="961"/>
      <c r="H70" s="564">
        <v>69</v>
      </c>
      <c r="I70" s="566">
        <v>1.46</v>
      </c>
      <c r="J70" s="566">
        <v>1.68</v>
      </c>
    </row>
    <row r="71" spans="1:10" ht="12.75">
      <c r="A71" s="962">
        <v>79</v>
      </c>
      <c r="B71" s="964">
        <v>1.59</v>
      </c>
      <c r="C71" s="964">
        <v>1.9</v>
      </c>
      <c r="D71" s="961"/>
      <c r="E71" s="961"/>
      <c r="F71" s="961"/>
      <c r="H71" s="564">
        <v>70</v>
      </c>
      <c r="I71" s="566">
        <v>1.47</v>
      </c>
      <c r="J71" s="566">
        <v>1.7</v>
      </c>
    </row>
    <row r="72" spans="1:10" ht="12.75">
      <c r="A72" s="962">
        <v>80</v>
      </c>
      <c r="B72" s="964">
        <v>1.61</v>
      </c>
      <c r="C72" s="964">
        <v>1.92</v>
      </c>
      <c r="D72" s="961"/>
      <c r="E72" s="961"/>
      <c r="F72" s="961"/>
      <c r="H72" s="564">
        <v>71</v>
      </c>
      <c r="I72" s="566">
        <v>1.49</v>
      </c>
      <c r="J72" s="566">
        <v>1.72</v>
      </c>
    </row>
    <row r="73" spans="1:10" ht="12.75">
      <c r="A73" s="962">
        <v>81</v>
      </c>
      <c r="B73" s="964">
        <v>1.62</v>
      </c>
      <c r="C73" s="964">
        <v>1.95</v>
      </c>
      <c r="D73" s="961"/>
      <c r="E73" s="961"/>
      <c r="F73" s="961"/>
      <c r="H73" s="564">
        <v>72</v>
      </c>
      <c r="I73" s="566">
        <v>1.5</v>
      </c>
      <c r="J73" s="566">
        <v>1.74</v>
      </c>
    </row>
    <row r="74" spans="1:10" ht="12.75">
      <c r="A74" s="962">
        <v>82</v>
      </c>
      <c r="B74" s="964">
        <v>1.64</v>
      </c>
      <c r="C74" s="964">
        <v>1.97</v>
      </c>
      <c r="D74" s="961"/>
      <c r="E74" s="961"/>
      <c r="F74" s="961"/>
      <c r="H74" s="564">
        <v>73</v>
      </c>
      <c r="I74" s="566">
        <v>1.51</v>
      </c>
      <c r="J74" s="566">
        <v>1.76</v>
      </c>
    </row>
    <row r="75" spans="1:10" ht="12.75">
      <c r="A75" s="962">
        <v>83</v>
      </c>
      <c r="B75" s="964">
        <v>1.65</v>
      </c>
      <c r="C75" s="964">
        <v>2</v>
      </c>
      <c r="D75" s="961"/>
      <c r="E75" s="961"/>
      <c r="F75" s="961"/>
      <c r="H75" s="564">
        <v>74</v>
      </c>
      <c r="I75" s="566">
        <v>1.53</v>
      </c>
      <c r="J75" s="566">
        <v>1.78</v>
      </c>
    </row>
    <row r="76" spans="1:10" ht="12.75">
      <c r="A76" s="962">
        <v>84</v>
      </c>
      <c r="B76" s="964">
        <v>1.67</v>
      </c>
      <c r="C76" s="964">
        <v>2.0299999999999998</v>
      </c>
      <c r="D76" s="961"/>
      <c r="E76" s="961"/>
      <c r="F76" s="961"/>
      <c r="H76" s="564">
        <v>75</v>
      </c>
      <c r="I76" s="566">
        <v>1.54</v>
      </c>
      <c r="J76" s="566">
        <v>1.8</v>
      </c>
    </row>
    <row r="77" spans="1:10" ht="12.75">
      <c r="A77" s="962">
        <v>85</v>
      </c>
      <c r="B77" s="964">
        <v>1.69</v>
      </c>
      <c r="C77" s="964">
        <v>2.06</v>
      </c>
      <c r="D77" s="961"/>
      <c r="E77" s="961"/>
      <c r="F77" s="961"/>
      <c r="H77" s="564">
        <v>76</v>
      </c>
      <c r="I77" s="566">
        <v>1.55</v>
      </c>
      <c r="J77" s="566">
        <v>1.83</v>
      </c>
    </row>
    <row r="78" spans="1:10" ht="12.75">
      <c r="A78" s="962">
        <v>86</v>
      </c>
      <c r="B78" s="964">
        <v>1.7</v>
      </c>
      <c r="C78" s="964">
        <v>2.08</v>
      </c>
      <c r="D78" s="961"/>
      <c r="E78" s="961"/>
      <c r="F78" s="961"/>
      <c r="H78" s="564">
        <v>77</v>
      </c>
      <c r="I78" s="566">
        <v>1.57</v>
      </c>
      <c r="J78" s="566">
        <v>1.85</v>
      </c>
    </row>
    <row r="79" spans="1:10" ht="12.75">
      <c r="A79" s="962">
        <v>87</v>
      </c>
      <c r="B79" s="964">
        <v>1.72</v>
      </c>
      <c r="C79" s="964">
        <v>2.11</v>
      </c>
      <c r="D79" s="961"/>
      <c r="E79" s="961"/>
      <c r="F79" s="961"/>
      <c r="H79" s="564">
        <v>78</v>
      </c>
      <c r="I79" s="566">
        <v>1.58</v>
      </c>
      <c r="J79" s="566">
        <v>1.87</v>
      </c>
    </row>
    <row r="80" spans="1:10" ht="12.75">
      <c r="A80" s="962">
        <v>88</v>
      </c>
      <c r="B80" s="964">
        <v>1.74</v>
      </c>
      <c r="C80" s="964">
        <v>2.15</v>
      </c>
      <c r="D80" s="961"/>
      <c r="E80" s="961"/>
      <c r="F80" s="961"/>
      <c r="H80" s="564">
        <v>79</v>
      </c>
      <c r="I80" s="566">
        <v>1.59</v>
      </c>
      <c r="J80" s="566">
        <v>1.9</v>
      </c>
    </row>
    <row r="81" spans="1:10" ht="12.75">
      <c r="A81" s="962">
        <v>89</v>
      </c>
      <c r="B81" s="964">
        <v>1.75</v>
      </c>
      <c r="C81" s="964">
        <v>2.1800000000000002</v>
      </c>
      <c r="D81" s="961"/>
      <c r="E81" s="961"/>
      <c r="F81" s="961"/>
      <c r="H81" s="564">
        <v>80</v>
      </c>
      <c r="I81" s="566">
        <v>1.61</v>
      </c>
      <c r="J81" s="566">
        <v>1.92</v>
      </c>
    </row>
    <row r="82" spans="1:10" ht="12.75">
      <c r="A82" s="962">
        <v>90</v>
      </c>
      <c r="B82" s="964">
        <v>1.77</v>
      </c>
      <c r="C82" s="964">
        <v>2.21</v>
      </c>
      <c r="D82" s="961"/>
      <c r="E82" s="961"/>
      <c r="F82" s="961"/>
      <c r="H82" s="564">
        <v>81</v>
      </c>
      <c r="I82" s="566">
        <v>1.62</v>
      </c>
      <c r="J82" s="566">
        <v>1.95</v>
      </c>
    </row>
    <row r="83" spans="1:10" ht="12.75">
      <c r="A83" s="962">
        <v>91</v>
      </c>
      <c r="B83" s="964">
        <v>1.79</v>
      </c>
      <c r="C83" s="964">
        <v>2.21</v>
      </c>
      <c r="D83" s="961"/>
      <c r="E83" s="961"/>
      <c r="F83" s="961"/>
      <c r="H83" s="564">
        <v>82</v>
      </c>
      <c r="I83" s="566">
        <v>1.64</v>
      </c>
      <c r="J83" s="566">
        <v>1.97</v>
      </c>
    </row>
    <row r="84" spans="1:10" ht="12.75">
      <c r="A84" s="962">
        <v>92</v>
      </c>
      <c r="B84" s="964">
        <v>1.81</v>
      </c>
      <c r="C84" s="964">
        <v>2.2799999999999998</v>
      </c>
      <c r="D84" s="961"/>
      <c r="E84" s="961"/>
      <c r="F84" s="961"/>
      <c r="H84" s="564">
        <v>83</v>
      </c>
      <c r="I84" s="566">
        <v>1.65</v>
      </c>
      <c r="J84" s="566">
        <v>2</v>
      </c>
    </row>
    <row r="85" spans="1:10" ht="12.75">
      <c r="A85" s="962">
        <v>93</v>
      </c>
      <c r="B85" s="964">
        <v>1.82</v>
      </c>
      <c r="C85" s="964">
        <v>2.3199999999999998</v>
      </c>
      <c r="D85" s="961"/>
      <c r="E85" s="961"/>
      <c r="F85" s="961"/>
      <c r="H85" s="564">
        <v>84</v>
      </c>
      <c r="I85" s="566">
        <v>1.67</v>
      </c>
      <c r="J85" s="566">
        <v>2.0299999999999998</v>
      </c>
    </row>
    <row r="86" spans="1:10" ht="12.75">
      <c r="A86" s="962">
        <v>94</v>
      </c>
      <c r="B86" s="964">
        <v>1.84</v>
      </c>
      <c r="C86" s="964">
        <v>2.35</v>
      </c>
      <c r="D86" s="961"/>
      <c r="E86" s="961"/>
      <c r="F86" s="961"/>
      <c r="H86" s="564">
        <v>85</v>
      </c>
      <c r="I86" s="566">
        <v>1.69</v>
      </c>
      <c r="J86" s="566">
        <v>2.06</v>
      </c>
    </row>
    <row r="87" spans="1:10" ht="12.75">
      <c r="A87" s="962">
        <v>95</v>
      </c>
      <c r="B87" s="964">
        <v>1.86</v>
      </c>
      <c r="C87" s="964">
        <v>2.39</v>
      </c>
      <c r="D87" s="961"/>
      <c r="E87" s="961"/>
      <c r="F87" s="961"/>
      <c r="H87" s="564">
        <v>86</v>
      </c>
      <c r="I87" s="566">
        <v>1.7</v>
      </c>
      <c r="J87" s="566">
        <v>2.08</v>
      </c>
    </row>
    <row r="88" spans="1:10" ht="12.75">
      <c r="A88" s="962">
        <v>96</v>
      </c>
      <c r="B88" s="964">
        <v>1.88</v>
      </c>
      <c r="C88" s="964">
        <v>2.4300000000000002</v>
      </c>
      <c r="D88" s="961"/>
      <c r="E88" s="961"/>
      <c r="F88" s="961"/>
      <c r="H88" s="564">
        <v>87</v>
      </c>
      <c r="I88" s="566">
        <v>1.72</v>
      </c>
      <c r="J88" s="566">
        <v>2.11</v>
      </c>
    </row>
    <row r="89" spans="1:10" ht="12.75">
      <c r="A89" s="962">
        <v>97</v>
      </c>
      <c r="B89" s="964">
        <v>1.9</v>
      </c>
      <c r="C89" s="964">
        <v>2.4700000000000002</v>
      </c>
      <c r="D89" s="961"/>
      <c r="E89" s="961"/>
      <c r="F89" s="961"/>
      <c r="H89" s="564">
        <v>88</v>
      </c>
      <c r="I89" s="566">
        <v>1.74</v>
      </c>
      <c r="J89" s="566">
        <v>2.15</v>
      </c>
    </row>
    <row r="90" spans="1:10" ht="12.75">
      <c r="A90" s="962">
        <v>98</v>
      </c>
      <c r="B90" s="964">
        <v>1.92</v>
      </c>
      <c r="C90" s="964">
        <v>2.52</v>
      </c>
      <c r="D90" s="961"/>
      <c r="E90" s="961"/>
      <c r="F90" s="961"/>
      <c r="H90" s="564">
        <v>89</v>
      </c>
      <c r="I90" s="566">
        <v>1.75</v>
      </c>
      <c r="J90" s="566">
        <v>2.1800000000000002</v>
      </c>
    </row>
    <row r="91" spans="1:10" ht="12.75">
      <c r="A91" s="962">
        <v>99</v>
      </c>
      <c r="B91" s="964">
        <v>1.94</v>
      </c>
      <c r="C91" s="964">
        <v>2.56</v>
      </c>
      <c r="D91" s="961"/>
      <c r="E91" s="961"/>
      <c r="F91" s="961"/>
      <c r="H91" s="564">
        <v>90</v>
      </c>
      <c r="I91" s="566">
        <v>1.77</v>
      </c>
      <c r="J91" s="566">
        <v>2.21</v>
      </c>
    </row>
    <row r="92" spans="1:10" ht="12.75">
      <c r="A92" s="962">
        <v>100</v>
      </c>
      <c r="B92" s="964">
        <v>1.96</v>
      </c>
      <c r="C92" s="964">
        <v>2.61</v>
      </c>
      <c r="D92" s="961"/>
      <c r="E92" s="961"/>
      <c r="F92" s="961"/>
      <c r="H92" s="564">
        <v>91</v>
      </c>
      <c r="I92" s="566">
        <v>1.79</v>
      </c>
      <c r="J92" s="566">
        <v>2.21</v>
      </c>
    </row>
    <row r="93" spans="1:10" ht="12.75">
      <c r="A93" s="962">
        <v>101</v>
      </c>
      <c r="B93" s="964">
        <v>1.99</v>
      </c>
      <c r="C93" s="964">
        <v>2.65</v>
      </c>
      <c r="D93" s="961"/>
      <c r="E93" s="961"/>
      <c r="F93" s="961"/>
      <c r="H93" s="564">
        <v>92</v>
      </c>
      <c r="I93" s="566">
        <v>1.81</v>
      </c>
      <c r="J93" s="566">
        <v>2.2799999999999998</v>
      </c>
    </row>
    <row r="94" spans="1:10" ht="12.75">
      <c r="A94" s="962">
        <v>102</v>
      </c>
      <c r="B94" s="964">
        <v>2.0099999999999998</v>
      </c>
      <c r="C94" s="964">
        <v>2.7</v>
      </c>
      <c r="D94" s="961"/>
      <c r="E94" s="961"/>
      <c r="F94" s="961"/>
      <c r="H94" s="564">
        <v>93</v>
      </c>
      <c r="I94" s="566">
        <v>1.82</v>
      </c>
      <c r="J94" s="566">
        <v>2.3199999999999998</v>
      </c>
    </row>
    <row r="95" spans="1:10" ht="12.75">
      <c r="A95" s="962">
        <v>103</v>
      </c>
      <c r="B95" s="964">
        <v>2.0299999999999998</v>
      </c>
      <c r="C95" s="964">
        <v>2.75</v>
      </c>
      <c r="D95" s="961"/>
      <c r="E95" s="961"/>
      <c r="F95" s="961"/>
      <c r="H95" s="564">
        <v>94</v>
      </c>
      <c r="I95" s="566">
        <v>1.84</v>
      </c>
      <c r="J95" s="566">
        <v>2.35</v>
      </c>
    </row>
    <row r="96" spans="1:10" ht="12.75">
      <c r="A96" s="962">
        <v>104</v>
      </c>
      <c r="B96" s="964">
        <v>2.0499999999999998</v>
      </c>
      <c r="C96" s="964">
        <v>2.81</v>
      </c>
      <c r="D96" s="961"/>
      <c r="E96" s="961"/>
      <c r="F96" s="961"/>
      <c r="H96" s="564">
        <v>95</v>
      </c>
      <c r="I96" s="566">
        <v>1.86</v>
      </c>
      <c r="J96" s="566">
        <v>2.39</v>
      </c>
    </row>
    <row r="97" spans="1:10" ht="12.75">
      <c r="A97" s="962">
        <v>105</v>
      </c>
      <c r="B97" s="964">
        <v>2.08</v>
      </c>
      <c r="C97" s="964">
        <v>2.86</v>
      </c>
      <c r="D97" s="961"/>
      <c r="E97" s="961"/>
      <c r="F97" s="961"/>
      <c r="H97" s="564">
        <v>96</v>
      </c>
      <c r="I97" s="566">
        <v>1.88</v>
      </c>
      <c r="J97" s="566">
        <v>2.4300000000000002</v>
      </c>
    </row>
    <row r="98" spans="1:10" ht="12.75">
      <c r="A98" s="962">
        <v>106</v>
      </c>
      <c r="B98" s="964">
        <v>2.1</v>
      </c>
      <c r="C98" s="964">
        <v>2.92</v>
      </c>
      <c r="D98" s="961"/>
      <c r="E98" s="961"/>
      <c r="F98" s="961"/>
      <c r="H98" s="564">
        <v>97</v>
      </c>
      <c r="I98" s="566">
        <v>1.9</v>
      </c>
      <c r="J98" s="566">
        <v>2.4700000000000002</v>
      </c>
    </row>
    <row r="99" spans="1:10" ht="12.75">
      <c r="A99" s="962">
        <v>107</v>
      </c>
      <c r="B99" s="964">
        <v>2.13</v>
      </c>
      <c r="C99" s="964">
        <v>2.98</v>
      </c>
      <c r="D99" s="961"/>
      <c r="E99" s="961"/>
      <c r="F99" s="961"/>
      <c r="H99" s="564">
        <v>98</v>
      </c>
      <c r="I99" s="566">
        <v>1.92</v>
      </c>
      <c r="J99" s="566">
        <v>2.52</v>
      </c>
    </row>
    <row r="100" spans="1:10" ht="12.75">
      <c r="A100" s="962">
        <v>108</v>
      </c>
      <c r="B100" s="964">
        <v>2.15</v>
      </c>
      <c r="C100" s="964">
        <v>3.04</v>
      </c>
      <c r="D100" s="961"/>
      <c r="E100" s="961"/>
      <c r="F100" s="961"/>
      <c r="H100" s="564">
        <v>99</v>
      </c>
      <c r="I100" s="566">
        <v>1.94</v>
      </c>
      <c r="J100" s="566">
        <v>2.56</v>
      </c>
    </row>
    <row r="101" spans="1:10" ht="12.75">
      <c r="A101" s="962">
        <v>109</v>
      </c>
      <c r="B101" s="964">
        <v>2.1800000000000002</v>
      </c>
      <c r="C101" s="964">
        <v>3.1</v>
      </c>
      <c r="D101" s="961"/>
      <c r="E101" s="961"/>
      <c r="F101" s="961"/>
      <c r="H101" s="564">
        <v>100</v>
      </c>
      <c r="I101" s="566">
        <v>1.96</v>
      </c>
      <c r="J101" s="566">
        <v>2.61</v>
      </c>
    </row>
    <row r="102" spans="1:10" ht="12.75">
      <c r="A102" s="962">
        <v>110</v>
      </c>
      <c r="B102" s="964">
        <v>2.2000000000000002</v>
      </c>
      <c r="C102" s="964">
        <v>3.15</v>
      </c>
      <c r="D102" s="961"/>
      <c r="E102" s="961"/>
      <c r="F102" s="961"/>
      <c r="H102" s="564">
        <v>101</v>
      </c>
      <c r="I102" s="566">
        <v>1.99</v>
      </c>
      <c r="J102" s="566">
        <v>2.65</v>
      </c>
    </row>
    <row r="103" spans="1:10" ht="12.75">
      <c r="A103" s="962">
        <v>111</v>
      </c>
      <c r="B103" s="964">
        <v>2.23</v>
      </c>
      <c r="C103" s="964">
        <v>3.21</v>
      </c>
      <c r="D103" s="961"/>
      <c r="E103" s="961"/>
      <c r="F103" s="961"/>
      <c r="H103" s="564">
        <v>102</v>
      </c>
      <c r="I103" s="566">
        <v>2.0099999999999998</v>
      </c>
      <c r="J103" s="566">
        <v>2.7</v>
      </c>
    </row>
    <row r="104" spans="1:10" ht="12.75">
      <c r="A104" s="962">
        <v>112</v>
      </c>
      <c r="B104" s="964">
        <v>2.2599999999999998</v>
      </c>
      <c r="C104" s="964">
        <v>3.27</v>
      </c>
      <c r="D104" s="961"/>
      <c r="E104" s="961"/>
      <c r="F104" s="961"/>
      <c r="H104" s="564">
        <v>103</v>
      </c>
      <c r="I104" s="566">
        <v>2.0299999999999998</v>
      </c>
      <c r="J104" s="566">
        <v>2.75</v>
      </c>
    </row>
    <row r="105" spans="1:10" ht="12.75">
      <c r="A105" s="962">
        <v>113</v>
      </c>
      <c r="B105" s="964">
        <v>2.29</v>
      </c>
      <c r="C105" s="964">
        <v>3.33</v>
      </c>
      <c r="D105" s="961"/>
      <c r="E105" s="961"/>
      <c r="F105" s="961"/>
      <c r="H105" s="564">
        <v>104</v>
      </c>
      <c r="I105" s="566">
        <v>2.0499999999999998</v>
      </c>
      <c r="J105" s="566">
        <v>2.81</v>
      </c>
    </row>
    <row r="106" spans="1:10" ht="12.75">
      <c r="A106" s="962">
        <v>114</v>
      </c>
      <c r="B106" s="964">
        <v>2.3199999999999998</v>
      </c>
      <c r="C106" s="964">
        <v>3.39</v>
      </c>
      <c r="D106" s="961"/>
      <c r="E106" s="961"/>
      <c r="F106" s="961"/>
      <c r="H106" s="564">
        <v>105</v>
      </c>
      <c r="I106" s="566">
        <v>2.08</v>
      </c>
      <c r="J106" s="566">
        <v>2.86</v>
      </c>
    </row>
    <row r="107" spans="1:10" ht="12.75">
      <c r="A107" s="962">
        <v>115</v>
      </c>
      <c r="B107" s="964">
        <v>2.35</v>
      </c>
      <c r="C107" s="964">
        <v>3.45</v>
      </c>
      <c r="D107" s="961"/>
      <c r="E107" s="961"/>
      <c r="F107" s="961"/>
      <c r="H107" s="564">
        <v>106</v>
      </c>
      <c r="I107" s="566">
        <v>2.1</v>
      </c>
      <c r="J107" s="566">
        <v>2.92</v>
      </c>
    </row>
    <row r="108" spans="1:10" ht="12.75">
      <c r="A108" s="962">
        <v>116</v>
      </c>
      <c r="B108" s="964">
        <v>2.38</v>
      </c>
      <c r="C108" s="964">
        <v>3.51</v>
      </c>
      <c r="D108" s="961"/>
      <c r="E108" s="961"/>
      <c r="F108" s="961"/>
      <c r="H108" s="564">
        <v>107</v>
      </c>
      <c r="I108" s="566">
        <v>2.13</v>
      </c>
      <c r="J108" s="566">
        <v>2.98</v>
      </c>
    </row>
    <row r="109" spans="1:10" ht="12.75">
      <c r="A109" s="962">
        <v>117</v>
      </c>
      <c r="B109" s="964">
        <v>2.41</v>
      </c>
      <c r="C109" s="964">
        <v>3.57</v>
      </c>
      <c r="D109" s="961"/>
      <c r="E109" s="961"/>
      <c r="F109" s="961"/>
      <c r="H109" s="564">
        <v>108</v>
      </c>
      <c r="I109" s="566">
        <v>2.15</v>
      </c>
      <c r="J109" s="566">
        <v>3.04</v>
      </c>
    </row>
    <row r="110" spans="1:10" ht="12.75">
      <c r="A110" s="962">
        <v>118</v>
      </c>
      <c r="B110" s="964">
        <v>2.4500000000000002</v>
      </c>
      <c r="C110" s="964">
        <v>3.63</v>
      </c>
      <c r="D110" s="961"/>
      <c r="E110" s="961"/>
      <c r="F110" s="961"/>
      <c r="H110" s="564">
        <v>109</v>
      </c>
      <c r="I110" s="566">
        <v>2.1800000000000002</v>
      </c>
      <c r="J110" s="566">
        <v>3.1</v>
      </c>
    </row>
    <row r="111" spans="1:10" ht="12.75">
      <c r="A111" s="962">
        <v>119</v>
      </c>
      <c r="B111" s="964">
        <v>2.48</v>
      </c>
      <c r="C111" s="964">
        <v>3.69</v>
      </c>
      <c r="D111" s="961"/>
      <c r="E111" s="961"/>
      <c r="F111" s="961"/>
      <c r="H111" s="564">
        <v>110</v>
      </c>
      <c r="I111" s="566">
        <v>2.2000000000000002</v>
      </c>
      <c r="J111" s="566">
        <v>3.15</v>
      </c>
    </row>
    <row r="112" spans="1:10" ht="12.75">
      <c r="A112" s="962">
        <v>120</v>
      </c>
      <c r="B112" s="964">
        <v>2.5099999999999998</v>
      </c>
      <c r="C112" s="964">
        <v>3.75</v>
      </c>
      <c r="D112" s="961"/>
      <c r="E112" s="961"/>
      <c r="F112" s="961"/>
      <c r="H112" s="564">
        <v>111</v>
      </c>
      <c r="I112" s="566">
        <v>2.23</v>
      </c>
      <c r="J112" s="566">
        <v>3.21</v>
      </c>
    </row>
    <row r="113" spans="1:10" ht="12.75">
      <c r="A113" s="962">
        <v>121</v>
      </c>
      <c r="B113" s="964">
        <v>2.5499999999999998</v>
      </c>
      <c r="C113" s="964">
        <v>3.81</v>
      </c>
      <c r="D113" s="961"/>
      <c r="E113" s="961"/>
      <c r="F113" s="961"/>
      <c r="H113" s="564">
        <v>112</v>
      </c>
      <c r="I113" s="566">
        <v>2.2599999999999998</v>
      </c>
      <c r="J113" s="566">
        <v>3.27</v>
      </c>
    </row>
    <row r="114" spans="1:10" ht="12.75">
      <c r="A114" s="962">
        <v>122</v>
      </c>
      <c r="B114" s="964">
        <v>2.59</v>
      </c>
      <c r="C114" s="964">
        <v>3.88</v>
      </c>
      <c r="D114" s="961"/>
      <c r="E114" s="961"/>
      <c r="F114" s="961"/>
      <c r="H114" s="564">
        <v>113</v>
      </c>
      <c r="I114" s="566">
        <v>2.29</v>
      </c>
      <c r="J114" s="566">
        <v>3.33</v>
      </c>
    </row>
    <row r="115" spans="1:10" ht="12.75">
      <c r="A115" s="962">
        <v>123</v>
      </c>
      <c r="B115" s="964">
        <v>2.63</v>
      </c>
      <c r="C115" s="964">
        <v>3.94</v>
      </c>
      <c r="D115" s="961"/>
      <c r="E115" s="961"/>
      <c r="F115" s="961"/>
      <c r="H115" s="564">
        <v>114</v>
      </c>
      <c r="I115" s="566">
        <v>2.3199999999999998</v>
      </c>
      <c r="J115" s="566">
        <v>3.39</v>
      </c>
    </row>
    <row r="116" spans="1:10" ht="12.75">
      <c r="A116" s="962">
        <v>124</v>
      </c>
      <c r="B116" s="964">
        <v>2.66</v>
      </c>
      <c r="C116" s="964">
        <v>4.01</v>
      </c>
      <c r="D116" s="961"/>
      <c r="E116" s="961"/>
      <c r="F116" s="961"/>
      <c r="H116" s="564">
        <v>115</v>
      </c>
      <c r="I116" s="566">
        <v>2.35</v>
      </c>
      <c r="J116" s="566">
        <v>3.45</v>
      </c>
    </row>
    <row r="117" spans="1:10" ht="12.75">
      <c r="A117" s="962">
        <v>125</v>
      </c>
      <c r="B117" s="964">
        <v>2.71</v>
      </c>
      <c r="C117" s="964">
        <v>4.07</v>
      </c>
      <c r="D117" s="961"/>
      <c r="E117" s="961"/>
      <c r="F117" s="961"/>
      <c r="H117" s="564">
        <v>116</v>
      </c>
      <c r="I117" s="566">
        <v>2.38</v>
      </c>
      <c r="J117" s="566">
        <v>3.51</v>
      </c>
    </row>
    <row r="118" spans="1:10" ht="12.75">
      <c r="A118" s="962">
        <v>126</v>
      </c>
      <c r="B118" s="964">
        <v>2.75</v>
      </c>
      <c r="C118" s="964">
        <v>4.1399999999999997</v>
      </c>
      <c r="D118" s="961"/>
      <c r="E118" s="961"/>
      <c r="F118" s="961"/>
      <c r="H118" s="564">
        <v>117</v>
      </c>
      <c r="I118" s="566">
        <v>2.41</v>
      </c>
      <c r="J118" s="566">
        <v>3.57</v>
      </c>
    </row>
    <row r="119" spans="1:10" ht="12.75">
      <c r="A119" s="962">
        <v>127</v>
      </c>
      <c r="B119" s="964">
        <v>2.79</v>
      </c>
      <c r="C119" s="964">
        <v>4.2</v>
      </c>
      <c r="D119" s="961"/>
      <c r="E119" s="961"/>
      <c r="F119" s="961"/>
      <c r="H119" s="564">
        <v>118</v>
      </c>
      <c r="I119" s="566">
        <v>2.4500000000000002</v>
      </c>
      <c r="J119" s="566">
        <v>3.63</v>
      </c>
    </row>
    <row r="120" spans="1:10" ht="12.75">
      <c r="A120" s="962">
        <v>128</v>
      </c>
      <c r="B120" s="964">
        <v>2.84</v>
      </c>
      <c r="C120" s="964">
        <v>4.2699999999999996</v>
      </c>
      <c r="D120" s="961"/>
      <c r="E120" s="961"/>
      <c r="F120" s="961"/>
      <c r="H120" s="564">
        <v>119</v>
      </c>
      <c r="I120" s="566">
        <v>2.48</v>
      </c>
      <c r="J120" s="566">
        <v>3.69</v>
      </c>
    </row>
    <row r="121" spans="1:10" ht="12.75">
      <c r="A121" s="962">
        <v>129</v>
      </c>
      <c r="B121" s="964">
        <v>2.88</v>
      </c>
      <c r="C121" s="964">
        <v>4.34</v>
      </c>
      <c r="D121" s="961"/>
      <c r="E121" s="961"/>
      <c r="F121" s="961"/>
      <c r="H121" s="564">
        <v>120</v>
      </c>
      <c r="I121" s="566">
        <v>2.5099999999999998</v>
      </c>
      <c r="J121" s="566">
        <v>3.75</v>
      </c>
    </row>
    <row r="122" spans="1:10" ht="12.75">
      <c r="A122" s="962">
        <v>130</v>
      </c>
      <c r="B122" s="964">
        <v>2.93</v>
      </c>
      <c r="C122" s="964">
        <v>4.4000000000000004</v>
      </c>
      <c r="D122" s="961"/>
      <c r="E122" s="961"/>
      <c r="F122" s="961"/>
      <c r="H122" s="564">
        <v>121</v>
      </c>
      <c r="I122" s="566">
        <v>2.5499999999999998</v>
      </c>
      <c r="J122" s="566">
        <v>3.81</v>
      </c>
    </row>
    <row r="123" spans="1:10" ht="12.75">
      <c r="A123" s="962">
        <v>131</v>
      </c>
      <c r="B123" s="964">
        <v>2.98</v>
      </c>
      <c r="C123" s="964">
        <v>4.47</v>
      </c>
      <c r="D123" s="961"/>
      <c r="E123" s="961"/>
      <c r="F123" s="961"/>
      <c r="H123" s="564">
        <v>122</v>
      </c>
      <c r="I123" s="566">
        <v>2.59</v>
      </c>
      <c r="J123" s="566">
        <v>3.88</v>
      </c>
    </row>
    <row r="124" spans="1:10" ht="12.75">
      <c r="A124" s="962">
        <v>132</v>
      </c>
      <c r="B124" s="964">
        <v>3.03</v>
      </c>
      <c r="C124" s="964">
        <v>4.54</v>
      </c>
      <c r="D124" s="961"/>
      <c r="E124" s="961"/>
      <c r="F124" s="961"/>
      <c r="H124" s="564">
        <v>123</v>
      </c>
      <c r="I124" s="566">
        <v>2.63</v>
      </c>
      <c r="J124" s="566">
        <v>3.94</v>
      </c>
    </row>
    <row r="125" spans="1:10" ht="12.75">
      <c r="A125" s="962">
        <v>133</v>
      </c>
      <c r="B125" s="964">
        <v>3.07</v>
      </c>
      <c r="C125" s="964">
        <v>4.6100000000000003</v>
      </c>
      <c r="D125" s="961"/>
      <c r="E125" s="961"/>
      <c r="F125" s="961"/>
      <c r="H125" s="564">
        <v>124</v>
      </c>
      <c r="I125" s="566">
        <v>2.66</v>
      </c>
      <c r="J125" s="566">
        <v>4.01</v>
      </c>
    </row>
    <row r="126" spans="1:10" ht="12.75">
      <c r="A126" s="962">
        <v>134</v>
      </c>
      <c r="B126" s="964">
        <v>3.12</v>
      </c>
      <c r="C126" s="964">
        <v>4.68</v>
      </c>
      <c r="D126" s="961"/>
      <c r="E126" s="961"/>
      <c r="F126" s="961"/>
      <c r="H126" s="564">
        <v>125</v>
      </c>
      <c r="I126" s="566">
        <v>2.71</v>
      </c>
      <c r="J126" s="566">
        <v>4.07</v>
      </c>
    </row>
    <row r="127" spans="1:10" ht="12.75">
      <c r="A127" s="962">
        <v>135</v>
      </c>
      <c r="B127" s="964">
        <v>3.17</v>
      </c>
      <c r="C127" s="964">
        <v>4.75</v>
      </c>
      <c r="D127" s="961"/>
      <c r="E127" s="961"/>
      <c r="F127" s="961"/>
      <c r="H127" s="564">
        <v>126</v>
      </c>
      <c r="I127" s="566">
        <v>2.75</v>
      </c>
      <c r="J127" s="566">
        <v>4.1399999999999997</v>
      </c>
    </row>
    <row r="128" spans="1:10" ht="12.75">
      <c r="A128" s="962">
        <v>136</v>
      </c>
      <c r="B128" s="964">
        <v>3.21</v>
      </c>
      <c r="C128" s="964">
        <v>4.82</v>
      </c>
      <c r="D128" s="961"/>
      <c r="E128" s="961"/>
      <c r="F128" s="961"/>
      <c r="H128" s="564">
        <v>127</v>
      </c>
      <c r="I128" s="566">
        <v>2.79</v>
      </c>
      <c r="J128" s="566">
        <v>4.2</v>
      </c>
    </row>
    <row r="129" spans="1:13" ht="12.75">
      <c r="A129" s="962">
        <v>137</v>
      </c>
      <c r="B129" s="964">
        <v>3.26</v>
      </c>
      <c r="C129" s="964">
        <v>4.8899999999999997</v>
      </c>
      <c r="D129" s="961"/>
      <c r="E129" s="961"/>
      <c r="F129" s="961"/>
      <c r="H129" s="564">
        <v>128</v>
      </c>
      <c r="I129" s="566">
        <v>2.84</v>
      </c>
      <c r="J129" s="566">
        <v>4.2699999999999996</v>
      </c>
    </row>
    <row r="130" spans="1:13" ht="12.75">
      <c r="A130" s="962">
        <v>138</v>
      </c>
      <c r="B130" s="964">
        <v>3.31</v>
      </c>
      <c r="C130" s="964">
        <v>4.96</v>
      </c>
      <c r="D130" s="961"/>
      <c r="E130" s="961"/>
      <c r="F130" s="961"/>
      <c r="H130" s="564">
        <v>129</v>
      </c>
      <c r="I130" s="566">
        <v>2.88</v>
      </c>
      <c r="J130" s="566">
        <v>4.34</v>
      </c>
    </row>
    <row r="131" spans="1:13" ht="12.75">
      <c r="A131" s="962">
        <v>139</v>
      </c>
      <c r="B131" s="964">
        <v>3.36</v>
      </c>
      <c r="C131" s="964">
        <v>5.03</v>
      </c>
      <c r="D131" s="961"/>
      <c r="E131" s="961"/>
      <c r="F131" s="961"/>
      <c r="H131" s="564">
        <v>130</v>
      </c>
      <c r="I131" s="566">
        <v>2.93</v>
      </c>
      <c r="J131" s="566">
        <v>4.4000000000000004</v>
      </c>
    </row>
    <row r="132" spans="1:13" ht="12.75">
      <c r="A132" s="962">
        <v>140</v>
      </c>
      <c r="B132" s="964">
        <v>3.91</v>
      </c>
      <c r="C132" s="964">
        <v>5.1100000000000003</v>
      </c>
      <c r="D132" s="961"/>
      <c r="E132" s="961"/>
      <c r="F132" s="961"/>
      <c r="H132" s="564">
        <v>131</v>
      </c>
      <c r="I132" s="566">
        <v>2.98</v>
      </c>
      <c r="J132" s="566">
        <v>4.47</v>
      </c>
    </row>
    <row r="133" spans="1:13" ht="12.75">
      <c r="A133" s="962">
        <v>141</v>
      </c>
      <c r="B133" s="964">
        <v>3.45</v>
      </c>
      <c r="C133" s="964">
        <v>5.18</v>
      </c>
      <c r="D133" s="961"/>
      <c r="E133" s="961"/>
      <c r="F133" s="961"/>
      <c r="H133" s="564">
        <v>132</v>
      </c>
      <c r="I133" s="566">
        <v>3.03</v>
      </c>
      <c r="J133" s="566">
        <v>4.54</v>
      </c>
    </row>
    <row r="134" spans="1:13" ht="12.75">
      <c r="A134" s="962">
        <v>142</v>
      </c>
      <c r="B134" s="964">
        <v>3.5</v>
      </c>
      <c r="C134" s="964">
        <v>5.25</v>
      </c>
      <c r="D134" s="961"/>
      <c r="E134" s="961"/>
      <c r="F134" s="961"/>
      <c r="H134" s="564">
        <v>133</v>
      </c>
      <c r="I134" s="566">
        <v>3.07</v>
      </c>
      <c r="J134" s="566">
        <v>4.6100000000000003</v>
      </c>
    </row>
    <row r="135" spans="1:13" ht="12.75">
      <c r="A135" s="962">
        <v>143</v>
      </c>
      <c r="B135" s="964">
        <v>3.55</v>
      </c>
      <c r="C135" s="964">
        <v>5.33</v>
      </c>
      <c r="D135" s="961"/>
      <c r="E135" s="961"/>
      <c r="F135" s="961"/>
      <c r="H135" s="564">
        <v>134</v>
      </c>
      <c r="I135" s="566">
        <v>3.12</v>
      </c>
      <c r="J135" s="566">
        <v>4.68</v>
      </c>
    </row>
    <row r="136" spans="1:13" ht="12.75">
      <c r="A136" s="962">
        <v>144</v>
      </c>
      <c r="B136" s="964">
        <v>3.6</v>
      </c>
      <c r="C136" s="964">
        <v>5.4</v>
      </c>
      <c r="D136" s="961"/>
      <c r="E136" s="961"/>
      <c r="F136" s="961"/>
      <c r="H136" s="564">
        <v>135</v>
      </c>
      <c r="I136" s="566">
        <v>3.17</v>
      </c>
      <c r="J136" s="566">
        <v>4.75</v>
      </c>
    </row>
    <row r="137" spans="1:13" ht="12.75">
      <c r="A137" s="962">
        <v>145</v>
      </c>
      <c r="B137" s="964">
        <v>3.65</v>
      </c>
      <c r="C137" s="964">
        <v>5.48</v>
      </c>
      <c r="D137" s="961"/>
      <c r="E137" s="961"/>
      <c r="F137" s="961"/>
      <c r="H137" s="564">
        <v>136</v>
      </c>
      <c r="I137" s="566">
        <v>3.21</v>
      </c>
      <c r="J137" s="566">
        <v>4.82</v>
      </c>
    </row>
    <row r="138" spans="1:13" ht="12.75">
      <c r="A138" s="962">
        <v>146</v>
      </c>
      <c r="B138" s="964">
        <v>3.7</v>
      </c>
      <c r="C138" s="964">
        <v>5.55</v>
      </c>
      <c r="D138" s="961"/>
      <c r="E138" s="961"/>
      <c r="F138" s="961"/>
      <c r="H138" s="564">
        <v>137</v>
      </c>
      <c r="I138" s="566">
        <v>3.26</v>
      </c>
      <c r="J138" s="566">
        <v>4.8899999999999997</v>
      </c>
    </row>
    <row r="139" spans="1:13" ht="12.75">
      <c r="A139" s="962">
        <v>147</v>
      </c>
      <c r="B139" s="964">
        <v>3.75</v>
      </c>
      <c r="C139" s="964">
        <v>5.63</v>
      </c>
      <c r="D139" s="961"/>
      <c r="E139" s="961"/>
      <c r="F139" s="961"/>
      <c r="H139" s="564">
        <v>138</v>
      </c>
      <c r="I139" s="566">
        <v>3.31</v>
      </c>
      <c r="J139" s="566">
        <v>4.96</v>
      </c>
    </row>
    <row r="140" spans="1:13" ht="12.75">
      <c r="A140" s="962">
        <v>148</v>
      </c>
      <c r="B140" s="964">
        <v>3.8</v>
      </c>
      <c r="C140" s="964">
        <v>5.71</v>
      </c>
      <c r="D140" s="961"/>
      <c r="E140" s="961"/>
      <c r="F140" s="961"/>
      <c r="H140" s="564">
        <v>139</v>
      </c>
      <c r="I140" s="566">
        <v>3.36</v>
      </c>
      <c r="J140" s="566">
        <v>5.03</v>
      </c>
    </row>
    <row r="141" spans="1:13" ht="12.75">
      <c r="A141" s="962">
        <v>149</v>
      </c>
      <c r="B141" s="964">
        <v>3.86</v>
      </c>
      <c r="C141" s="964">
        <v>5.78</v>
      </c>
      <c r="D141" s="961"/>
      <c r="E141" s="961"/>
      <c r="F141" s="961"/>
      <c r="H141" s="564">
        <v>140</v>
      </c>
      <c r="I141" s="566">
        <v>3.91</v>
      </c>
      <c r="J141" s="566">
        <v>5.1100000000000003</v>
      </c>
    </row>
    <row r="142" spans="1:13" ht="12.75">
      <c r="A142" s="962">
        <v>150</v>
      </c>
      <c r="B142" s="964">
        <v>3.4</v>
      </c>
      <c r="C142" s="964">
        <v>5.86</v>
      </c>
      <c r="D142" s="961"/>
      <c r="E142" s="961"/>
      <c r="F142" s="961"/>
      <c r="H142" s="564">
        <v>141</v>
      </c>
      <c r="I142" s="566">
        <v>3.45</v>
      </c>
      <c r="J142" s="566">
        <v>5.18</v>
      </c>
    </row>
    <row r="143" spans="1:13" ht="12.75">
      <c r="A143" s="962">
        <v>151</v>
      </c>
      <c r="B143" s="964">
        <v>3.96</v>
      </c>
      <c r="C143" s="964">
        <v>5.94</v>
      </c>
      <c r="D143" s="961"/>
      <c r="E143" s="961"/>
      <c r="F143" s="961"/>
      <c r="H143" s="564">
        <v>142</v>
      </c>
      <c r="I143" s="566">
        <v>3.5</v>
      </c>
      <c r="J143" s="566">
        <v>5.25</v>
      </c>
    </row>
    <row r="144" spans="1:13" ht="12.75">
      <c r="A144" s="962">
        <v>152</v>
      </c>
      <c r="B144" s="964">
        <v>4.01</v>
      </c>
      <c r="C144" s="964">
        <v>6.02</v>
      </c>
      <c r="D144" s="961"/>
      <c r="E144" s="961"/>
      <c r="F144" s="961"/>
      <c r="H144" s="564">
        <v>143</v>
      </c>
      <c r="I144" s="566">
        <v>3.55</v>
      </c>
      <c r="J144" s="566">
        <v>5.33</v>
      </c>
      <c r="L144">
        <v>3.72</v>
      </c>
      <c r="M144">
        <f>L144*I144</f>
        <v>13.206</v>
      </c>
    </row>
    <row r="145" spans="1:10" ht="12.75">
      <c r="A145" s="962">
        <v>153</v>
      </c>
      <c r="B145" s="964">
        <v>4.07</v>
      </c>
      <c r="C145" s="964">
        <v>6.1</v>
      </c>
      <c r="D145" s="961"/>
      <c r="E145" s="961"/>
      <c r="F145" s="961"/>
      <c r="H145" s="564">
        <v>144</v>
      </c>
      <c r="I145" s="566">
        <v>3.6</v>
      </c>
      <c r="J145" s="566">
        <v>5.4</v>
      </c>
    </row>
    <row r="146" spans="1:10" ht="12.75">
      <c r="A146" s="962">
        <v>154</v>
      </c>
      <c r="B146" s="964">
        <v>4.12</v>
      </c>
      <c r="C146" s="964">
        <v>6.18</v>
      </c>
      <c r="D146" s="961"/>
      <c r="E146" s="961"/>
      <c r="F146" s="961"/>
      <c r="H146" s="564">
        <v>145</v>
      </c>
      <c r="I146" s="566">
        <v>3.65</v>
      </c>
      <c r="J146" s="566">
        <v>5.48</v>
      </c>
    </row>
    <row r="147" spans="1:10" ht="12.75">
      <c r="A147" s="962">
        <v>155</v>
      </c>
      <c r="B147" s="964">
        <v>4.17</v>
      </c>
      <c r="C147" s="964">
        <v>6.26</v>
      </c>
      <c r="D147" s="961"/>
      <c r="E147" s="961"/>
      <c r="F147" s="961"/>
      <c r="H147" s="564">
        <v>146</v>
      </c>
      <c r="I147" s="566">
        <v>3.7</v>
      </c>
      <c r="J147" s="566">
        <v>5.55</v>
      </c>
    </row>
    <row r="148" spans="1:10" ht="12.75">
      <c r="A148" s="962">
        <v>156</v>
      </c>
      <c r="B148" s="964">
        <v>4.2300000000000004</v>
      </c>
      <c r="C148" s="964">
        <v>6.34</v>
      </c>
      <c r="D148" s="961"/>
      <c r="E148" s="961"/>
      <c r="F148" s="961"/>
      <c r="H148" s="564">
        <v>147</v>
      </c>
      <c r="I148" s="566">
        <v>3.75</v>
      </c>
      <c r="J148" s="566">
        <v>5.63</v>
      </c>
    </row>
    <row r="149" spans="1:10" ht="12.75">
      <c r="A149" s="962">
        <v>157</v>
      </c>
      <c r="B149" s="964">
        <v>4.28</v>
      </c>
      <c r="C149" s="964">
        <v>6.4219999999999997</v>
      </c>
      <c r="D149" s="961"/>
      <c r="E149" s="961"/>
      <c r="F149" s="961"/>
      <c r="H149" s="564">
        <v>148</v>
      </c>
      <c r="I149" s="566">
        <v>3.8</v>
      </c>
      <c r="J149" s="566">
        <v>5.71</v>
      </c>
    </row>
    <row r="150" spans="1:10" ht="12.75">
      <c r="A150" s="962">
        <v>158</v>
      </c>
      <c r="B150" s="964">
        <v>4.34</v>
      </c>
      <c r="C150" s="964">
        <v>6.5</v>
      </c>
      <c r="D150" s="961"/>
      <c r="E150" s="961"/>
      <c r="F150" s="961"/>
      <c r="H150" s="564">
        <v>149</v>
      </c>
      <c r="I150" s="566">
        <v>3.86</v>
      </c>
      <c r="J150" s="566">
        <v>5.78</v>
      </c>
    </row>
    <row r="151" spans="1:10" ht="12.75">
      <c r="A151" s="962">
        <v>159</v>
      </c>
      <c r="B151" s="964">
        <v>4.3899999999999997</v>
      </c>
      <c r="C151" s="964">
        <v>6.59</v>
      </c>
      <c r="D151" s="961"/>
      <c r="E151" s="961"/>
      <c r="F151" s="961"/>
      <c r="H151" s="564">
        <v>150</v>
      </c>
      <c r="I151" s="566">
        <v>3.4</v>
      </c>
      <c r="J151" s="566">
        <v>5.86</v>
      </c>
    </row>
    <row r="152" spans="1:10" ht="12.75">
      <c r="A152" s="962">
        <v>160</v>
      </c>
      <c r="B152" s="964">
        <v>4.45</v>
      </c>
      <c r="C152" s="964">
        <v>6.67</v>
      </c>
      <c r="D152" s="961"/>
      <c r="E152" s="961"/>
      <c r="F152" s="961"/>
      <c r="H152" s="564">
        <v>151</v>
      </c>
      <c r="I152" s="566">
        <v>3.96</v>
      </c>
      <c r="J152" s="566">
        <v>5.94</v>
      </c>
    </row>
    <row r="153" spans="1:10" ht="12.75">
      <c r="A153" s="962">
        <v>161</v>
      </c>
      <c r="B153" s="964">
        <v>4.5</v>
      </c>
      <c r="C153" s="964">
        <v>6.75</v>
      </c>
      <c r="D153" s="961"/>
      <c r="E153" s="961"/>
      <c r="F153" s="961"/>
      <c r="H153" s="564">
        <v>152</v>
      </c>
      <c r="I153" s="566">
        <v>4.01</v>
      </c>
      <c r="J153" s="566">
        <v>6.02</v>
      </c>
    </row>
    <row r="154" spans="1:10" ht="12.75">
      <c r="A154" s="962">
        <v>162</v>
      </c>
      <c r="B154" s="964">
        <v>4.5599999999999996</v>
      </c>
      <c r="C154" s="964">
        <v>6.84</v>
      </c>
      <c r="D154" s="961"/>
      <c r="E154" s="961"/>
      <c r="F154" s="961"/>
      <c r="H154" s="564">
        <v>153</v>
      </c>
      <c r="I154" s="566">
        <v>4.07</v>
      </c>
      <c r="J154" s="566">
        <v>6.1</v>
      </c>
    </row>
    <row r="155" spans="1:10" ht="12.75">
      <c r="A155" s="962">
        <v>163</v>
      </c>
      <c r="B155" s="964">
        <v>4.6100000000000003</v>
      </c>
      <c r="C155" s="964">
        <v>6.92</v>
      </c>
      <c r="D155" s="961"/>
      <c r="E155" s="961"/>
      <c r="F155" s="961"/>
      <c r="H155" s="564">
        <v>154</v>
      </c>
      <c r="I155" s="566">
        <v>4.12</v>
      </c>
      <c r="J155" s="566">
        <v>6.18</v>
      </c>
    </row>
    <row r="156" spans="1:10" ht="12.75">
      <c r="A156" s="962">
        <v>164</v>
      </c>
      <c r="B156" s="964">
        <v>4.67</v>
      </c>
      <c r="C156" s="964">
        <v>7.01</v>
      </c>
      <c r="D156" s="961"/>
      <c r="E156" s="961"/>
      <c r="F156" s="961"/>
      <c r="H156" s="564">
        <v>155</v>
      </c>
      <c r="I156" s="566">
        <v>4.17</v>
      </c>
      <c r="J156" s="566">
        <v>6.26</v>
      </c>
    </row>
    <row r="157" spans="1:10" ht="12.75">
      <c r="A157" s="962">
        <v>165</v>
      </c>
      <c r="B157" s="964">
        <v>4.7300000000000004</v>
      </c>
      <c r="C157" s="964">
        <v>7.09</v>
      </c>
      <c r="D157" s="961"/>
      <c r="E157" s="961"/>
      <c r="F157" s="961"/>
      <c r="H157" s="564">
        <v>156</v>
      </c>
      <c r="I157" s="566">
        <v>4.2300000000000004</v>
      </c>
      <c r="J157" s="566">
        <v>6.34</v>
      </c>
    </row>
    <row r="158" spans="1:10" ht="12.75">
      <c r="A158" s="962">
        <v>166</v>
      </c>
      <c r="B158" s="964">
        <v>4.79</v>
      </c>
      <c r="C158" s="964">
        <v>7.18</v>
      </c>
      <c r="D158" s="961"/>
      <c r="E158" s="961"/>
      <c r="F158" s="961"/>
      <c r="H158" s="564">
        <v>157</v>
      </c>
      <c r="I158" s="566">
        <v>4.28</v>
      </c>
      <c r="J158" s="566">
        <v>6.4219999999999997</v>
      </c>
    </row>
    <row r="159" spans="1:10" ht="12.75">
      <c r="A159" s="962">
        <v>167</v>
      </c>
      <c r="B159" s="964">
        <v>4.84</v>
      </c>
      <c r="C159" s="964">
        <v>7.27</v>
      </c>
      <c r="D159" s="961"/>
      <c r="E159" s="961"/>
      <c r="F159" s="961"/>
      <c r="H159" s="564">
        <v>158</v>
      </c>
      <c r="I159" s="566">
        <v>4.34</v>
      </c>
      <c r="J159" s="566">
        <v>6.5</v>
      </c>
    </row>
    <row r="160" spans="1:10" ht="12.75">
      <c r="A160" s="962">
        <v>168</v>
      </c>
      <c r="B160" s="964">
        <v>4.9000000000000004</v>
      </c>
      <c r="C160" s="964">
        <v>7.35</v>
      </c>
      <c r="D160" s="961"/>
      <c r="E160" s="961"/>
      <c r="F160" s="961"/>
      <c r="H160" s="564">
        <v>159</v>
      </c>
      <c r="I160" s="566">
        <v>4.3899999999999997</v>
      </c>
      <c r="J160" s="566">
        <v>6.59</v>
      </c>
    </row>
    <row r="161" spans="1:10" ht="12.75">
      <c r="A161" s="962">
        <v>169</v>
      </c>
      <c r="B161" s="964">
        <v>4.96</v>
      </c>
      <c r="C161" s="964">
        <v>7.44</v>
      </c>
      <c r="D161" s="961"/>
      <c r="E161" s="961"/>
      <c r="F161" s="961"/>
      <c r="H161" s="564">
        <v>160</v>
      </c>
      <c r="I161" s="566">
        <v>4.45</v>
      </c>
      <c r="J161" s="566">
        <v>6.67</v>
      </c>
    </row>
    <row r="162" spans="1:10" ht="12.75">
      <c r="A162" s="962">
        <v>170</v>
      </c>
      <c r="B162" s="964">
        <v>5.0199999999999996</v>
      </c>
      <c r="C162" s="964">
        <v>7.53</v>
      </c>
      <c r="D162" s="961"/>
      <c r="E162" s="961"/>
      <c r="F162" s="961"/>
      <c r="H162" s="564">
        <v>161</v>
      </c>
      <c r="I162" s="566">
        <v>4.5</v>
      </c>
      <c r="J162" s="566">
        <v>6.75</v>
      </c>
    </row>
    <row r="163" spans="1:10" ht="12.75">
      <c r="A163" s="962">
        <v>171</v>
      </c>
      <c r="B163" s="964">
        <v>5.08</v>
      </c>
      <c r="C163" s="964">
        <v>7.62</v>
      </c>
      <c r="D163" s="961"/>
      <c r="E163" s="961"/>
      <c r="F163" s="961"/>
      <c r="H163" s="564">
        <v>162</v>
      </c>
      <c r="I163" s="566">
        <v>4.5599999999999996</v>
      </c>
      <c r="J163" s="566">
        <v>6.84</v>
      </c>
    </row>
    <row r="164" spans="1:10" ht="12.75">
      <c r="A164" s="962">
        <v>172</v>
      </c>
      <c r="B164" s="964">
        <v>5.14</v>
      </c>
      <c r="C164" s="964">
        <v>7.71</v>
      </c>
      <c r="D164" s="961"/>
      <c r="E164" s="961"/>
      <c r="F164" s="961"/>
      <c r="H164" s="564">
        <v>163</v>
      </c>
      <c r="I164" s="566">
        <v>4.6100000000000003</v>
      </c>
      <c r="J164" s="566">
        <v>6.92</v>
      </c>
    </row>
    <row r="165" spans="1:10" ht="12.75">
      <c r="A165" s="962">
        <v>173</v>
      </c>
      <c r="B165" s="964">
        <v>5.2</v>
      </c>
      <c r="C165" s="964">
        <v>7.8</v>
      </c>
      <c r="D165" s="961"/>
      <c r="E165" s="961"/>
      <c r="F165" s="961"/>
      <c r="H165" s="564">
        <v>164</v>
      </c>
      <c r="I165" s="566">
        <v>4.67</v>
      </c>
      <c r="J165" s="566">
        <v>7.01</v>
      </c>
    </row>
    <row r="166" spans="1:10" ht="12.75">
      <c r="A166" s="962">
        <v>174</v>
      </c>
      <c r="B166" s="964">
        <v>5.26</v>
      </c>
      <c r="C166" s="964">
        <v>7.89</v>
      </c>
      <c r="D166" s="961"/>
      <c r="E166" s="961"/>
      <c r="F166" s="961"/>
      <c r="H166" s="564">
        <v>165</v>
      </c>
      <c r="I166" s="566">
        <v>4.7300000000000004</v>
      </c>
      <c r="J166" s="566">
        <v>7.09</v>
      </c>
    </row>
    <row r="167" spans="1:10" ht="12.75">
      <c r="A167" s="962">
        <v>175</v>
      </c>
      <c r="B167" s="964">
        <v>5.32</v>
      </c>
      <c r="C167" s="964">
        <v>7.98</v>
      </c>
      <c r="D167" s="961"/>
      <c r="E167" s="961"/>
      <c r="F167" s="961"/>
      <c r="H167" s="564">
        <v>166</v>
      </c>
      <c r="I167" s="566">
        <v>4.79</v>
      </c>
      <c r="J167" s="566">
        <v>7.18</v>
      </c>
    </row>
    <row r="168" spans="1:10" ht="12.75">
      <c r="A168" s="962">
        <v>176</v>
      </c>
      <c r="B168" s="964">
        <v>5.38</v>
      </c>
      <c r="C168" s="964">
        <v>8.07</v>
      </c>
      <c r="D168" s="961"/>
      <c r="E168" s="961"/>
      <c r="F168" s="961"/>
      <c r="H168" s="564">
        <v>167</v>
      </c>
      <c r="I168" s="566">
        <v>4.84</v>
      </c>
      <c r="J168" s="566">
        <v>7.27</v>
      </c>
    </row>
    <row r="169" spans="1:10" ht="12.75">
      <c r="A169" s="962">
        <v>177</v>
      </c>
      <c r="B169" s="964">
        <v>5.44</v>
      </c>
      <c r="C169" s="964">
        <v>8.16</v>
      </c>
      <c r="D169" s="961"/>
      <c r="E169" s="961"/>
      <c r="F169" s="961"/>
      <c r="H169" s="564">
        <v>168</v>
      </c>
      <c r="I169" s="566">
        <v>4.9000000000000004</v>
      </c>
      <c r="J169" s="566">
        <v>7.35</v>
      </c>
    </row>
    <row r="170" spans="1:10" ht="12.75">
      <c r="A170" s="962">
        <v>178</v>
      </c>
      <c r="B170" s="964">
        <v>5.5</v>
      </c>
      <c r="C170" s="964">
        <v>8.25</v>
      </c>
      <c r="D170" s="961"/>
      <c r="E170" s="961"/>
      <c r="F170" s="961"/>
      <c r="H170" s="564">
        <v>169</v>
      </c>
      <c r="I170" s="566">
        <v>4.96</v>
      </c>
      <c r="J170" s="566">
        <v>7.44</v>
      </c>
    </row>
    <row r="171" spans="1:10" ht="12.75">
      <c r="A171" s="962">
        <v>179</v>
      </c>
      <c r="B171" s="964">
        <v>5.57</v>
      </c>
      <c r="C171" s="964">
        <v>8.35</v>
      </c>
      <c r="D171" s="961"/>
      <c r="E171" s="961"/>
      <c r="F171" s="961"/>
      <c r="H171" s="564">
        <v>170</v>
      </c>
      <c r="I171" s="566">
        <v>5.0199999999999996</v>
      </c>
      <c r="J171" s="566">
        <v>7.53</v>
      </c>
    </row>
    <row r="172" spans="1:10" ht="12.75">
      <c r="A172" s="962">
        <v>180</v>
      </c>
      <c r="B172" s="964">
        <v>5.63</v>
      </c>
      <c r="C172" s="964">
        <v>8.44</v>
      </c>
      <c r="D172" s="961"/>
      <c r="E172" s="961"/>
      <c r="F172" s="961"/>
      <c r="H172" s="564">
        <v>171</v>
      </c>
      <c r="I172" s="566">
        <v>5.08</v>
      </c>
      <c r="J172" s="566">
        <v>7.62</v>
      </c>
    </row>
    <row r="173" spans="1:10" ht="12.75">
      <c r="A173" s="962">
        <v>181</v>
      </c>
      <c r="B173" s="964">
        <v>5.69</v>
      </c>
      <c r="C173" s="964">
        <v>8.5399999999999991</v>
      </c>
      <c r="D173" s="961"/>
      <c r="E173" s="961"/>
      <c r="F173" s="961"/>
      <c r="H173" s="564">
        <v>172</v>
      </c>
      <c r="I173" s="566">
        <v>5.14</v>
      </c>
      <c r="J173" s="566">
        <v>7.71</v>
      </c>
    </row>
    <row r="174" spans="1:10" ht="12.75">
      <c r="A174" s="962">
        <v>182</v>
      </c>
      <c r="B174" s="964">
        <v>5.75</v>
      </c>
      <c r="C174" s="964">
        <v>8.6300000000000008</v>
      </c>
      <c r="D174" s="961"/>
      <c r="E174" s="961"/>
      <c r="F174" s="961"/>
      <c r="H174" s="564">
        <v>173</v>
      </c>
      <c r="I174" s="566">
        <v>5.2</v>
      </c>
      <c r="J174" s="566">
        <v>7.8</v>
      </c>
    </row>
    <row r="175" spans="1:10" ht="12.75">
      <c r="A175" s="962">
        <v>183</v>
      </c>
      <c r="B175" s="964">
        <v>5.82</v>
      </c>
      <c r="C175" s="964">
        <v>8.73</v>
      </c>
      <c r="D175" s="961"/>
      <c r="E175" s="961"/>
      <c r="F175" s="961"/>
      <c r="H175" s="564">
        <v>174</v>
      </c>
      <c r="I175" s="566">
        <v>5.26</v>
      </c>
      <c r="J175" s="566">
        <v>7.89</v>
      </c>
    </row>
    <row r="176" spans="1:10" ht="12.75">
      <c r="A176" s="962">
        <v>184</v>
      </c>
      <c r="B176" s="964">
        <v>5.88</v>
      </c>
      <c r="C176" s="964">
        <v>8.82</v>
      </c>
      <c r="D176" s="961"/>
      <c r="E176" s="961"/>
      <c r="F176" s="961"/>
      <c r="H176" s="564">
        <v>175</v>
      </c>
      <c r="I176" s="566">
        <v>5.32</v>
      </c>
      <c r="J176" s="566">
        <v>7.98</v>
      </c>
    </row>
    <row r="177" spans="1:10" ht="12.75">
      <c r="A177" s="962">
        <v>185</v>
      </c>
      <c r="B177" s="964">
        <v>5.94</v>
      </c>
      <c r="C177" s="964">
        <v>8.92</v>
      </c>
      <c r="D177" s="961"/>
      <c r="E177" s="961"/>
      <c r="F177" s="961"/>
      <c r="H177" s="564">
        <v>176</v>
      </c>
      <c r="I177" s="566">
        <v>5.38</v>
      </c>
      <c r="J177" s="566">
        <v>8.07</v>
      </c>
    </row>
    <row r="178" spans="1:10" ht="12.75">
      <c r="A178" s="962">
        <v>186</v>
      </c>
      <c r="B178" s="964">
        <v>6.01</v>
      </c>
      <c r="C178" s="964">
        <v>9.01</v>
      </c>
      <c r="D178" s="961"/>
      <c r="E178" s="961"/>
      <c r="F178" s="961"/>
      <c r="H178" s="564">
        <v>177</v>
      </c>
      <c r="I178" s="566">
        <v>5.44</v>
      </c>
      <c r="J178" s="566">
        <v>8.16</v>
      </c>
    </row>
    <row r="179" spans="1:10" ht="12.75">
      <c r="A179" s="962">
        <v>187</v>
      </c>
      <c r="B179" s="964">
        <v>6.07</v>
      </c>
      <c r="C179" s="964">
        <v>9.11</v>
      </c>
      <c r="D179" s="961"/>
      <c r="E179" s="961"/>
      <c r="F179" s="961"/>
      <c r="H179" s="564">
        <v>178</v>
      </c>
      <c r="I179" s="566">
        <v>5.5</v>
      </c>
      <c r="J179" s="566">
        <v>8.25</v>
      </c>
    </row>
    <row r="180" spans="1:10" ht="12.75">
      <c r="A180" s="962">
        <v>188</v>
      </c>
      <c r="B180" s="964">
        <v>6.14</v>
      </c>
      <c r="C180" s="964">
        <v>9.2100000000000009</v>
      </c>
      <c r="D180" s="961"/>
      <c r="E180" s="961"/>
      <c r="F180" s="961"/>
      <c r="H180" s="564">
        <v>179</v>
      </c>
      <c r="I180" s="566">
        <v>5.57</v>
      </c>
      <c r="J180" s="566">
        <v>8.35</v>
      </c>
    </row>
    <row r="181" spans="1:10" ht="12.75">
      <c r="A181" s="962">
        <v>189</v>
      </c>
      <c r="B181" s="964">
        <v>6.2</v>
      </c>
      <c r="C181" s="964">
        <v>9.31</v>
      </c>
      <c r="D181" s="961"/>
      <c r="E181" s="961"/>
      <c r="F181" s="961"/>
      <c r="H181" s="564">
        <v>180</v>
      </c>
      <c r="I181" s="566">
        <v>5.63</v>
      </c>
      <c r="J181" s="566">
        <v>8.44</v>
      </c>
    </row>
    <row r="182" spans="1:10" ht="12.75">
      <c r="A182" s="962">
        <v>190</v>
      </c>
      <c r="B182" s="964">
        <v>6.27</v>
      </c>
      <c r="C182" s="964">
        <v>9.41</v>
      </c>
      <c r="D182" s="961"/>
      <c r="E182" s="961"/>
      <c r="F182" s="961"/>
      <c r="H182" s="564">
        <v>181</v>
      </c>
      <c r="I182" s="566">
        <v>5.69</v>
      </c>
      <c r="J182" s="566">
        <v>8.5399999999999991</v>
      </c>
    </row>
    <row r="183" spans="1:10" ht="12.75">
      <c r="A183" s="962">
        <v>191</v>
      </c>
      <c r="B183" s="964">
        <v>6.34</v>
      </c>
      <c r="C183" s="964">
        <v>9.5</v>
      </c>
      <c r="D183" s="961"/>
      <c r="E183" s="961"/>
      <c r="F183" s="961"/>
      <c r="H183" s="564">
        <v>182</v>
      </c>
      <c r="I183" s="566">
        <v>5.75</v>
      </c>
      <c r="J183" s="566">
        <v>8.6300000000000008</v>
      </c>
    </row>
    <row r="184" spans="1:10" ht="12.75">
      <c r="A184" s="962">
        <v>192</v>
      </c>
      <c r="B184" s="964">
        <v>6.4</v>
      </c>
      <c r="C184" s="964">
        <v>9.6</v>
      </c>
      <c r="D184" s="961"/>
      <c r="E184" s="961"/>
      <c r="F184" s="961"/>
      <c r="H184" s="564">
        <v>183</v>
      </c>
      <c r="I184" s="566">
        <v>5.82</v>
      </c>
      <c r="J184" s="566">
        <v>8.73</v>
      </c>
    </row>
    <row r="185" spans="1:10" ht="12.75">
      <c r="A185" s="962">
        <v>193</v>
      </c>
      <c r="B185" s="964">
        <v>6.47</v>
      </c>
      <c r="C185" s="964">
        <v>9.6999999999999993</v>
      </c>
      <c r="D185" s="961"/>
      <c r="E185" s="961"/>
      <c r="F185" s="961"/>
      <c r="H185" s="564">
        <v>184</v>
      </c>
      <c r="I185" s="566">
        <v>5.88</v>
      </c>
      <c r="J185" s="566">
        <v>8.82</v>
      </c>
    </row>
    <row r="186" spans="1:10" ht="12.75">
      <c r="A186" s="962">
        <v>194</v>
      </c>
      <c r="B186" s="964">
        <v>6.54</v>
      </c>
      <c r="C186" s="964">
        <v>9.81</v>
      </c>
      <c r="D186" s="961"/>
      <c r="E186" s="961"/>
      <c r="F186" s="961"/>
      <c r="H186" s="564">
        <v>185</v>
      </c>
      <c r="I186" s="566">
        <v>5.94</v>
      </c>
      <c r="J186" s="566">
        <v>8.92</v>
      </c>
    </row>
    <row r="187" spans="1:10" ht="12.75">
      <c r="A187" s="962">
        <v>195</v>
      </c>
      <c r="B187" s="964">
        <v>6.6</v>
      </c>
      <c r="C187" s="964">
        <v>9.91</v>
      </c>
      <c r="D187" s="961"/>
      <c r="E187" s="961"/>
      <c r="F187" s="961"/>
      <c r="H187" s="564">
        <v>186</v>
      </c>
      <c r="I187" s="566">
        <v>6.01</v>
      </c>
      <c r="J187" s="566">
        <v>9.01</v>
      </c>
    </row>
    <row r="188" spans="1:10" ht="12.75">
      <c r="A188" s="962">
        <v>196</v>
      </c>
      <c r="B188" s="964">
        <v>6.67</v>
      </c>
      <c r="C188" s="964">
        <v>10.01</v>
      </c>
      <c r="D188" s="961"/>
      <c r="E188" s="961"/>
      <c r="F188" s="961"/>
      <c r="H188" s="564">
        <v>187</v>
      </c>
      <c r="I188" s="566">
        <v>6.07</v>
      </c>
      <c r="J188" s="566">
        <v>9.11</v>
      </c>
    </row>
    <row r="189" spans="1:10" ht="12.75">
      <c r="A189" s="962">
        <v>197</v>
      </c>
      <c r="B189" s="964">
        <v>6.74</v>
      </c>
      <c r="C189" s="964">
        <v>10.11</v>
      </c>
      <c r="D189" s="961"/>
      <c r="E189" s="961"/>
      <c r="F189" s="961"/>
      <c r="H189" s="564">
        <v>188</v>
      </c>
      <c r="I189" s="566">
        <v>6.14</v>
      </c>
      <c r="J189" s="566">
        <v>9.2100000000000009</v>
      </c>
    </row>
    <row r="190" spans="1:10" ht="12.75">
      <c r="A190" s="962">
        <v>198</v>
      </c>
      <c r="B190" s="964">
        <v>6.81</v>
      </c>
      <c r="C190" s="964">
        <v>10.210000000000001</v>
      </c>
      <c r="D190" s="961"/>
      <c r="E190" s="961"/>
      <c r="F190" s="961"/>
      <c r="H190" s="564">
        <v>189</v>
      </c>
      <c r="I190" s="566">
        <v>6.2</v>
      </c>
      <c r="J190" s="566">
        <v>9.31</v>
      </c>
    </row>
    <row r="191" spans="1:10" ht="12.75">
      <c r="A191" s="962">
        <v>199</v>
      </c>
      <c r="B191" s="964">
        <v>6.88</v>
      </c>
      <c r="C191" s="964">
        <v>10.32</v>
      </c>
      <c r="D191" s="961"/>
      <c r="E191" s="961"/>
      <c r="F191" s="961"/>
      <c r="H191" s="564">
        <v>190</v>
      </c>
      <c r="I191" s="566">
        <v>6.27</v>
      </c>
      <c r="J191" s="566">
        <v>9.41</v>
      </c>
    </row>
    <row r="192" spans="1:10" ht="12.75">
      <c r="A192" s="962">
        <v>200</v>
      </c>
      <c r="B192" s="964">
        <v>6.95</v>
      </c>
      <c r="C192" s="964">
        <v>10.42</v>
      </c>
      <c r="D192" s="961"/>
      <c r="E192" s="961"/>
      <c r="F192" s="961"/>
      <c r="H192" s="564">
        <v>191</v>
      </c>
      <c r="I192" s="566">
        <v>6.34</v>
      </c>
      <c r="J192" s="566">
        <v>9.5</v>
      </c>
    </row>
    <row r="193" spans="1:10" ht="12.75">
      <c r="A193" s="962">
        <v>201</v>
      </c>
      <c r="B193" s="964">
        <v>7.02</v>
      </c>
      <c r="C193" s="964">
        <v>10.53</v>
      </c>
      <c r="D193" s="961"/>
      <c r="E193" s="961"/>
      <c r="F193" s="961"/>
      <c r="H193" s="564">
        <v>192</v>
      </c>
      <c r="I193" s="566">
        <v>6.4</v>
      </c>
      <c r="J193" s="566">
        <v>9.6</v>
      </c>
    </row>
    <row r="194" spans="1:10" ht="12.75">
      <c r="A194" s="962">
        <v>202</v>
      </c>
      <c r="B194" s="964">
        <v>7.09</v>
      </c>
      <c r="C194" s="964">
        <v>10.63</v>
      </c>
      <c r="D194" s="961"/>
      <c r="E194" s="961"/>
      <c r="F194" s="961"/>
      <c r="H194" s="564">
        <v>193</v>
      </c>
      <c r="I194" s="566">
        <v>6.47</v>
      </c>
      <c r="J194" s="566">
        <v>9.6999999999999993</v>
      </c>
    </row>
    <row r="195" spans="1:10" ht="12.75">
      <c r="A195" s="962">
        <v>203</v>
      </c>
      <c r="B195" s="964">
        <v>7.16</v>
      </c>
      <c r="C195" s="964">
        <v>10.74</v>
      </c>
      <c r="D195" s="961"/>
      <c r="E195" s="961"/>
      <c r="F195" s="961"/>
      <c r="H195" s="564">
        <v>194</v>
      </c>
      <c r="I195" s="566">
        <v>6.54</v>
      </c>
      <c r="J195" s="566">
        <v>9.81</v>
      </c>
    </row>
    <row r="196" spans="1:10" ht="12.75">
      <c r="A196" s="962">
        <v>204</v>
      </c>
      <c r="B196" s="964">
        <v>7.23</v>
      </c>
      <c r="C196" s="964">
        <v>10.84</v>
      </c>
      <c r="D196" s="961"/>
      <c r="E196" s="961"/>
      <c r="F196" s="961"/>
      <c r="H196" s="564">
        <v>195</v>
      </c>
      <c r="I196" s="566">
        <v>6.6</v>
      </c>
      <c r="J196" s="566">
        <v>9.91</v>
      </c>
    </row>
    <row r="197" spans="1:10" ht="12.75">
      <c r="A197" s="962">
        <v>205</v>
      </c>
      <c r="B197" s="964">
        <v>7.3</v>
      </c>
      <c r="C197" s="964">
        <v>10.95</v>
      </c>
      <c r="D197" s="961"/>
      <c r="E197" s="961"/>
      <c r="F197" s="961"/>
      <c r="H197" s="564">
        <v>196</v>
      </c>
      <c r="I197" s="566">
        <v>6.67</v>
      </c>
      <c r="J197" s="566">
        <v>10.01</v>
      </c>
    </row>
    <row r="198" spans="1:10" ht="12.75">
      <c r="A198" s="962">
        <v>206</v>
      </c>
      <c r="B198" s="964">
        <v>7.37</v>
      </c>
      <c r="C198" s="964">
        <v>11.06</v>
      </c>
      <c r="D198" s="961"/>
      <c r="E198" s="961"/>
      <c r="F198" s="961"/>
      <c r="H198" s="564">
        <v>197</v>
      </c>
      <c r="I198" s="566">
        <v>6.74</v>
      </c>
      <c r="J198" s="566">
        <v>10.11</v>
      </c>
    </row>
    <row r="199" spans="1:10" ht="12.75">
      <c r="A199" s="962">
        <v>207</v>
      </c>
      <c r="B199" s="964">
        <v>7.44</v>
      </c>
      <c r="C199" s="964">
        <v>11.16</v>
      </c>
      <c r="D199" s="961"/>
      <c r="E199" s="961"/>
      <c r="F199" s="961"/>
      <c r="H199" s="564">
        <v>198</v>
      </c>
      <c r="I199" s="566">
        <v>6.81</v>
      </c>
      <c r="J199" s="566">
        <v>10.210000000000001</v>
      </c>
    </row>
    <row r="200" spans="1:10" ht="12.75">
      <c r="A200" s="962">
        <v>208</v>
      </c>
      <c r="B200" s="964">
        <v>7.51</v>
      </c>
      <c r="C200" s="964">
        <v>11.27</v>
      </c>
      <c r="D200" s="961"/>
      <c r="E200" s="961"/>
      <c r="F200" s="961"/>
      <c r="H200" s="564">
        <v>199</v>
      </c>
      <c r="I200" s="566">
        <v>6.88</v>
      </c>
      <c r="J200" s="566">
        <v>10.32</v>
      </c>
    </row>
    <row r="201" spans="1:10" ht="12.75">
      <c r="A201" s="962">
        <v>209</v>
      </c>
      <c r="B201" s="964">
        <v>7.59</v>
      </c>
      <c r="C201" s="964">
        <v>11.38</v>
      </c>
      <c r="D201" s="961"/>
      <c r="E201" s="961"/>
      <c r="F201" s="961"/>
      <c r="H201" s="564">
        <v>200</v>
      </c>
      <c r="I201" s="566">
        <v>6.95</v>
      </c>
      <c r="J201" s="566">
        <v>10.42</v>
      </c>
    </row>
    <row r="202" spans="1:10" ht="12.75">
      <c r="A202" s="962">
        <v>210</v>
      </c>
      <c r="B202" s="964">
        <v>7.66</v>
      </c>
      <c r="C202" s="964">
        <v>11.49</v>
      </c>
      <c r="D202" s="961"/>
      <c r="E202" s="961"/>
      <c r="F202" s="961"/>
      <c r="H202" s="564">
        <v>201</v>
      </c>
      <c r="I202" s="566">
        <v>7.02</v>
      </c>
      <c r="J202" s="566">
        <v>10.53</v>
      </c>
    </row>
    <row r="203" spans="1:10" ht="12.75">
      <c r="A203" s="962">
        <v>211</v>
      </c>
      <c r="B203" s="964">
        <v>7.73</v>
      </c>
      <c r="C203" s="964">
        <v>11.6</v>
      </c>
      <c r="D203" s="961"/>
      <c r="E203" s="961"/>
      <c r="F203" s="961"/>
      <c r="H203" s="564">
        <v>202</v>
      </c>
      <c r="I203" s="566">
        <v>7.09</v>
      </c>
      <c r="J203" s="566">
        <v>10.63</v>
      </c>
    </row>
    <row r="204" spans="1:10" ht="12.75">
      <c r="A204" s="962">
        <v>212</v>
      </c>
      <c r="B204" s="964">
        <v>7.81</v>
      </c>
      <c r="C204" s="964">
        <v>11.71</v>
      </c>
      <c r="D204" s="961"/>
      <c r="E204" s="961"/>
      <c r="F204" s="961"/>
      <c r="H204" s="564">
        <v>203</v>
      </c>
      <c r="I204" s="566">
        <v>7.16</v>
      </c>
      <c r="J204" s="566">
        <v>10.74</v>
      </c>
    </row>
    <row r="205" spans="1:10" ht="12.75">
      <c r="A205" s="962">
        <v>213</v>
      </c>
      <c r="B205" s="964">
        <v>7.88</v>
      </c>
      <c r="C205" s="964">
        <v>11.82</v>
      </c>
      <c r="D205" s="961"/>
      <c r="E205" s="961"/>
      <c r="F205" s="961"/>
      <c r="H205" s="564">
        <v>204</v>
      </c>
      <c r="I205" s="566">
        <v>7.23</v>
      </c>
      <c r="J205" s="566">
        <v>10.84</v>
      </c>
    </row>
    <row r="206" spans="1:10" ht="12.75">
      <c r="A206" s="962">
        <v>214</v>
      </c>
      <c r="B206" s="964">
        <v>7.95</v>
      </c>
      <c r="C206" s="964">
        <v>11.93</v>
      </c>
      <c r="D206" s="961"/>
      <c r="E206" s="961"/>
      <c r="F206" s="961"/>
      <c r="H206" s="564">
        <v>205</v>
      </c>
      <c r="I206" s="566">
        <v>7.3</v>
      </c>
      <c r="J206" s="566">
        <v>10.95</v>
      </c>
    </row>
    <row r="207" spans="1:10" ht="12.75">
      <c r="A207" s="962">
        <v>215</v>
      </c>
      <c r="B207" s="964">
        <v>8.0299999999999994</v>
      </c>
      <c r="C207" s="964">
        <v>12.04</v>
      </c>
      <c r="D207" s="961"/>
      <c r="E207" s="961"/>
      <c r="F207" s="961"/>
      <c r="H207" s="564">
        <v>206</v>
      </c>
      <c r="I207" s="566">
        <v>7.37</v>
      </c>
      <c r="J207" s="566">
        <v>11.06</v>
      </c>
    </row>
    <row r="208" spans="1:10" ht="12.75">
      <c r="A208" s="962">
        <v>216</v>
      </c>
      <c r="B208" s="964">
        <v>8.1</v>
      </c>
      <c r="C208" s="964">
        <v>12.16</v>
      </c>
      <c r="D208" s="961"/>
      <c r="E208" s="961"/>
      <c r="F208" s="961"/>
      <c r="H208" s="564">
        <v>207</v>
      </c>
      <c r="I208" s="566">
        <v>7.44</v>
      </c>
      <c r="J208" s="566">
        <v>11.16</v>
      </c>
    </row>
    <row r="209" spans="1:10" ht="12.75">
      <c r="A209" s="962">
        <v>217</v>
      </c>
      <c r="B209" s="964">
        <v>8.18</v>
      </c>
      <c r="C209" s="964">
        <v>12.27</v>
      </c>
      <c r="D209" s="961"/>
      <c r="E209" s="961"/>
      <c r="F209" s="961"/>
      <c r="H209" s="564">
        <v>208</v>
      </c>
      <c r="I209" s="566">
        <v>7.51</v>
      </c>
      <c r="J209" s="566">
        <v>11.27</v>
      </c>
    </row>
    <row r="210" spans="1:10" ht="12.75">
      <c r="A210" s="962">
        <v>218</v>
      </c>
      <c r="B210" s="964">
        <v>8.25</v>
      </c>
      <c r="C210" s="964">
        <v>12.38</v>
      </c>
      <c r="D210" s="961"/>
      <c r="E210" s="961"/>
      <c r="F210" s="961"/>
      <c r="H210" s="564">
        <v>209</v>
      </c>
      <c r="I210" s="566">
        <v>7.59</v>
      </c>
      <c r="J210" s="566">
        <v>11.38</v>
      </c>
    </row>
    <row r="211" spans="1:10" ht="12.75">
      <c r="A211" s="962">
        <v>219</v>
      </c>
      <c r="B211" s="964">
        <v>8.33</v>
      </c>
      <c r="C211" s="964">
        <v>12.5</v>
      </c>
      <c r="D211" s="961"/>
      <c r="E211" s="961"/>
      <c r="F211" s="961"/>
      <c r="H211" s="564">
        <v>210</v>
      </c>
      <c r="I211" s="566">
        <v>7.66</v>
      </c>
      <c r="J211" s="566">
        <v>11.49</v>
      </c>
    </row>
    <row r="212" spans="1:10" ht="12.75">
      <c r="A212" s="962">
        <v>220</v>
      </c>
      <c r="B212" s="964">
        <v>8.41</v>
      </c>
      <c r="C212" s="964">
        <v>12.61</v>
      </c>
      <c r="D212" s="961"/>
      <c r="E212" s="961"/>
      <c r="F212" s="961"/>
      <c r="H212" s="564">
        <v>211</v>
      </c>
      <c r="I212" s="566">
        <v>7.73</v>
      </c>
      <c r="J212" s="566">
        <v>11.6</v>
      </c>
    </row>
    <row r="213" spans="1:10" ht="12.75">
      <c r="A213" s="962">
        <v>221</v>
      </c>
      <c r="B213" s="964">
        <v>8.48</v>
      </c>
      <c r="C213" s="964">
        <v>12.73</v>
      </c>
      <c r="D213" s="961"/>
      <c r="E213" s="961"/>
      <c r="F213" s="961"/>
      <c r="H213" s="564">
        <v>212</v>
      </c>
      <c r="I213" s="566">
        <v>7.81</v>
      </c>
      <c r="J213" s="566">
        <v>11.71</v>
      </c>
    </row>
    <row r="214" spans="1:10" ht="12.75">
      <c r="A214" s="962">
        <v>222</v>
      </c>
      <c r="B214" s="964">
        <v>8.56</v>
      </c>
      <c r="C214" s="964">
        <v>12.84</v>
      </c>
      <c r="D214" s="961"/>
      <c r="E214" s="961"/>
      <c r="F214" s="961"/>
      <c r="H214" s="564">
        <v>213</v>
      </c>
      <c r="I214" s="566">
        <v>7.88</v>
      </c>
      <c r="J214" s="566">
        <v>11.82</v>
      </c>
    </row>
    <row r="215" spans="1:10" ht="12.75">
      <c r="A215" s="962">
        <v>223</v>
      </c>
      <c r="B215" s="964">
        <v>8.64</v>
      </c>
      <c r="C215" s="964">
        <v>12.96</v>
      </c>
      <c r="D215" s="961"/>
      <c r="E215" s="961"/>
      <c r="F215" s="961"/>
      <c r="H215" s="564">
        <v>214</v>
      </c>
      <c r="I215" s="566">
        <v>7.95</v>
      </c>
      <c r="J215" s="566">
        <v>11.93</v>
      </c>
    </row>
    <row r="216" spans="1:10" ht="12.75">
      <c r="A216" s="962">
        <v>224</v>
      </c>
      <c r="B216" s="964">
        <v>8.7200000000000006</v>
      </c>
      <c r="C216" s="964">
        <v>13.07</v>
      </c>
      <c r="D216" s="961"/>
      <c r="E216" s="961"/>
      <c r="F216" s="961"/>
      <c r="H216" s="564">
        <v>215</v>
      </c>
      <c r="I216" s="566">
        <v>8.0299999999999994</v>
      </c>
      <c r="J216" s="566">
        <v>12.04</v>
      </c>
    </row>
    <row r="217" spans="1:10" ht="12.75">
      <c r="A217" s="962">
        <v>225</v>
      </c>
      <c r="B217" s="964">
        <v>8.7899999999999991</v>
      </c>
      <c r="C217" s="964">
        <v>13.19</v>
      </c>
      <c r="D217" s="961"/>
      <c r="E217" s="961"/>
      <c r="F217" s="961"/>
      <c r="H217" s="564">
        <v>216</v>
      </c>
      <c r="I217" s="566">
        <v>8.1</v>
      </c>
      <c r="J217" s="566">
        <v>12.16</v>
      </c>
    </row>
    <row r="218" spans="1:10" ht="12.75">
      <c r="A218" s="962">
        <v>226</v>
      </c>
      <c r="B218" s="964">
        <v>8.8699999999999992</v>
      </c>
      <c r="C218" s="964">
        <v>13.31</v>
      </c>
      <c r="D218" s="961"/>
      <c r="E218" s="961"/>
      <c r="F218" s="961"/>
      <c r="H218" s="564">
        <v>217</v>
      </c>
      <c r="I218" s="566">
        <v>8.18</v>
      </c>
      <c r="J218" s="566">
        <v>12.27</v>
      </c>
    </row>
    <row r="219" spans="1:10" ht="12.75">
      <c r="A219" s="962">
        <v>227</v>
      </c>
      <c r="B219" s="964">
        <v>8.9499999999999993</v>
      </c>
      <c r="C219" s="964">
        <v>13.43</v>
      </c>
      <c r="D219" s="961"/>
      <c r="E219" s="961"/>
      <c r="F219" s="961"/>
      <c r="H219" s="564">
        <v>218</v>
      </c>
      <c r="I219" s="566">
        <v>8.25</v>
      </c>
      <c r="J219" s="566">
        <v>12.38</v>
      </c>
    </row>
    <row r="220" spans="1:10" ht="12.75">
      <c r="A220" s="962">
        <v>228</v>
      </c>
      <c r="B220" s="964">
        <v>9.0299999999999994</v>
      </c>
      <c r="C220" s="964">
        <v>13.54</v>
      </c>
      <c r="D220" s="961"/>
      <c r="E220" s="961"/>
      <c r="F220" s="961"/>
      <c r="H220" s="564">
        <v>219</v>
      </c>
      <c r="I220" s="566">
        <v>8.33</v>
      </c>
      <c r="J220" s="566">
        <v>12.5</v>
      </c>
    </row>
    <row r="221" spans="1:10" ht="12.75">
      <c r="A221" s="962">
        <v>229</v>
      </c>
      <c r="B221" s="964">
        <v>9.11</v>
      </c>
      <c r="C221" s="964">
        <v>13.66</v>
      </c>
      <c r="D221" s="961"/>
      <c r="E221" s="961"/>
      <c r="F221" s="961"/>
      <c r="H221" s="564">
        <v>220</v>
      </c>
      <c r="I221" s="566">
        <v>8.41</v>
      </c>
      <c r="J221" s="566">
        <v>12.61</v>
      </c>
    </row>
    <row r="222" spans="1:10" ht="12.75">
      <c r="A222" s="962">
        <v>230</v>
      </c>
      <c r="B222" s="964">
        <v>9.19</v>
      </c>
      <c r="C222" s="964">
        <v>13.78</v>
      </c>
      <c r="D222" s="961"/>
      <c r="E222" s="961"/>
      <c r="F222" s="961"/>
      <c r="H222" s="564">
        <v>221</v>
      </c>
      <c r="I222" s="566">
        <v>8.48</v>
      </c>
      <c r="J222" s="566">
        <v>12.73</v>
      </c>
    </row>
    <row r="223" spans="1:10" ht="12.75">
      <c r="A223" s="962">
        <v>231</v>
      </c>
      <c r="B223" s="964">
        <v>9.27</v>
      </c>
      <c r="C223" s="964">
        <v>13.9</v>
      </c>
      <c r="D223" s="961"/>
      <c r="E223" s="961"/>
      <c r="F223" s="961"/>
      <c r="H223" s="564">
        <v>222</v>
      </c>
      <c r="I223" s="566">
        <v>8.56</v>
      </c>
      <c r="J223" s="566">
        <v>12.84</v>
      </c>
    </row>
    <row r="224" spans="1:10" ht="12.75">
      <c r="A224" s="962">
        <v>232</v>
      </c>
      <c r="B224" s="964">
        <v>9.35</v>
      </c>
      <c r="C224" s="964">
        <v>14.02</v>
      </c>
      <c r="D224" s="961"/>
      <c r="E224" s="961"/>
      <c r="F224" s="961"/>
      <c r="H224" s="564">
        <v>223</v>
      </c>
      <c r="I224" s="566">
        <v>8.64</v>
      </c>
      <c r="J224" s="566">
        <v>12.96</v>
      </c>
    </row>
    <row r="225" spans="1:10" ht="12.75">
      <c r="A225" s="962">
        <v>233</v>
      </c>
      <c r="B225" s="964">
        <v>9.43</v>
      </c>
      <c r="C225" s="964">
        <v>14.14</v>
      </c>
      <c r="D225" s="961"/>
      <c r="E225" s="961"/>
      <c r="F225" s="961"/>
      <c r="H225" s="564">
        <v>224</v>
      </c>
      <c r="I225" s="566">
        <v>8.7200000000000006</v>
      </c>
      <c r="J225" s="566">
        <v>13.07</v>
      </c>
    </row>
    <row r="226" spans="1:10" ht="12.75">
      <c r="A226" s="962">
        <v>234</v>
      </c>
      <c r="B226" s="964">
        <v>9.51</v>
      </c>
      <c r="C226" s="964">
        <v>14.27</v>
      </c>
      <c r="D226" s="961"/>
      <c r="E226" s="961"/>
      <c r="F226" s="961"/>
      <c r="H226" s="564">
        <v>225</v>
      </c>
      <c r="I226" s="566">
        <v>8.7899999999999991</v>
      </c>
      <c r="J226" s="566">
        <v>13.19</v>
      </c>
    </row>
    <row r="227" spans="1:10" ht="12.75">
      <c r="A227" s="962">
        <v>235</v>
      </c>
      <c r="B227" s="964">
        <v>9.67</v>
      </c>
      <c r="C227" s="964">
        <v>14.39</v>
      </c>
      <c r="D227" s="961"/>
      <c r="E227" s="961"/>
      <c r="F227" s="961"/>
      <c r="H227" s="564">
        <v>226</v>
      </c>
      <c r="I227" s="566">
        <v>8.8699999999999992</v>
      </c>
      <c r="J227" s="566">
        <v>13.31</v>
      </c>
    </row>
    <row r="228" spans="1:10" ht="12.75">
      <c r="A228" s="962">
        <v>236</v>
      </c>
      <c r="B228" s="964">
        <v>9.67</v>
      </c>
      <c r="C228" s="964">
        <v>14.51</v>
      </c>
      <c r="D228" s="961"/>
      <c r="E228" s="961"/>
      <c r="F228" s="961"/>
      <c r="H228" s="564">
        <v>227</v>
      </c>
      <c r="I228" s="566">
        <v>8.9499999999999993</v>
      </c>
      <c r="J228" s="566">
        <v>13.43</v>
      </c>
    </row>
    <row r="229" spans="1:10" ht="12.75">
      <c r="A229" s="962">
        <v>237</v>
      </c>
      <c r="B229" s="964">
        <v>9.76</v>
      </c>
      <c r="C229" s="964">
        <v>14.63</v>
      </c>
      <c r="D229" s="961"/>
      <c r="E229" s="961"/>
      <c r="F229" s="961"/>
      <c r="H229" s="564">
        <v>228</v>
      </c>
      <c r="I229" s="566">
        <v>9.0299999999999994</v>
      </c>
      <c r="J229" s="566">
        <v>13.54</v>
      </c>
    </row>
    <row r="230" spans="1:10" ht="12.75">
      <c r="A230" s="962">
        <v>238</v>
      </c>
      <c r="B230" s="964">
        <v>9.84</v>
      </c>
      <c r="C230" s="964">
        <v>14.76</v>
      </c>
      <c r="D230" s="961"/>
      <c r="E230" s="961"/>
      <c r="F230" s="961"/>
      <c r="H230" s="564">
        <v>229</v>
      </c>
      <c r="I230" s="566">
        <v>9.11</v>
      </c>
      <c r="J230" s="566">
        <v>13.66</v>
      </c>
    </row>
    <row r="231" spans="1:10" ht="12.75">
      <c r="A231" s="962">
        <v>239</v>
      </c>
      <c r="B231" s="964">
        <v>9.92</v>
      </c>
      <c r="C231" s="964">
        <v>14.88</v>
      </c>
      <c r="D231" s="961"/>
      <c r="E231" s="961"/>
      <c r="F231" s="961"/>
      <c r="H231" s="564">
        <v>230</v>
      </c>
      <c r="I231" s="566">
        <v>9.19</v>
      </c>
      <c r="J231" s="566">
        <v>13.78</v>
      </c>
    </row>
    <row r="232" spans="1:10" ht="12.75">
      <c r="A232" s="962">
        <v>240</v>
      </c>
      <c r="B232" s="964">
        <v>10</v>
      </c>
      <c r="C232" s="964">
        <v>15.01</v>
      </c>
      <c r="D232" s="961"/>
      <c r="E232" s="961"/>
      <c r="F232" s="961"/>
      <c r="H232" s="564">
        <v>231</v>
      </c>
      <c r="I232" s="566">
        <v>9.27</v>
      </c>
      <c r="J232" s="566">
        <v>13.9</v>
      </c>
    </row>
    <row r="233" spans="1:10" ht="12.75">
      <c r="A233" s="962">
        <v>241</v>
      </c>
      <c r="B233" s="964">
        <v>10.09</v>
      </c>
      <c r="C233" s="964">
        <v>15.13</v>
      </c>
      <c r="D233" s="961"/>
      <c r="E233" s="961"/>
      <c r="F233" s="961"/>
      <c r="H233" s="564">
        <v>232</v>
      </c>
      <c r="I233" s="566">
        <v>9.35</v>
      </c>
      <c r="J233" s="566">
        <v>14.02</v>
      </c>
    </row>
    <row r="234" spans="1:10" ht="12.75">
      <c r="A234" s="962">
        <v>242</v>
      </c>
      <c r="B234" s="964">
        <v>10.17</v>
      </c>
      <c r="C234" s="964">
        <v>15.26</v>
      </c>
      <c r="D234" s="961"/>
      <c r="E234" s="961"/>
      <c r="F234" s="961"/>
      <c r="H234" s="564">
        <v>233</v>
      </c>
      <c r="I234" s="566">
        <v>9.43</v>
      </c>
      <c r="J234" s="566">
        <v>14.14</v>
      </c>
    </row>
    <row r="235" spans="1:10" ht="12.75">
      <c r="A235" s="962">
        <v>243</v>
      </c>
      <c r="B235" s="964">
        <v>10.26</v>
      </c>
      <c r="C235" s="964">
        <v>15.38</v>
      </c>
      <c r="D235" s="961"/>
      <c r="E235" s="961"/>
      <c r="F235" s="961"/>
      <c r="H235" s="564">
        <v>234</v>
      </c>
      <c r="I235" s="566">
        <v>9.51</v>
      </c>
      <c r="J235" s="566">
        <v>14.27</v>
      </c>
    </row>
    <row r="236" spans="1:10" ht="12.75">
      <c r="A236" s="962">
        <v>244</v>
      </c>
      <c r="B236" s="964">
        <v>10.34</v>
      </c>
      <c r="C236" s="964">
        <v>15.51</v>
      </c>
      <c r="D236" s="961"/>
      <c r="E236" s="961"/>
      <c r="F236" s="961"/>
      <c r="H236" s="564">
        <v>235</v>
      </c>
      <c r="I236" s="566">
        <v>9.67</v>
      </c>
      <c r="J236" s="566">
        <v>14.39</v>
      </c>
    </row>
    <row r="237" spans="1:10" ht="12.75">
      <c r="A237" s="962">
        <v>245</v>
      </c>
      <c r="B237" s="964">
        <v>10.43</v>
      </c>
      <c r="C237" s="964">
        <v>15.64</v>
      </c>
      <c r="D237" s="961"/>
      <c r="E237" s="961"/>
      <c r="F237" s="961"/>
      <c r="H237" s="564">
        <v>236</v>
      </c>
      <c r="I237" s="566">
        <v>9.67</v>
      </c>
      <c r="J237" s="566">
        <v>14.51</v>
      </c>
    </row>
    <row r="238" spans="1:10" ht="12.75">
      <c r="A238" s="962">
        <v>246</v>
      </c>
      <c r="B238" s="964">
        <v>10.51</v>
      </c>
      <c r="C238" s="964">
        <v>15.77</v>
      </c>
      <c r="D238" s="961"/>
      <c r="E238" s="961"/>
      <c r="F238" s="961"/>
      <c r="H238" s="564">
        <v>237</v>
      </c>
      <c r="I238" s="566">
        <v>9.76</v>
      </c>
      <c r="J238" s="566">
        <v>14.63</v>
      </c>
    </row>
    <row r="239" spans="1:10" ht="12.75">
      <c r="A239" s="962">
        <v>247</v>
      </c>
      <c r="B239" s="964">
        <v>10.6</v>
      </c>
      <c r="C239" s="964">
        <v>15.9</v>
      </c>
      <c r="D239" s="961"/>
      <c r="E239" s="961"/>
      <c r="F239" s="961"/>
      <c r="H239" s="564">
        <v>238</v>
      </c>
      <c r="I239" s="566">
        <v>9.84</v>
      </c>
      <c r="J239" s="566">
        <v>14.76</v>
      </c>
    </row>
    <row r="240" spans="1:10" ht="12.75">
      <c r="A240" s="962">
        <v>248</v>
      </c>
      <c r="B240" s="964">
        <v>10.68</v>
      </c>
      <c r="C240" s="964">
        <v>16.02</v>
      </c>
      <c r="D240" s="961"/>
      <c r="E240" s="961"/>
      <c r="F240" s="961"/>
      <c r="H240" s="564">
        <v>239</v>
      </c>
      <c r="I240" s="566">
        <v>9.92</v>
      </c>
      <c r="J240" s="566">
        <v>14.88</v>
      </c>
    </row>
    <row r="241" spans="1:10" ht="12.75">
      <c r="A241" s="962">
        <v>249</v>
      </c>
      <c r="B241" s="964">
        <v>10.77</v>
      </c>
      <c r="C241" s="964">
        <v>16.149999999999999</v>
      </c>
      <c r="D241" s="961"/>
      <c r="E241" s="961"/>
      <c r="F241" s="961"/>
      <c r="H241" s="564">
        <v>240</v>
      </c>
      <c r="I241" s="566">
        <v>10</v>
      </c>
      <c r="J241" s="566">
        <v>15.01</v>
      </c>
    </row>
    <row r="242" spans="1:10" ht="12.75">
      <c r="A242" s="962">
        <v>250</v>
      </c>
      <c r="B242" s="964">
        <v>10.86</v>
      </c>
      <c r="C242" s="964">
        <v>16.28</v>
      </c>
      <c r="D242" s="961"/>
      <c r="E242" s="961"/>
      <c r="F242" s="961"/>
      <c r="H242" s="564">
        <v>241</v>
      </c>
      <c r="I242" s="566">
        <v>10.09</v>
      </c>
      <c r="J242" s="566">
        <v>15.13</v>
      </c>
    </row>
    <row r="243" spans="1:10" ht="12.75">
      <c r="A243" s="961"/>
      <c r="B243" s="961"/>
      <c r="C243" s="961"/>
      <c r="D243" s="961"/>
      <c r="E243" s="961"/>
      <c r="F243" s="961"/>
      <c r="H243" s="564">
        <v>242</v>
      </c>
      <c r="I243" s="566">
        <v>10.17</v>
      </c>
      <c r="J243" s="566">
        <v>15.26</v>
      </c>
    </row>
    <row r="244" spans="1:10" ht="12.75">
      <c r="A244" s="961"/>
      <c r="B244" s="961"/>
      <c r="C244" s="961"/>
      <c r="D244" s="961"/>
      <c r="E244" s="961"/>
      <c r="F244" s="961"/>
      <c r="H244" s="564">
        <v>243</v>
      </c>
      <c r="I244" s="566">
        <v>10.26</v>
      </c>
      <c r="J244" s="566">
        <v>15.38</v>
      </c>
    </row>
    <row r="245" spans="1:10" ht="12.75">
      <c r="A245" s="961"/>
      <c r="B245" s="961"/>
      <c r="C245" s="961"/>
      <c r="D245" s="961"/>
      <c r="E245" s="961"/>
      <c r="F245" s="961"/>
      <c r="H245" s="564">
        <v>244</v>
      </c>
      <c r="I245" s="566">
        <v>10.34</v>
      </c>
      <c r="J245" s="566">
        <v>15.51</v>
      </c>
    </row>
    <row r="246" spans="1:10" ht="12.75">
      <c r="A246" s="961"/>
      <c r="B246" s="961"/>
      <c r="C246" s="961"/>
      <c r="D246" s="961"/>
      <c r="E246" s="961"/>
      <c r="F246" s="961"/>
      <c r="H246" s="564">
        <v>245</v>
      </c>
      <c r="I246" s="566">
        <v>10.43</v>
      </c>
      <c r="J246" s="566">
        <v>15.64</v>
      </c>
    </row>
    <row r="247" spans="1:10" ht="12.75">
      <c r="A247" s="961"/>
      <c r="B247" s="961"/>
      <c r="C247" s="961"/>
      <c r="D247" s="961"/>
      <c r="E247" s="961"/>
      <c r="F247" s="961"/>
      <c r="H247" s="564">
        <v>246</v>
      </c>
      <c r="I247" s="566">
        <v>10.51</v>
      </c>
      <c r="J247" s="566">
        <v>15.77</v>
      </c>
    </row>
    <row r="248" spans="1:10" ht="12.75">
      <c r="A248" s="961"/>
      <c r="B248" s="961"/>
      <c r="C248" s="961"/>
      <c r="D248" s="961"/>
      <c r="E248" s="961"/>
      <c r="F248" s="961"/>
      <c r="H248" s="564">
        <v>247</v>
      </c>
      <c r="I248" s="566">
        <v>10.6</v>
      </c>
      <c r="J248" s="566">
        <v>15.9</v>
      </c>
    </row>
    <row r="249" spans="1:10" ht="12.75">
      <c r="A249" s="961"/>
      <c r="B249" s="961"/>
      <c r="C249" s="961"/>
      <c r="D249" s="961"/>
      <c r="E249" s="961"/>
      <c r="F249" s="961"/>
      <c r="H249" s="564">
        <v>248</v>
      </c>
      <c r="I249" s="566">
        <v>10.68</v>
      </c>
      <c r="J249" s="566">
        <v>16.02</v>
      </c>
    </row>
    <row r="250" spans="1:10" ht="12.75">
      <c r="A250" s="961"/>
      <c r="B250" s="961"/>
      <c r="C250" s="961"/>
      <c r="D250" s="961"/>
      <c r="E250" s="961"/>
      <c r="F250" s="961"/>
      <c r="H250" s="564">
        <v>249</v>
      </c>
      <c r="I250" s="566">
        <v>10.77</v>
      </c>
      <c r="J250" s="566">
        <v>16.149999999999999</v>
      </c>
    </row>
    <row r="251" spans="1:10" ht="12.75">
      <c r="A251" s="961"/>
      <c r="B251" s="961"/>
      <c r="C251" s="961"/>
      <c r="D251" s="961"/>
      <c r="E251" s="961"/>
      <c r="F251" s="961"/>
      <c r="H251" s="564">
        <v>250</v>
      </c>
      <c r="I251" s="566">
        <v>10.86</v>
      </c>
      <c r="J251" s="566">
        <v>16.28</v>
      </c>
    </row>
    <row r="252" spans="1:10" ht="12.75">
      <c r="A252" s="961"/>
      <c r="B252" s="961"/>
      <c r="C252" s="961"/>
      <c r="D252" s="961"/>
      <c r="E252" s="961"/>
      <c r="F252" s="961"/>
      <c r="H252" s="958"/>
      <c r="I252" s="561"/>
    </row>
    <row r="253" spans="1:10">
      <c r="A253" s="961"/>
      <c r="B253" s="961"/>
      <c r="C253" s="961"/>
      <c r="D253" s="961"/>
      <c r="E253" s="961"/>
      <c r="F253" s="961"/>
    </row>
    <row r="254" spans="1:10">
      <c r="A254" s="961"/>
      <c r="B254" s="961"/>
      <c r="C254" s="961"/>
      <c r="D254" s="961"/>
      <c r="E254" s="961"/>
      <c r="F254" s="961"/>
    </row>
    <row r="255" spans="1:10">
      <c r="A255" s="961"/>
      <c r="B255" s="961"/>
      <c r="C255" s="961"/>
      <c r="D255" s="961"/>
      <c r="E255" s="961"/>
      <c r="F255" s="961"/>
    </row>
    <row r="256" spans="1:10">
      <c r="A256" s="961"/>
      <c r="B256" s="961"/>
      <c r="C256" s="961"/>
      <c r="D256" s="961"/>
      <c r="E256" s="961"/>
      <c r="F256" s="961"/>
    </row>
    <row r="257" spans="1:6">
      <c r="A257" s="961"/>
      <c r="B257" s="961"/>
      <c r="C257" s="961"/>
      <c r="D257" s="961"/>
      <c r="E257" s="961"/>
      <c r="F257" s="961"/>
    </row>
    <row r="258" spans="1:6">
      <c r="A258" s="961"/>
      <c r="B258" s="961"/>
      <c r="C258" s="961"/>
      <c r="D258" s="961"/>
      <c r="E258" s="961"/>
      <c r="F258" s="961"/>
    </row>
    <row r="259" spans="1:6">
      <c r="A259" s="961"/>
      <c r="B259" s="961"/>
      <c r="C259" s="961"/>
      <c r="D259" s="961"/>
      <c r="E259" s="961"/>
      <c r="F259" s="961"/>
    </row>
    <row r="260" spans="1:6">
      <c r="A260" s="961"/>
      <c r="B260" s="961"/>
      <c r="C260" s="961"/>
      <c r="D260" s="961"/>
      <c r="E260" s="961"/>
      <c r="F260" s="961"/>
    </row>
    <row r="261" spans="1:6">
      <c r="A261" s="961"/>
      <c r="B261" s="961"/>
      <c r="C261" s="961"/>
      <c r="D261" s="961"/>
      <c r="E261" s="961"/>
      <c r="F261" s="961"/>
    </row>
    <row r="262" spans="1:6">
      <c r="A262" s="961"/>
      <c r="B262" s="961"/>
      <c r="C262" s="961"/>
      <c r="D262" s="961"/>
      <c r="E262" s="961"/>
      <c r="F262" s="961"/>
    </row>
    <row r="263" spans="1:6">
      <c r="A263" s="961"/>
      <c r="B263" s="961"/>
      <c r="C263" s="961"/>
      <c r="D263" s="961"/>
      <c r="E263" s="961"/>
      <c r="F263" s="961"/>
    </row>
    <row r="264" spans="1:6">
      <c r="A264" s="961"/>
      <c r="B264" s="961"/>
      <c r="C264" s="961"/>
      <c r="D264" s="961"/>
      <c r="E264" s="961"/>
      <c r="F264" s="961"/>
    </row>
    <row r="265" spans="1:6">
      <c r="A265" s="961"/>
      <c r="B265" s="961"/>
      <c r="C265" s="961"/>
      <c r="D265" s="961"/>
      <c r="E265" s="961"/>
      <c r="F265" s="961"/>
    </row>
    <row r="266" spans="1:6">
      <c r="A266" s="961"/>
      <c r="B266" s="961"/>
      <c r="C266" s="961"/>
      <c r="D266" s="961"/>
      <c r="E266" s="961"/>
      <c r="F266" s="961"/>
    </row>
    <row r="267" spans="1:6">
      <c r="A267" s="961"/>
      <c r="B267" s="961"/>
      <c r="C267" s="961"/>
      <c r="D267" s="961"/>
      <c r="E267" s="961"/>
      <c r="F267" s="961"/>
    </row>
    <row r="268" spans="1:6">
      <c r="A268" s="961"/>
      <c r="B268" s="961"/>
      <c r="C268" s="961"/>
      <c r="D268" s="961"/>
      <c r="E268" s="961"/>
      <c r="F268" s="961"/>
    </row>
    <row r="269" spans="1:6">
      <c r="A269" s="961"/>
      <c r="B269" s="961"/>
      <c r="C269" s="961"/>
      <c r="D269" s="961"/>
      <c r="E269" s="961"/>
      <c r="F269" s="961"/>
    </row>
    <row r="270" spans="1:6">
      <c r="A270" s="961"/>
      <c r="B270" s="961"/>
      <c r="C270" s="961"/>
      <c r="D270" s="961"/>
      <c r="E270" s="961"/>
      <c r="F270" s="961"/>
    </row>
    <row r="271" spans="1:6">
      <c r="A271" s="961"/>
      <c r="B271" s="961"/>
      <c r="C271" s="961"/>
      <c r="D271" s="961"/>
      <c r="E271" s="961"/>
      <c r="F271" s="961"/>
    </row>
    <row r="272" spans="1:6">
      <c r="A272" s="961"/>
      <c r="B272" s="961"/>
      <c r="C272" s="961"/>
      <c r="D272" s="961"/>
      <c r="E272" s="961"/>
      <c r="F272" s="961"/>
    </row>
    <row r="273" spans="1:6">
      <c r="A273" s="961"/>
      <c r="B273" s="961"/>
      <c r="C273" s="961"/>
      <c r="D273" s="961"/>
      <c r="E273" s="961"/>
      <c r="F273" s="961"/>
    </row>
  </sheetData>
  <mergeCells count="6">
    <mergeCell ref="H7:I7"/>
    <mergeCell ref="H8:I8"/>
    <mergeCell ref="H2:J2"/>
    <mergeCell ref="H3:I3"/>
    <mergeCell ref="H4:I4"/>
    <mergeCell ref="H6:J6"/>
  </mergeCells>
  <phoneticPr fontId="69" type="noConversion"/>
  <pageMargins left="0.75" right="0.75" top="1" bottom="1" header="0.5" footer="0.5"/>
  <pageSetup paperSize="9" orientation="portrait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45</vt:i4>
      </vt:variant>
      <vt:variant>
        <vt:lpstr>Adlandırılmış Aralıklar</vt:lpstr>
      </vt:variant>
      <vt:variant>
        <vt:i4>369</vt:i4>
      </vt:variant>
    </vt:vector>
  </HeadingPairs>
  <TitlesOfParts>
    <vt:vector size="414" baseType="lpstr">
      <vt:lpstr>YAPMA I VE KUTU</vt:lpstr>
      <vt:lpstr>BÜKME-U-C-L ve UCGEN KESIT</vt:lpstr>
      <vt:lpstr>simple support beam</vt:lpstr>
      <vt:lpstr>KONSOL</vt:lpstr>
      <vt:lpstr>ANKASTRE</vt:lpstr>
      <vt:lpstr>multi span</vt:lpstr>
      <vt:lpstr>basit+ankastre</vt:lpstr>
      <vt:lpstr>Pipe</vt:lpstr>
      <vt:lpstr>omega</vt:lpstr>
      <vt:lpstr>LGS profil tablosu</vt:lpstr>
      <vt:lpstr>Asik</vt:lpstr>
      <vt:lpstr>Basinc</vt:lpstr>
      <vt:lpstr>basit kiris eksantrik yuk</vt:lpstr>
      <vt:lpstr>wind forces</vt:lpstr>
      <vt:lpstr>PI KIRIS</vt:lpstr>
      <vt:lpstr>BORU+TE</vt:lpstr>
      <vt:lpstr>TRİGO</vt:lpstr>
      <vt:lpstr>makas</vt:lpstr>
      <vt:lpstr>bolt weights</vt:lpstr>
      <vt:lpstr>Bolt Calculation</vt:lpstr>
      <vt:lpstr>Bolts Resistances</vt:lpstr>
      <vt:lpstr>Deprem</vt:lpstr>
      <vt:lpstr>IPE</vt:lpstr>
      <vt:lpstr>HE</vt:lpstr>
      <vt:lpstr>HD</vt:lpstr>
      <vt:lpstr>HP</vt:lpstr>
      <vt:lpstr>IPN</vt:lpstr>
      <vt:lpstr>W</vt:lpstr>
      <vt:lpstr>HP(US)</vt:lpstr>
      <vt:lpstr>UB</vt:lpstr>
      <vt:lpstr>UBP(=HP UK)</vt:lpstr>
      <vt:lpstr>UC</vt:lpstr>
      <vt:lpstr>UAP</vt:lpstr>
      <vt:lpstr>UPN</vt:lpstr>
      <vt:lpstr>L</vt:lpstr>
      <vt:lpstr>Li</vt:lpstr>
      <vt:lpstr>C</vt:lpstr>
      <vt:lpstr>HJ</vt:lpstr>
      <vt:lpstr>IFB</vt:lpstr>
      <vt:lpstr>SFB</vt:lpstr>
      <vt:lpstr>Chinese H beams</vt:lpstr>
      <vt:lpstr>GOST2 profiller</vt:lpstr>
      <vt:lpstr>GOST I BEAMS</vt:lpstr>
      <vt:lpstr>tables(silmeyin)</vt:lpstr>
      <vt:lpstr>Mass</vt:lpstr>
      <vt:lpstr>HE!A</vt:lpstr>
      <vt:lpstr>A</vt:lpstr>
      <vt:lpstr>HE!AG</vt:lpstr>
      <vt:lpstr>AG</vt:lpstr>
      <vt:lpstr>Aghe</vt:lpstr>
      <vt:lpstr>Agl</vt:lpstr>
      <vt:lpstr>Agn</vt:lpstr>
      <vt:lpstr>Ahe</vt:lpstr>
      <vt:lpstr>HE!AL</vt:lpstr>
      <vt:lpstr>L!AL</vt:lpstr>
      <vt:lpstr>AL</vt:lpstr>
      <vt:lpstr>Alhe</vt:lpstr>
      <vt:lpstr>All</vt:lpstr>
      <vt:lpstr>Aln</vt:lpstr>
      <vt:lpstr>An</vt:lpstr>
      <vt:lpstr>Avz</vt:lpstr>
      <vt:lpstr>Avzhe</vt:lpstr>
      <vt:lpstr>Avzn</vt:lpstr>
      <vt:lpstr>Avzu</vt:lpstr>
      <vt:lpstr>'Bolts Resistances'!Ayıkla</vt:lpstr>
      <vt:lpstr>HE!b</vt:lpstr>
      <vt:lpstr>b</vt:lpstr>
      <vt:lpstr>bhe</vt:lpstr>
      <vt:lpstr>bn</vt:lpstr>
      <vt:lpstr>CIVATA</vt:lpstr>
      <vt:lpstr>Countries</vt:lpstr>
      <vt:lpstr>HE!d</vt:lpstr>
      <vt:lpstr>d</vt:lpstr>
      <vt:lpstr>dhe</vt:lpstr>
      <vt:lpstr>dn</vt:lpstr>
      <vt:lpstr>HE!G</vt:lpstr>
      <vt:lpstr>G</vt:lpstr>
      <vt:lpstr>Ghe</vt:lpstr>
      <vt:lpstr>GL</vt:lpstr>
      <vt:lpstr>Gn</vt:lpstr>
      <vt:lpstr>Gu</vt:lpstr>
      <vt:lpstr>HE!h</vt:lpstr>
      <vt:lpstr>h</vt:lpstr>
      <vt:lpstr>h___b</vt:lpstr>
      <vt:lpstr>Hastane__itfaiye_istasyon_Terminal_PTT_Enerji_binaları</vt:lpstr>
      <vt:lpstr>HE</vt:lpstr>
      <vt:lpstr>HE_100_A</vt:lpstr>
      <vt:lpstr>HE_100_AA</vt:lpstr>
      <vt:lpstr>HE_100_B</vt:lpstr>
      <vt:lpstr>HE_100_M</vt:lpstr>
      <vt:lpstr>HE_1000_A</vt:lpstr>
      <vt:lpstr>HE_1000_AA</vt:lpstr>
      <vt:lpstr>HE_1000_B</vt:lpstr>
      <vt:lpstr>HE_1000_M</vt:lpstr>
      <vt:lpstr>HE_1000_x_393</vt:lpstr>
      <vt:lpstr>HE_1000_x_409</vt:lpstr>
      <vt:lpstr>HE_1000_x_488</vt:lpstr>
      <vt:lpstr>HE_1000_x_579</vt:lpstr>
      <vt:lpstr>HE_120_A</vt:lpstr>
      <vt:lpstr>HE_120_AA</vt:lpstr>
      <vt:lpstr>HE_120_B</vt:lpstr>
      <vt:lpstr>HE_120_M</vt:lpstr>
      <vt:lpstr>HE_140_A</vt:lpstr>
      <vt:lpstr>HE_140_AA</vt:lpstr>
      <vt:lpstr>HE_140_B</vt:lpstr>
      <vt:lpstr>HE_140_M</vt:lpstr>
      <vt:lpstr>HE_160_A</vt:lpstr>
      <vt:lpstr>HE_160_AA</vt:lpstr>
      <vt:lpstr>HE_160_B</vt:lpstr>
      <vt:lpstr>HE_160_M</vt:lpstr>
      <vt:lpstr>HE_180_A</vt:lpstr>
      <vt:lpstr>HE_180_AA</vt:lpstr>
      <vt:lpstr>HE_180_B</vt:lpstr>
      <vt:lpstr>HE_180_M</vt:lpstr>
      <vt:lpstr>HE_200_A</vt:lpstr>
      <vt:lpstr>HE_200_AA</vt:lpstr>
      <vt:lpstr>HE_200_B</vt:lpstr>
      <vt:lpstr>HE_200_M</vt:lpstr>
      <vt:lpstr>HE_220_A</vt:lpstr>
      <vt:lpstr>HE_220_AA</vt:lpstr>
      <vt:lpstr>HE_220_B</vt:lpstr>
      <vt:lpstr>HE_220_M</vt:lpstr>
      <vt:lpstr>HE_240_A</vt:lpstr>
      <vt:lpstr>HE_240_AA</vt:lpstr>
      <vt:lpstr>HE_240_B</vt:lpstr>
      <vt:lpstr>HE_240_M</vt:lpstr>
      <vt:lpstr>HE_260_A</vt:lpstr>
      <vt:lpstr>HE_260_AA</vt:lpstr>
      <vt:lpstr>HE_260_B</vt:lpstr>
      <vt:lpstr>HE_260_M</vt:lpstr>
      <vt:lpstr>HE_280_A</vt:lpstr>
      <vt:lpstr>HE_280_AA</vt:lpstr>
      <vt:lpstr>HE_280_B</vt:lpstr>
      <vt:lpstr>HE_280_M</vt:lpstr>
      <vt:lpstr>HE_300_A</vt:lpstr>
      <vt:lpstr>HE_300_AA</vt:lpstr>
      <vt:lpstr>HE_300_B</vt:lpstr>
      <vt:lpstr>HE_300_M</vt:lpstr>
      <vt:lpstr>HE_320_A</vt:lpstr>
      <vt:lpstr>HE_320_AA</vt:lpstr>
      <vt:lpstr>HE_320_B</vt:lpstr>
      <vt:lpstr>HE_320_M</vt:lpstr>
      <vt:lpstr>HE_340_A</vt:lpstr>
      <vt:lpstr>HE_340_AA</vt:lpstr>
      <vt:lpstr>HE_340_B</vt:lpstr>
      <vt:lpstr>HE_340_M</vt:lpstr>
      <vt:lpstr>HE_360_A</vt:lpstr>
      <vt:lpstr>HE_360_AA</vt:lpstr>
      <vt:lpstr>HE_360_B</vt:lpstr>
      <vt:lpstr>HE_360_M</vt:lpstr>
      <vt:lpstr>HE_400_A</vt:lpstr>
      <vt:lpstr>HE_400_AA</vt:lpstr>
      <vt:lpstr>HE_400_B</vt:lpstr>
      <vt:lpstr>HE_400_M</vt:lpstr>
      <vt:lpstr>HE_450_A</vt:lpstr>
      <vt:lpstr>HE_450_AA</vt:lpstr>
      <vt:lpstr>HE_450_B</vt:lpstr>
      <vt:lpstr>HE_450_M</vt:lpstr>
      <vt:lpstr>HE_500_A</vt:lpstr>
      <vt:lpstr>HE_500_AA</vt:lpstr>
      <vt:lpstr>HE_500_B</vt:lpstr>
      <vt:lpstr>HE_500_M</vt:lpstr>
      <vt:lpstr>HE_550_A</vt:lpstr>
      <vt:lpstr>HE_550_AA</vt:lpstr>
      <vt:lpstr>HE_550_B</vt:lpstr>
      <vt:lpstr>HE_550_M</vt:lpstr>
      <vt:lpstr>HE_600_A</vt:lpstr>
      <vt:lpstr>HE_600_AA</vt:lpstr>
      <vt:lpstr>HE_600_B</vt:lpstr>
      <vt:lpstr>HE_600_M</vt:lpstr>
      <vt:lpstr>HE_600_x_337</vt:lpstr>
      <vt:lpstr>HE_600_x_399</vt:lpstr>
      <vt:lpstr>HE_650_A</vt:lpstr>
      <vt:lpstr>HE_650_AA</vt:lpstr>
      <vt:lpstr>HE_650_B</vt:lpstr>
      <vt:lpstr>HE_650_M</vt:lpstr>
      <vt:lpstr>HE_650_x_343</vt:lpstr>
      <vt:lpstr>HE_650_x_407</vt:lpstr>
      <vt:lpstr>HE_700_A</vt:lpstr>
      <vt:lpstr>HE_700_AA</vt:lpstr>
      <vt:lpstr>HE_700_B</vt:lpstr>
      <vt:lpstr>HE_700_M</vt:lpstr>
      <vt:lpstr>HE_700_x_352</vt:lpstr>
      <vt:lpstr>HE_700_x_418</vt:lpstr>
      <vt:lpstr>HE_800_A</vt:lpstr>
      <vt:lpstr>HE_800_AA</vt:lpstr>
      <vt:lpstr>HE_800_B</vt:lpstr>
      <vt:lpstr>HE_800_M</vt:lpstr>
      <vt:lpstr>HE_800_x_373</vt:lpstr>
      <vt:lpstr>HE_800_x_444</vt:lpstr>
      <vt:lpstr>HE_900_A</vt:lpstr>
      <vt:lpstr>HE_900_AA</vt:lpstr>
      <vt:lpstr>HE_900_B</vt:lpstr>
      <vt:lpstr>HE_900_M</vt:lpstr>
      <vt:lpstr>HE_900_x_391</vt:lpstr>
      <vt:lpstr>HE_900_x_466</vt:lpstr>
      <vt:lpstr>hhe</vt:lpstr>
      <vt:lpstr>HE!hi</vt:lpstr>
      <vt:lpstr>hi</vt:lpstr>
      <vt:lpstr>hihe</vt:lpstr>
      <vt:lpstr>HL_1000_A</vt:lpstr>
      <vt:lpstr>HL_1000_B</vt:lpstr>
      <vt:lpstr>HL_1000_M</vt:lpstr>
      <vt:lpstr>HL_1000_x_296</vt:lpstr>
      <vt:lpstr>HL_1000_x_477</vt:lpstr>
      <vt:lpstr>HL_1000_x_554</vt:lpstr>
      <vt:lpstr>HL_1000_x_642</vt:lpstr>
      <vt:lpstr>HL_1000_x_748</vt:lpstr>
      <vt:lpstr>HL_1000_x_883</vt:lpstr>
      <vt:lpstr>HL_1100_A</vt:lpstr>
      <vt:lpstr>HL_1100_B</vt:lpstr>
      <vt:lpstr>HL_1100_M</vt:lpstr>
      <vt:lpstr>HL_1100_R</vt:lpstr>
      <vt:lpstr>HL_920_x_342</vt:lpstr>
      <vt:lpstr>HL_920_x_365</vt:lpstr>
      <vt:lpstr>HL_920_x_387</vt:lpstr>
      <vt:lpstr>HL_920_x_417</vt:lpstr>
      <vt:lpstr>HL_920_x_446</vt:lpstr>
      <vt:lpstr>HL_920_x_488</vt:lpstr>
      <vt:lpstr>HL_920_x_534</vt:lpstr>
      <vt:lpstr>HL_920_x_585</vt:lpstr>
      <vt:lpstr>HL_920_x_653</vt:lpstr>
      <vt:lpstr>HL_920_x_784</vt:lpstr>
      <vt:lpstr>HL_920_x_967</vt:lpstr>
      <vt:lpstr>hn</vt:lpstr>
      <vt:lpstr>I</vt:lpstr>
      <vt:lpstr>IIyhe</vt:lpstr>
      <vt:lpstr>IIyn</vt:lpstr>
      <vt:lpstr>IIyzL</vt:lpstr>
      <vt:lpstr>IIzhe</vt:lpstr>
      <vt:lpstr>IIzn</vt:lpstr>
      <vt:lpstr>IPE</vt:lpstr>
      <vt:lpstr>IPE_100</vt:lpstr>
      <vt:lpstr>IPE_120</vt:lpstr>
      <vt:lpstr>IPE_140</vt:lpstr>
      <vt:lpstr>IPE_160</vt:lpstr>
      <vt:lpstr>IPE_180</vt:lpstr>
      <vt:lpstr>IPE_200</vt:lpstr>
      <vt:lpstr>IPE_220</vt:lpstr>
      <vt:lpstr>IPE_240</vt:lpstr>
      <vt:lpstr>IPE_270</vt:lpstr>
      <vt:lpstr>IPE_300</vt:lpstr>
      <vt:lpstr>IPE_330</vt:lpstr>
      <vt:lpstr>IPE_360</vt:lpstr>
      <vt:lpstr>IPE_400</vt:lpstr>
      <vt:lpstr>IPE_450</vt:lpstr>
      <vt:lpstr>IPE_500</vt:lpstr>
      <vt:lpstr>IPE_550</vt:lpstr>
      <vt:lpstr>IPE_600</vt:lpstr>
      <vt:lpstr>IPE_750_x_147</vt:lpstr>
      <vt:lpstr>IPE_750_x_173</vt:lpstr>
      <vt:lpstr>IPE_750_x_196</vt:lpstr>
      <vt:lpstr>IPE_A_100</vt:lpstr>
      <vt:lpstr>IPE_A_120</vt:lpstr>
      <vt:lpstr>IPE_A_140</vt:lpstr>
      <vt:lpstr>IPE_A_160</vt:lpstr>
      <vt:lpstr>IPE_A_180</vt:lpstr>
      <vt:lpstr>IPE_A_200</vt:lpstr>
      <vt:lpstr>IPE_A_220</vt:lpstr>
      <vt:lpstr>IPE_A_240</vt:lpstr>
      <vt:lpstr>IPE_A_270</vt:lpstr>
      <vt:lpstr>IPE_A_300</vt:lpstr>
      <vt:lpstr>IPE_A_330</vt:lpstr>
      <vt:lpstr>IPE_A_360</vt:lpstr>
      <vt:lpstr>IPE_A_400</vt:lpstr>
      <vt:lpstr>IPE_A_450</vt:lpstr>
      <vt:lpstr>IPE_A_500</vt:lpstr>
      <vt:lpstr>IPE_A_550</vt:lpstr>
      <vt:lpstr>IPE_A_600</vt:lpstr>
      <vt:lpstr>IPE_O_180</vt:lpstr>
      <vt:lpstr>IPE_O_200</vt:lpstr>
      <vt:lpstr>IPE_O_220</vt:lpstr>
      <vt:lpstr>IPE_O_240</vt:lpstr>
      <vt:lpstr>IPE_O_270</vt:lpstr>
      <vt:lpstr>IPE_O_300</vt:lpstr>
      <vt:lpstr>IPE_O_330</vt:lpstr>
      <vt:lpstr>IPE_O_360</vt:lpstr>
      <vt:lpstr>IPE_O_400</vt:lpstr>
      <vt:lpstr>IPE_O_450</vt:lpstr>
      <vt:lpstr>IPE_O_500</vt:lpstr>
      <vt:lpstr>IPE_O_550</vt:lpstr>
      <vt:lpstr>IPE_O_600</vt:lpstr>
      <vt:lpstr>IPN</vt:lpstr>
      <vt:lpstr>IPN_120</vt:lpstr>
      <vt:lpstr>IPN_140</vt:lpstr>
      <vt:lpstr>IPN_160</vt:lpstr>
      <vt:lpstr>IPN_180</vt:lpstr>
      <vt:lpstr>IPN_200</vt:lpstr>
      <vt:lpstr>IPN_220</vt:lpstr>
      <vt:lpstr>IPN_240</vt:lpstr>
      <vt:lpstr>IPN_260</vt:lpstr>
      <vt:lpstr>IPN_280</vt:lpstr>
      <vt:lpstr>IPN_300</vt:lpstr>
      <vt:lpstr>IPN_320</vt:lpstr>
      <vt:lpstr>IPN_340</vt:lpstr>
      <vt:lpstr>IPN_360</vt:lpstr>
      <vt:lpstr>IPN_380</vt:lpstr>
      <vt:lpstr>IPN_400</vt:lpstr>
      <vt:lpstr>IPN_450</vt:lpstr>
      <vt:lpstr>IPN_500</vt:lpstr>
      <vt:lpstr>IPN_550</vt:lpstr>
      <vt:lpstr>It</vt:lpstr>
      <vt:lpstr>Ithe</vt:lpstr>
      <vt:lpstr>Itn</vt:lpstr>
      <vt:lpstr>Itu</vt:lpstr>
      <vt:lpstr>IuL</vt:lpstr>
      <vt:lpstr>IvL</vt:lpstr>
      <vt:lpstr>Iwx10_3</vt:lpstr>
      <vt:lpstr>Iwx10_3he</vt:lpstr>
      <vt:lpstr>Iwx10_3n</vt:lpstr>
      <vt:lpstr>Iwx10_u3</vt:lpstr>
      <vt:lpstr>HE!Iy</vt:lpstr>
      <vt:lpstr>Iy</vt:lpstr>
      <vt:lpstr>Iyu</vt:lpstr>
      <vt:lpstr>Iyzl</vt:lpstr>
      <vt:lpstr>Iz</vt:lpstr>
      <vt:lpstr>Izu</vt:lpstr>
      <vt:lpstr>iuL</vt:lpstr>
      <vt:lpstr>ivl</vt:lpstr>
      <vt:lpstr>iy</vt:lpstr>
      <vt:lpstr>iyhe</vt:lpstr>
      <vt:lpstr>iyn</vt:lpstr>
      <vt:lpstr>iyu</vt:lpstr>
      <vt:lpstr>iyzL</vt:lpstr>
      <vt:lpstr>iz</vt:lpstr>
      <vt:lpstr>izhe</vt:lpstr>
      <vt:lpstr>izn</vt:lpstr>
      <vt:lpstr>izu</vt:lpstr>
      <vt:lpstr>KALITE</vt:lpstr>
      <vt:lpstr>Konut_işteri_otel_lokanta</vt:lpstr>
      <vt:lpstr>L</vt:lpstr>
      <vt:lpstr>Metrik</vt:lpstr>
      <vt:lpstr>HE!Ø</vt:lpstr>
      <vt:lpstr>Ø</vt:lpstr>
      <vt:lpstr>Øhe</vt:lpstr>
      <vt:lpstr>Okul_Yurt__cezaevi_müze_askeri</vt:lpstr>
      <vt:lpstr>Øn</vt:lpstr>
      <vt:lpstr>HE!pmax</vt:lpstr>
      <vt:lpstr>pmax</vt:lpstr>
      <vt:lpstr>pmaxhe</vt:lpstr>
      <vt:lpstr>pmaxn</vt:lpstr>
      <vt:lpstr>HE!pmin</vt:lpstr>
      <vt:lpstr>pmin</vt:lpstr>
      <vt:lpstr>pminhe</vt:lpstr>
      <vt:lpstr>pminn</vt:lpstr>
      <vt:lpstr>HE!r_</vt:lpstr>
      <vt:lpstr>r_</vt:lpstr>
      <vt:lpstr>rhe</vt:lpstr>
      <vt:lpstr>Spor__sinema_ibadet</vt:lpstr>
      <vt:lpstr>ss</vt:lpstr>
      <vt:lpstr>sshe</vt:lpstr>
      <vt:lpstr>ssn</vt:lpstr>
      <vt:lpstr>ssu</vt:lpstr>
      <vt:lpstr>Ta</vt:lpstr>
      <vt:lpstr>Tb</vt:lpstr>
      <vt:lpstr>HE!tf</vt:lpstr>
      <vt:lpstr>tf</vt:lpstr>
      <vt:lpstr>tfhe</vt:lpstr>
      <vt:lpstr>tfn</vt:lpstr>
      <vt:lpstr>Tl</vt:lpstr>
      <vt:lpstr>HE!tw</vt:lpstr>
      <vt:lpstr>tw</vt:lpstr>
      <vt:lpstr>twhe</vt:lpstr>
      <vt:lpstr>twn</vt:lpstr>
      <vt:lpstr>u1l</vt:lpstr>
      <vt:lpstr>u2l</vt:lpstr>
      <vt:lpstr>UPN</vt:lpstr>
      <vt:lpstr>UPN_100</vt:lpstr>
      <vt:lpstr>UPN_120</vt:lpstr>
      <vt:lpstr>UPN_140</vt:lpstr>
      <vt:lpstr>UPN_160</vt:lpstr>
      <vt:lpstr>UPN_180</vt:lpstr>
      <vt:lpstr>UPN_200</vt:lpstr>
      <vt:lpstr>UPN_220</vt:lpstr>
      <vt:lpstr>UPN_240</vt:lpstr>
      <vt:lpstr>UPN_260</vt:lpstr>
      <vt:lpstr>UPN_280</vt:lpstr>
      <vt:lpstr>UPN_300</vt:lpstr>
      <vt:lpstr>UPN_320</vt:lpstr>
      <vt:lpstr>UPN_350</vt:lpstr>
      <vt:lpstr>UPN_380</vt:lpstr>
      <vt:lpstr>UPN_400</vt:lpstr>
      <vt:lpstr>vl</vt:lpstr>
      <vt:lpstr>HE!Wel.y</vt:lpstr>
      <vt:lpstr>Wel.y</vt:lpstr>
      <vt:lpstr>Wel.yhe</vt:lpstr>
      <vt:lpstr>Wel.yn</vt:lpstr>
      <vt:lpstr>Wel.z</vt:lpstr>
      <vt:lpstr>Wel.zhe</vt:lpstr>
      <vt:lpstr>Wel.zn</vt:lpstr>
      <vt:lpstr>HE!Wpl.y</vt:lpstr>
      <vt:lpstr>Wpl.y</vt:lpstr>
      <vt:lpstr>Wpl.yhe</vt:lpstr>
      <vt:lpstr>Wpl.yn</vt:lpstr>
      <vt:lpstr>Wpl.z</vt:lpstr>
      <vt:lpstr>Wpl.zhe</vt:lpstr>
      <vt:lpstr>Wpl.zn</vt:lpstr>
      <vt:lpstr>Wu</vt:lpstr>
      <vt:lpstr>Wuu</vt:lpstr>
      <vt:lpstr>WyzL</vt:lpstr>
      <vt:lpstr>Wzu</vt:lpstr>
      <vt:lpstr>Wzuu</vt:lpstr>
      <vt:lpstr>Yapı_onem</vt:lpstr>
      <vt:lpstr>'BÜKME-U-C-L ve UCGEN KESIT'!Yazdırma_Alanı</vt:lpstr>
      <vt:lpstr>Mass!Yazdırma_Alanı</vt:lpstr>
      <vt:lpstr>W!Yazdırma_Alanı</vt:lpstr>
      <vt:lpstr>ymu</vt:lpstr>
      <vt:lpstr>ysu</vt:lpstr>
      <vt:lpstr>Z1_</vt:lpstr>
      <vt:lpstr>Z2_</vt:lpstr>
      <vt:lpstr>Z3_</vt:lpstr>
      <vt:lpstr>Z4_</vt:lpstr>
      <vt:lpstr>Zemin_sınıfı</vt:lpstr>
      <vt:lpstr>zL_Yl</vt:lpstr>
    </vt:vector>
  </TitlesOfParts>
  <Company>-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</dc:creator>
  <cp:lastModifiedBy>Safakt</cp:lastModifiedBy>
  <cp:lastPrinted>2000-11-28T09:13:41Z</cp:lastPrinted>
  <dcterms:created xsi:type="dcterms:W3CDTF">2000-11-23T16:46:02Z</dcterms:created>
  <dcterms:modified xsi:type="dcterms:W3CDTF">2020-08-11T06:52:00Z</dcterms:modified>
</cp:coreProperties>
</file>