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Бехзод\Desktop\"/>
    </mc:Choice>
  </mc:AlternateContent>
  <bookViews>
    <workbookView xWindow="0" yWindow="0" windowWidth="20490" windowHeight="7425" firstSheet="3" activeTab="3"/>
  </bookViews>
  <sheets>
    <sheet name="Макроописание +" sheetId="1" r:id="rId1"/>
    <sheet name="Влажность, верхний и нижний + " sheetId="2" r:id="rId2"/>
    <sheet name="Плотность, плотность тв.частиц+" sheetId="3" r:id="rId3"/>
    <sheet name="Гран состав +" sheetId="11" r:id="rId4"/>
    <sheet name="Набухание + " sheetId="6" r:id="rId5"/>
    <sheet name="Усадочность + " sheetId="7" r:id="rId6"/>
    <sheet name="Одноосное сжатия +" sheetId="8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11" l="1"/>
  <c r="G65" i="11"/>
  <c r="G66" i="11"/>
  <c r="G68" i="11"/>
  <c r="I26" i="7"/>
  <c r="I27" i="7"/>
  <c r="I25" i="7"/>
  <c r="H26" i="7"/>
  <c r="H27" i="7"/>
  <c r="H25" i="7"/>
  <c r="W16" i="7"/>
  <c r="W17" i="7"/>
  <c r="W15" i="7"/>
  <c r="V16" i="7"/>
  <c r="V17" i="7"/>
  <c r="V15" i="7"/>
  <c r="I16" i="7"/>
  <c r="I17" i="7"/>
  <c r="I15" i="7"/>
  <c r="W7" i="7"/>
  <c r="W8" i="7"/>
  <c r="W6" i="7"/>
  <c r="V7" i="7"/>
  <c r="V8" i="7"/>
  <c r="V6" i="7"/>
  <c r="I7" i="7"/>
  <c r="I8" i="7"/>
  <c r="I6" i="7"/>
  <c r="H7" i="7"/>
  <c r="H8" i="7"/>
  <c r="H6" i="7"/>
  <c r="H18" i="3"/>
  <c r="H19" i="3"/>
  <c r="H20" i="3"/>
  <c r="H21" i="3"/>
  <c r="H17" i="3"/>
  <c r="D18" i="3"/>
  <c r="D19" i="3"/>
  <c r="D20" i="3"/>
  <c r="D21" i="3"/>
  <c r="D17" i="3"/>
  <c r="E6" i="3"/>
  <c r="H6" i="3" s="1"/>
  <c r="E7" i="3"/>
  <c r="H7" i="3" s="1"/>
  <c r="E8" i="3"/>
  <c r="H8" i="3" s="1"/>
  <c r="E9" i="3"/>
  <c r="H9" i="3" s="1"/>
  <c r="E5" i="3"/>
  <c r="H5" i="3" s="1"/>
  <c r="I58" i="2"/>
  <c r="I59" i="2"/>
  <c r="I60" i="2"/>
  <c r="I61" i="2"/>
  <c r="I62" i="2"/>
  <c r="I21" i="3" l="1"/>
  <c r="K21" i="3" s="1"/>
  <c r="M21" i="3" s="1"/>
  <c r="I17" i="3"/>
  <c r="K17" i="3" s="1"/>
  <c r="I20" i="3"/>
  <c r="K20" i="3" s="1"/>
  <c r="M20" i="3" s="1"/>
  <c r="I18" i="3"/>
  <c r="K18" i="3" s="1"/>
  <c r="L18" i="3" s="1"/>
  <c r="M18" i="3"/>
  <c r="L17" i="3"/>
  <c r="L20" i="3"/>
  <c r="L21" i="3"/>
  <c r="M17" i="3"/>
  <c r="I19" i="3"/>
  <c r="K19" i="3" s="1"/>
  <c r="L19" i="3" s="1"/>
  <c r="N42" i="11"/>
  <c r="N43" i="11"/>
  <c r="N41" i="11"/>
  <c r="Q17" i="11"/>
  <c r="R17" i="11"/>
  <c r="S17" i="11"/>
  <c r="Q16" i="11"/>
  <c r="Q15" i="11"/>
  <c r="Q14" i="11"/>
  <c r="Q13" i="11"/>
  <c r="R16" i="11"/>
  <c r="R15" i="11"/>
  <c r="R14" i="11"/>
  <c r="R13" i="11"/>
  <c r="S16" i="11"/>
  <c r="S15" i="11"/>
  <c r="S14" i="11"/>
  <c r="S13" i="11"/>
  <c r="M19" i="3" l="1"/>
  <c r="F58" i="11"/>
  <c r="F59" i="11"/>
  <c r="F60" i="11"/>
  <c r="M41" i="11" l="1"/>
  <c r="P13" i="11"/>
  <c r="O13" i="11" s="1"/>
  <c r="N13" i="11" s="1"/>
  <c r="M43" i="11"/>
  <c r="P15" i="11"/>
  <c r="O15" i="11" s="1"/>
  <c r="N15" i="11" s="1"/>
  <c r="M42" i="11"/>
  <c r="P14" i="11"/>
  <c r="O14" i="11" s="1"/>
  <c r="N14" i="11" s="1"/>
  <c r="I61" i="11"/>
  <c r="G50" i="11"/>
  <c r="G51" i="11"/>
  <c r="G52" i="11"/>
  <c r="G49" i="11"/>
  <c r="G43" i="11"/>
  <c r="G41" i="11"/>
  <c r="G42" i="11"/>
  <c r="G40" i="11"/>
  <c r="G32" i="11"/>
  <c r="G33" i="11"/>
  <c r="G34" i="11"/>
  <c r="G31" i="11"/>
  <c r="G23" i="11"/>
  <c r="G24" i="11"/>
  <c r="G25" i="11"/>
  <c r="G22" i="11"/>
  <c r="G14" i="11"/>
  <c r="G15" i="11"/>
  <c r="G16" i="11"/>
  <c r="G13" i="11"/>
  <c r="M5" i="11"/>
  <c r="M6" i="11"/>
  <c r="M7" i="11"/>
  <c r="M8" i="11"/>
  <c r="M4" i="11"/>
  <c r="F5" i="11" l="1"/>
  <c r="F6" i="11"/>
  <c r="F7" i="11"/>
  <c r="F8" i="11"/>
  <c r="F4" i="11"/>
  <c r="H13" i="11" l="1"/>
  <c r="N4" i="11"/>
  <c r="O4" i="11"/>
  <c r="H41" i="11"/>
  <c r="N7" i="11"/>
  <c r="O7" i="11"/>
  <c r="H25" i="11"/>
  <c r="N5" i="11"/>
  <c r="O5" i="11"/>
  <c r="H52" i="11"/>
  <c r="O8" i="11"/>
  <c r="N8" i="11"/>
  <c r="H34" i="11"/>
  <c r="N6" i="11"/>
  <c r="O6" i="11"/>
  <c r="H49" i="11"/>
  <c r="H33" i="11"/>
  <c r="H24" i="11"/>
  <c r="H50" i="11"/>
  <c r="H43" i="11"/>
  <c r="H32" i="11"/>
  <c r="H23" i="11"/>
  <c r="H14" i="11"/>
  <c r="H22" i="11"/>
  <c r="H51" i="11"/>
  <c r="H40" i="11"/>
  <c r="H31" i="11"/>
  <c r="H15" i="11"/>
  <c r="H42" i="11"/>
  <c r="H16" i="1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66" i="6"/>
  <c r="F66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1" i="6"/>
  <c r="F51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36" i="6"/>
  <c r="F36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1" i="6"/>
  <c r="F21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6" i="6"/>
  <c r="F6" i="6" s="1"/>
  <c r="H15" i="7"/>
  <c r="H16" i="7"/>
  <c r="H14" i="7"/>
  <c r="U16" i="7"/>
  <c r="U17" i="7"/>
  <c r="U15" i="7"/>
  <c r="U14" i="7"/>
  <c r="S15" i="7"/>
  <c r="S16" i="7"/>
  <c r="S17" i="7"/>
  <c r="S14" i="7"/>
  <c r="U7" i="7"/>
  <c r="U8" i="7"/>
  <c r="U6" i="7"/>
  <c r="U5" i="7"/>
  <c r="S6" i="7"/>
  <c r="S7" i="7"/>
  <c r="S8" i="7"/>
  <c r="S5" i="7"/>
  <c r="G26" i="7"/>
  <c r="G27" i="7"/>
  <c r="G25" i="7"/>
  <c r="G24" i="7"/>
  <c r="E25" i="7"/>
  <c r="E26" i="7"/>
  <c r="E27" i="7"/>
  <c r="E24" i="7"/>
  <c r="G16" i="7"/>
  <c r="G15" i="7"/>
  <c r="G17" i="7"/>
  <c r="G14" i="7"/>
  <c r="E15" i="7"/>
  <c r="E16" i="7"/>
  <c r="E17" i="7"/>
  <c r="E14" i="7"/>
  <c r="G7" i="7"/>
  <c r="G6" i="7"/>
  <c r="G5" i="7"/>
  <c r="E8" i="7"/>
  <c r="E7" i="7"/>
  <c r="E6" i="7"/>
  <c r="E5" i="7"/>
  <c r="C84" i="8"/>
  <c r="G61" i="11" l="1"/>
  <c r="J15" i="7"/>
  <c r="J17" i="7"/>
  <c r="K5" i="7"/>
  <c r="K14" i="7"/>
  <c r="K24" i="7"/>
  <c r="Y5" i="7"/>
  <c r="Y14" i="7"/>
  <c r="H61" i="11"/>
  <c r="N44" i="11" s="1"/>
  <c r="I62" i="11"/>
  <c r="J26" i="7"/>
  <c r="J25" i="7"/>
  <c r="J27" i="7"/>
  <c r="X7" i="7"/>
  <c r="X6" i="7"/>
  <c r="X8" i="7"/>
  <c r="X17" i="7"/>
  <c r="X16" i="7"/>
  <c r="X15" i="7"/>
  <c r="J8" i="7"/>
  <c r="J7" i="7"/>
  <c r="J6" i="7"/>
  <c r="J16" i="7"/>
  <c r="G62" i="11"/>
  <c r="H62" i="11"/>
  <c r="D69" i="8"/>
  <c r="D51" i="8"/>
  <c r="D37" i="8"/>
  <c r="D20" i="8"/>
  <c r="D3" i="8"/>
  <c r="C38" i="8"/>
  <c r="C39" i="8"/>
  <c r="C40" i="8"/>
  <c r="C41" i="8"/>
  <c r="C42" i="8"/>
  <c r="C43" i="8"/>
  <c r="C44" i="8"/>
  <c r="C37" i="8"/>
  <c r="C21" i="8"/>
  <c r="C22" i="8"/>
  <c r="C23" i="8"/>
  <c r="C24" i="8"/>
  <c r="C25" i="8"/>
  <c r="C26" i="8"/>
  <c r="C27" i="8"/>
  <c r="C28" i="8"/>
  <c r="C29" i="8"/>
  <c r="C30" i="8"/>
  <c r="C20" i="8"/>
  <c r="C52" i="8"/>
  <c r="C53" i="8"/>
  <c r="C54" i="8"/>
  <c r="C55" i="8"/>
  <c r="C56" i="8"/>
  <c r="C57" i="8"/>
  <c r="C58" i="8"/>
  <c r="C59" i="8"/>
  <c r="C60" i="8"/>
  <c r="C61" i="8"/>
  <c r="C62" i="8"/>
  <c r="C51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69" i="8"/>
  <c r="C4" i="8"/>
  <c r="C5" i="8"/>
  <c r="C6" i="8"/>
  <c r="C7" i="8"/>
  <c r="C8" i="8"/>
  <c r="C9" i="8"/>
  <c r="C10" i="8"/>
  <c r="C11" i="8"/>
  <c r="C12" i="8"/>
  <c r="C13" i="8"/>
  <c r="C3" i="8"/>
  <c r="F61" i="11" l="1"/>
  <c r="F62" i="11"/>
  <c r="N45" i="11"/>
  <c r="H46" i="2"/>
  <c r="L46" i="2" s="1"/>
  <c r="H47" i="2"/>
  <c r="L47" i="2" s="1"/>
  <c r="H48" i="2"/>
  <c r="L48" i="2" s="1"/>
  <c r="H49" i="2"/>
  <c r="L49" i="2" s="1"/>
  <c r="H45" i="2"/>
  <c r="L45" i="2" s="1"/>
  <c r="H32" i="2"/>
  <c r="H33" i="2"/>
  <c r="H34" i="2"/>
  <c r="H35" i="2"/>
  <c r="H31" i="2"/>
  <c r="L18" i="2"/>
  <c r="L19" i="2"/>
  <c r="L20" i="2"/>
  <c r="L21" i="2"/>
  <c r="L17" i="2"/>
  <c r="M45" i="11" l="1"/>
  <c r="P17" i="11"/>
  <c r="O17" i="11" s="1"/>
  <c r="M44" i="11"/>
  <c r="P16" i="11"/>
  <c r="O16" i="11" s="1"/>
  <c r="N16" i="11" s="1"/>
  <c r="K6" i="2"/>
  <c r="K7" i="2"/>
  <c r="K8" i="2"/>
  <c r="K9" i="2"/>
  <c r="K5" i="2"/>
  <c r="I6" i="2"/>
  <c r="I7" i="2"/>
  <c r="I8" i="2"/>
  <c r="I9" i="2"/>
  <c r="I5" i="2"/>
</calcChain>
</file>

<file path=xl/sharedStrings.xml><?xml version="1.0" encoding="utf-8"?>
<sst xmlns="http://schemas.openxmlformats.org/spreadsheetml/2006/main" count="432" uniqueCount="212">
  <si>
    <t>№</t>
  </si>
  <si>
    <t>размер монолита (см)</t>
  </si>
  <si>
    <t xml:space="preserve">Фотография </t>
  </si>
  <si>
    <t>18x22x17</t>
  </si>
  <si>
    <t>17x19x16</t>
  </si>
  <si>
    <t>17x16x19</t>
  </si>
  <si>
    <t>21x19x17</t>
  </si>
  <si>
    <t>20x18x16</t>
  </si>
  <si>
    <t>№ образца</t>
  </si>
  <si>
    <t>глубина опробования (м)</t>
  </si>
  <si>
    <t>№ бюкса</t>
  </si>
  <si>
    <t xml:space="preserve">масса бюкса </t>
  </si>
  <si>
    <t>пустого</t>
  </si>
  <si>
    <t>с влажным грунтом</t>
  </si>
  <si>
    <t>с высушенным грунтом</t>
  </si>
  <si>
    <t>Влажность грунта %</t>
  </si>
  <si>
    <t>Влажность нижнего предела пластичности Wp,%</t>
  </si>
  <si>
    <t>Журнал определения нижнего предела пластичности Wp, (границы раскативаныя)</t>
  </si>
  <si>
    <t>Масса бюкса с грунтом</t>
  </si>
  <si>
    <t>влажный</t>
  </si>
  <si>
    <t>g1, г</t>
  </si>
  <si>
    <t>g2, г</t>
  </si>
  <si>
    <t>Влажность верхнего предела пластичности (граница текучести) WL,%</t>
  </si>
  <si>
    <t>Журнал определения верхнего предела пластичности WL (граница текучести )</t>
  </si>
  <si>
    <t xml:space="preserve">№ пикнометра </t>
  </si>
  <si>
    <t>Масса г</t>
  </si>
  <si>
    <t>пикнометра с абс. Сухим грунтом</t>
  </si>
  <si>
    <t>пикнометра с грунтом и керосином</t>
  </si>
  <si>
    <t>Пикнометра с керосином</t>
  </si>
  <si>
    <t>образцов</t>
  </si>
  <si>
    <t>средняя</t>
  </si>
  <si>
    <t>№ п/п</t>
  </si>
  <si>
    <t>Время начала набухания t, мин</t>
  </si>
  <si>
    <t>Отсчет по индикатору h, мм</t>
  </si>
  <si>
    <t>Абсолютная деформация набухания dh=hr-h0, мм</t>
  </si>
  <si>
    <t>Относительная деформация набухания j=dh/h0, ед</t>
  </si>
  <si>
    <t>Степень набухания j,%</t>
  </si>
  <si>
    <t>Влажность набухания Wsw %</t>
  </si>
  <si>
    <t>Этап усадки</t>
  </si>
  <si>
    <t>время</t>
  </si>
  <si>
    <t>h, см</t>
  </si>
  <si>
    <t>d, см</t>
  </si>
  <si>
    <t>gi, г</t>
  </si>
  <si>
    <t>Влажность W, %</t>
  </si>
  <si>
    <t>t0=</t>
  </si>
  <si>
    <t>t1=</t>
  </si>
  <si>
    <t>t2=</t>
  </si>
  <si>
    <t>t3=</t>
  </si>
  <si>
    <t xml:space="preserve">Высота колца </t>
  </si>
  <si>
    <t>диаметр колца</t>
  </si>
  <si>
    <t>Масса, г</t>
  </si>
  <si>
    <t>кольцо</t>
  </si>
  <si>
    <t>пластин</t>
  </si>
  <si>
    <t xml:space="preserve">кольца с грунтом и покрывающими пластинами </t>
  </si>
  <si>
    <t>грунта</t>
  </si>
  <si>
    <t>Плотность грунта г/см3</t>
  </si>
  <si>
    <t>Влажность, %</t>
  </si>
  <si>
    <t>h</t>
  </si>
  <si>
    <t>d</t>
  </si>
  <si>
    <t>v</t>
  </si>
  <si>
    <t>m</t>
  </si>
  <si>
    <t>w</t>
  </si>
  <si>
    <t xml:space="preserve">№ опыта </t>
  </si>
  <si>
    <t>Классификация по ГОСТ-25100-2020</t>
  </si>
  <si>
    <t xml:space="preserve">Журнал определения число пластичности и показателя текучести </t>
  </si>
  <si>
    <t>Влажность грунта, %</t>
  </si>
  <si>
    <t>Классификация ГОСТ-25100-2020</t>
  </si>
  <si>
    <t xml:space="preserve">Показатель текучести, д.ед </t>
  </si>
  <si>
    <t>Влажность нижнего предела пластичност , Wp %</t>
  </si>
  <si>
    <t>Влажность верхнего предела пластичности, WL %</t>
  </si>
  <si>
    <t>Число пластичности,Ip  %</t>
  </si>
  <si>
    <t>&lt;0,01</t>
  </si>
  <si>
    <t>&lt;0,005</t>
  </si>
  <si>
    <t>&lt;0,002</t>
  </si>
  <si>
    <t>Вертикальная нагрузка, кПа</t>
  </si>
  <si>
    <t>Вертикальная деформация, мм</t>
  </si>
  <si>
    <t>Прочность на одноосное сжатие, МПа</t>
  </si>
  <si>
    <t>Журнал определения прочности на одноосное сжатие (13 м)</t>
  </si>
  <si>
    <t>Журнал определения прочности на одноосное сжатие (15 м)</t>
  </si>
  <si>
    <t>Журнал определения прочности на одноосное сжатие (16,5 м)</t>
  </si>
  <si>
    <t>Журнал определения прочности на одноосное сжатие (18 м)</t>
  </si>
  <si>
    <t>Журнал определения прочности на одноосное сжатие (19 м)</t>
  </si>
  <si>
    <t>Параметры усадки  d</t>
  </si>
  <si>
    <t>Параметры усадки h</t>
  </si>
  <si>
    <t>Параметр усадки V</t>
  </si>
  <si>
    <t>t0=0</t>
  </si>
  <si>
    <t>t1=12,26</t>
  </si>
  <si>
    <t>t2=12,30</t>
  </si>
  <si>
    <t>t3=13,45</t>
  </si>
  <si>
    <t>Журнал определения набухания грунтов (13 м)</t>
  </si>
  <si>
    <t>Журнал определения набухания грунтов (15 м)</t>
  </si>
  <si>
    <t>Журнал определения набухания грунтов (19 м)</t>
  </si>
  <si>
    <t>Журнал определения набухания грунтов (18 м)</t>
  </si>
  <si>
    <t>Журнал определения набухания грунтов (16,5 м)</t>
  </si>
  <si>
    <t>Свободное набухание: j0=0,26 ( или 26 %)</t>
  </si>
  <si>
    <t>Свободное набухание: j0=0,24 ( или 24%)</t>
  </si>
  <si>
    <t>Свободное набухание: j0=0,197 ( или 19,7 %)</t>
  </si>
  <si>
    <t>Свободное набухание: j0=0,17 ( или 17%)</t>
  </si>
  <si>
    <t>0,01-0,005</t>
  </si>
  <si>
    <t>0,05-0,01</t>
  </si>
  <si>
    <t>0,1-0,05</t>
  </si>
  <si>
    <t>0,25-0,1</t>
  </si>
  <si>
    <t>0,5-0,25</t>
  </si>
  <si>
    <t>1,0-0,5</t>
  </si>
  <si>
    <t>&lt;0,05</t>
  </si>
  <si>
    <t>Определение гранулометрического состава глинистых грунтов ареометрическим методом</t>
  </si>
  <si>
    <t>Глубина отбора образца, м</t>
  </si>
  <si>
    <t>№ ареометра</t>
  </si>
  <si>
    <t>Масса воздушно-сухого  грунта, г</t>
  </si>
  <si>
    <t>Гигроскопическая влажность, %</t>
  </si>
  <si>
    <t>Масса абсолютно-сухого грунта, г</t>
  </si>
  <si>
    <t>Плотность твердых частиц грунта, г/см3</t>
  </si>
  <si>
    <t>Нулевое показание ареометра</t>
  </si>
  <si>
    <t>Отсчет на стабилизатор</t>
  </si>
  <si>
    <t>Масса фракций, г</t>
  </si>
  <si>
    <t>Содержание фракций, %</t>
  </si>
  <si>
    <t>1.0-0.5 мм</t>
  </si>
  <si>
    <t>0.5-0.25 мм</t>
  </si>
  <si>
    <t>0.25-0.1 мм</t>
  </si>
  <si>
    <t>Время отстаивания суспензии, мин</t>
  </si>
  <si>
    <t>Размер частиц, мм</t>
  </si>
  <si>
    <t>Упращеный отсчет по ареометру без поправок</t>
  </si>
  <si>
    <t>Температурная поправка к отсчету по ареометру</t>
  </si>
  <si>
    <t xml:space="preserve">Поправка на стабилизатор и нулевое показание </t>
  </si>
  <si>
    <t>Окончательный отсчет по ареометру</t>
  </si>
  <si>
    <t>Содержание частиц, %</t>
  </si>
  <si>
    <t>Песчаная фракция, %</t>
  </si>
  <si>
    <t>Пылеватая фракция, %</t>
  </si>
  <si>
    <t>Глинистая фракция, %</t>
  </si>
  <si>
    <t>&gt;0.05 мм</t>
  </si>
  <si>
    <t>0.05-0.002 мм</t>
  </si>
  <si>
    <t>&lt;0.002 мм</t>
  </si>
  <si>
    <t>Содержание частиц по фракциям (мм), %</t>
  </si>
  <si>
    <t>Название грунта по классификации В.В.Охотина</t>
  </si>
  <si>
    <t>0.005-0.002</t>
  </si>
  <si>
    <t>&lt;0.002</t>
  </si>
  <si>
    <t xml:space="preserve">Ареометрический анализ h=13 м </t>
  </si>
  <si>
    <t>3 ч</t>
  </si>
  <si>
    <t xml:space="preserve">11 ч </t>
  </si>
  <si>
    <t xml:space="preserve">Ареометрический анализ h=15 м </t>
  </si>
  <si>
    <t xml:space="preserve">Ареометрический анализ h=16.5 м </t>
  </si>
  <si>
    <t xml:space="preserve">Ареометрический анализ h=18 м </t>
  </si>
  <si>
    <t xml:space="preserve">Ареометрический анализ h=19 м </t>
  </si>
  <si>
    <t>Название грунта по классификации ГОСТ 25100-2020 с учетом числа пластичности</t>
  </si>
  <si>
    <t>Супесь легкая  пылеватая</t>
  </si>
  <si>
    <t>Суглинок легкий пылеватый</t>
  </si>
  <si>
    <t xml:space="preserve">Суглинок легкий пылеватый </t>
  </si>
  <si>
    <t xml:space="preserve">Объем кольца равен объему грунта </t>
  </si>
  <si>
    <t>Плотность скелета, г/см3</t>
  </si>
  <si>
    <t>Пористость, %</t>
  </si>
  <si>
    <t>Коэффициент пористости, д.ед.</t>
  </si>
  <si>
    <t>р</t>
  </si>
  <si>
    <t>рd</t>
  </si>
  <si>
    <t>n</t>
  </si>
  <si>
    <t>e</t>
  </si>
  <si>
    <t xml:space="preserve">Влажность набухания  % </t>
  </si>
  <si>
    <t>Суглинок, тёмно- коричневый, есть включения корней растений. Реагирует с HCl, что говорит о наличии карбонатов. Карбонаты находятся в тонко рассеяном состоянии. макроструктура кусковатая, жирный на ощупь. Есть макропоры, которые ориентированы в трех направлениях. Размер макропор от 0,2 до 1,0 мм. Макротекстура массивная, однородная. Маловлажный, малоплотный, концистенция твердая.</t>
  </si>
  <si>
    <r>
      <t>g</t>
    </r>
    <r>
      <rPr>
        <b/>
        <vertAlign val="subscript"/>
        <sz val="12"/>
        <color theme="1"/>
        <rFont val="Times New Roman"/>
        <family val="1"/>
        <charset val="204"/>
      </rPr>
      <t>0</t>
    </r>
  </si>
  <si>
    <r>
      <t>g</t>
    </r>
    <r>
      <rPr>
        <b/>
        <vertAlign val="subscript"/>
        <sz val="12"/>
        <color theme="1"/>
        <rFont val="Times New Roman"/>
        <family val="1"/>
        <charset val="204"/>
      </rPr>
      <t>1</t>
    </r>
  </si>
  <si>
    <r>
      <t>g'</t>
    </r>
    <r>
      <rPr>
        <b/>
        <vertAlign val="subscript"/>
        <sz val="12"/>
        <color theme="1"/>
        <rFont val="Times New Roman"/>
        <family val="1"/>
        <charset val="204"/>
      </rPr>
      <t>2</t>
    </r>
  </si>
  <si>
    <r>
      <t>g''</t>
    </r>
    <r>
      <rPr>
        <b/>
        <vertAlign val="subscript"/>
        <sz val="12"/>
        <color theme="1"/>
        <rFont val="Times New Roman"/>
        <family val="1"/>
        <charset val="204"/>
      </rPr>
      <t>2</t>
    </r>
  </si>
  <si>
    <r>
      <t>Масса бюкса g</t>
    </r>
    <r>
      <rPr>
        <b/>
        <vertAlign val="subscript"/>
        <sz val="12"/>
        <color theme="1"/>
        <rFont val="Times New Roman"/>
        <family val="1"/>
        <charset val="204"/>
      </rPr>
      <t xml:space="preserve">0 </t>
    </r>
    <r>
      <rPr>
        <b/>
        <sz val="12"/>
        <color theme="1"/>
        <rFont val="Times New Roman"/>
        <family val="1"/>
        <charset val="204"/>
      </rPr>
      <t>, г</t>
    </r>
  </si>
  <si>
    <r>
      <t>масса бюкса с влажным грунтом g</t>
    </r>
    <r>
      <rPr>
        <b/>
        <vertAlign val="subscript"/>
        <sz val="12"/>
        <color theme="1"/>
        <rFont val="Times New Roman"/>
        <family val="1"/>
        <charset val="204"/>
      </rPr>
      <t>1 ,</t>
    </r>
    <r>
      <rPr>
        <b/>
        <sz val="12"/>
        <color theme="1"/>
        <rFont val="Times New Roman"/>
        <family val="1"/>
        <charset val="204"/>
      </rPr>
      <t>г</t>
    </r>
  </si>
  <si>
    <r>
      <t>масса бюкса с высушенным грунтом g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, г</t>
    </r>
  </si>
  <si>
    <t>Высушенным</t>
  </si>
  <si>
    <t>твёрдый</t>
  </si>
  <si>
    <r>
      <t>плотность тв.частиц г/см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</si>
  <si>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r>
      <t>Пикнометра m</t>
    </r>
    <r>
      <rPr>
        <b/>
        <vertAlign val="subscript"/>
        <sz val="12"/>
        <color theme="1"/>
        <rFont val="Times New Roman"/>
        <family val="1"/>
        <charset val="204"/>
      </rPr>
      <t>п</t>
    </r>
  </si>
  <si>
    <r>
      <t>p</t>
    </r>
    <r>
      <rPr>
        <b/>
        <vertAlign val="subscript"/>
        <sz val="12"/>
        <color theme="1"/>
        <rFont val="Times New Roman"/>
        <family val="1"/>
        <charset val="204"/>
      </rPr>
      <t>s</t>
    </r>
    <r>
      <rPr>
        <b/>
        <sz val="12"/>
        <color theme="1"/>
        <rFont val="Times New Roman"/>
        <family val="1"/>
        <charset val="204"/>
      </rPr>
      <t>=p</t>
    </r>
    <r>
      <rPr>
        <b/>
        <vertAlign val="subscript"/>
        <sz val="12"/>
        <color theme="1"/>
        <rFont val="Times New Roman"/>
        <family val="1"/>
        <charset val="204"/>
      </rPr>
      <t>k</t>
    </r>
    <r>
      <rPr>
        <b/>
        <sz val="12"/>
        <color theme="1"/>
        <rFont val="Times New Roman"/>
        <family val="1"/>
        <charset val="204"/>
      </rPr>
      <t>m</t>
    </r>
    <r>
      <rPr>
        <b/>
        <vertAlign val="subscript"/>
        <sz val="12"/>
        <color theme="1"/>
        <rFont val="Times New Roman"/>
        <family val="1"/>
        <charset val="204"/>
      </rPr>
      <t>0</t>
    </r>
    <r>
      <rPr>
        <b/>
        <sz val="12"/>
        <color theme="1"/>
        <rFont val="Times New Roman"/>
        <family val="1"/>
        <charset val="204"/>
      </rPr>
      <t>/(m</t>
    </r>
    <r>
      <rPr>
        <b/>
        <vertAlign val="subscript"/>
        <sz val="12"/>
        <color theme="1"/>
        <rFont val="Times New Roman"/>
        <family val="1"/>
        <charset val="204"/>
      </rPr>
      <t>0</t>
    </r>
    <r>
      <rPr>
        <b/>
        <sz val="12"/>
        <color theme="1"/>
        <rFont val="Times New Roman"/>
        <family val="1"/>
        <charset val="204"/>
      </rPr>
      <t>+m</t>
    </r>
    <r>
      <rPr>
        <b/>
        <vertAlign val="sub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-m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)</t>
    </r>
  </si>
  <si>
    <r>
      <t>абс.сухого грунта m</t>
    </r>
    <r>
      <rPr>
        <b/>
        <vertAlign val="subscript"/>
        <sz val="12"/>
        <color theme="1"/>
        <rFont val="Times New Roman"/>
        <family val="1"/>
        <charset val="204"/>
      </rPr>
      <t>o</t>
    </r>
  </si>
  <si>
    <r>
      <t>m</t>
    </r>
    <r>
      <rPr>
        <b/>
        <vertAlign val="subscript"/>
        <sz val="12"/>
        <color theme="1"/>
        <rFont val="Times New Roman"/>
        <family val="1"/>
        <charset val="204"/>
      </rPr>
      <t>k</t>
    </r>
  </si>
  <si>
    <r>
      <t>m</t>
    </r>
    <r>
      <rPr>
        <b/>
        <vertAlign val="subscript"/>
        <sz val="12"/>
        <color theme="1"/>
        <rFont val="Times New Roman"/>
        <family val="1"/>
        <charset val="204"/>
      </rPr>
      <t>2</t>
    </r>
  </si>
  <si>
    <r>
      <t>m</t>
    </r>
    <r>
      <rPr>
        <b/>
        <vertAlign val="subscript"/>
        <sz val="12"/>
        <color theme="1"/>
        <rFont val="Times New Roman"/>
        <family val="1"/>
        <charset val="204"/>
      </rPr>
      <t>1</t>
    </r>
  </si>
  <si>
    <t>Свободное набухание: j0=0,183 ( или 18,3 %)</t>
  </si>
  <si>
    <t>Журнал определения усадочности грунтов (13 м)</t>
  </si>
  <si>
    <r>
      <t xml:space="preserve">V, см 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</si>
  <si>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t>Журнал определения усадочности грунтов (16,5м)</t>
  </si>
  <si>
    <t>Журнал определения усадочности грунтов (19м)</t>
  </si>
  <si>
    <t>Журнал определения усадочности грунтов (15м)</t>
  </si>
  <si>
    <t>Журнал определения усадочности грунтов (18 м)</t>
  </si>
  <si>
    <t>Температура суспензии, ◦с</t>
  </si>
  <si>
    <t>Суглинок, светло-коричневый, есть включения корней растений. Реагирует с HCl, что говорит о наличии карбонатов. Карбонаты находятся в тонко рассеяном состоянии. Макроструктура кусковатая, жирный на ощупь. Есть макропоры, которые ориентированы в трех направлениях. Размер макропор от 0,1 до 1,0 мм. Макротекстура массивная, однородная. Маловлажный, малоплотный, концистенция твердая.</t>
  </si>
  <si>
    <t xml:space="preserve">Визуальное описания </t>
  </si>
  <si>
    <t>Суглинок, тёмно-коричневый, есть включения корней растений. Реагирует с HCl, что говорит о наличии карбонатов. Карбонаты находятся в тонко рассеяном состоянии. Макроструктура кусковатая, жирный на ощупь. Есть макропоры, которые ориентированы в трех направлениях. Размер макропор от 0,3 до 0,9 мм. Макротекстура массивная, однородная. Маловлажный, средней плотности, концистенция твердая.</t>
  </si>
  <si>
    <t>Суглинок, ярко-коричневый. Реагирует с HCl, что говорит о наличии карбонатов. Карбонаты находятся в тонко рассеяном состоянии. Макроструктура кусковатая, жирный на ощупь. Есть макропоры, которые ориентированы в трех направлениях. Размер макропор от 0,3 до 0,8 мм. Макротекстура массивная, однородная. Маловлажный, средней плотности, концистенция твердая.</t>
  </si>
  <si>
    <t>Суглинок, ярко-коричневый. Реагирует с HCl, что говорит о наличии карбонатов. Карбонаты находятся в тонко рассеяном состоянии. Макроструктура кусковатая, жирный на ощупь. Есть макропоры, которые ориентированы в трех направлениях. Размер макропор от 0,3 до 1,1 мм. Макротекстура массивная, однородная. Маловлажный, плотный, концистенция твердая.</t>
  </si>
  <si>
    <r>
      <t>Журнал определения плотности твердых частиц засоленных грунтов (при t=20</t>
    </r>
    <r>
      <rPr>
        <b/>
        <vertAlign val="superscript"/>
        <sz val="12"/>
        <color theme="1"/>
        <rFont val="Times New Roman"/>
        <family val="1"/>
        <charset val="204"/>
      </rPr>
      <t>0</t>
    </r>
    <r>
      <rPr>
        <b/>
        <sz val="12"/>
        <color theme="1"/>
        <rFont val="Times New Roman"/>
        <family val="1"/>
        <charset val="204"/>
      </rPr>
      <t>C)</t>
    </r>
  </si>
  <si>
    <t>Суглинок средний пылеватый</t>
  </si>
  <si>
    <t>глубина отбора , м</t>
  </si>
  <si>
    <t>d10</t>
  </si>
  <si>
    <t>d60</t>
  </si>
  <si>
    <t>Кн</t>
  </si>
  <si>
    <t>классификация по гост 25100-2020</t>
  </si>
  <si>
    <t>Неоднородный</t>
  </si>
  <si>
    <t>Коэфитциент неоднородности больше 5 это неоднородный</t>
  </si>
  <si>
    <t>Сильнонабухающие</t>
  </si>
  <si>
    <t xml:space="preserve">Глубина, м </t>
  </si>
  <si>
    <t>степень набух.</t>
  </si>
  <si>
    <t>Клас. Грунта по набухаемости, ГОСТ-25100-2020</t>
  </si>
  <si>
    <t>Содержание песчанных частиц</t>
  </si>
  <si>
    <t>Содержание пылеватых частиц</t>
  </si>
  <si>
    <t>Содержание глинистых частиц</t>
  </si>
  <si>
    <t>Относительная деформация, д.ед</t>
  </si>
  <si>
    <t>глубина, м</t>
  </si>
  <si>
    <t>Содержание песчаных частиц</t>
  </si>
  <si>
    <t>Плотность</t>
  </si>
  <si>
    <t>Пористость</t>
  </si>
  <si>
    <t>Плотность твердых частиц</t>
  </si>
  <si>
    <t>Влажность усадки</t>
  </si>
  <si>
    <t>Влажность усадки,%</t>
  </si>
  <si>
    <t>Параметров усадки по объему</t>
  </si>
  <si>
    <t>суглинок легкий пылеватый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</si>
</sst>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"/>
    <numFmt numFmtId="166" formatCode="0.0000"/>
    <numFmt numFmtId="167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4">
    <xf numFmtId="0" fontId="0" fillId="0" borderId="0" xfId="0"/>
    <xf numFmtId="0" fontId="0" fillId="0" borderId="0" xfId="0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/>
    <xf numFmtId="164" fontId="2" fillId="0" borderId="4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42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2" xfId="0" applyFont="1" applyBorder="1"/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2" fontId="2" fillId="0" borderId="42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/>
    </xf>
    <xf numFmtId="0" fontId="3" fillId="0" borderId="2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16" fontId="2" fillId="0" borderId="17" xfId="0" applyNumberFormat="1" applyFont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/>
    </xf>
    <xf numFmtId="167" fontId="2" fillId="0" borderId="18" xfId="0" applyNumberFormat="1" applyFont="1" applyBorder="1" applyAlignment="1">
      <alignment horizontal="center"/>
    </xf>
    <xf numFmtId="2" fontId="2" fillId="0" borderId="19" xfId="0" applyNumberFormat="1" applyFont="1" applyFill="1" applyBorder="1" applyAlignment="1">
      <alignment horizontal="center"/>
    </xf>
    <xf numFmtId="16" fontId="2" fillId="0" borderId="20" xfId="0" applyNumberFormat="1" applyFont="1" applyBorder="1" applyAlignment="1">
      <alignment horizontal="center" vertical="center" wrapText="1"/>
    </xf>
    <xf numFmtId="2" fontId="2" fillId="0" borderId="39" xfId="0" applyNumberFormat="1" applyFont="1" applyFill="1" applyBorder="1" applyAlignment="1">
      <alignment horizontal="center"/>
    </xf>
    <xf numFmtId="16" fontId="2" fillId="0" borderId="21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 wrapText="1"/>
    </xf>
    <xf numFmtId="167" fontId="2" fillId="0" borderId="22" xfId="0" applyNumberFormat="1" applyFont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16" fontId="2" fillId="0" borderId="21" xfId="0" applyNumberFormat="1" applyFont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center"/>
    </xf>
    <xf numFmtId="2" fontId="2" fillId="0" borderId="42" xfId="0" applyNumberFormat="1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8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2" fillId="0" borderId="0" xfId="1" applyFont="1"/>
    <xf numFmtId="0" fontId="3" fillId="0" borderId="12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" fontId="2" fillId="0" borderId="17" xfId="1" applyNumberFormat="1" applyFont="1" applyBorder="1" applyAlignment="1">
      <alignment horizontal="center"/>
    </xf>
    <xf numFmtId="164" fontId="2" fillId="0" borderId="18" xfId="1" applyNumberFormat="1" applyFont="1" applyBorder="1" applyAlignment="1">
      <alignment horizontal="center"/>
    </xf>
    <xf numFmtId="164" fontId="2" fillId="0" borderId="27" xfId="1" applyNumberFormat="1" applyFont="1" applyBorder="1" applyAlignment="1">
      <alignment horizontal="center"/>
    </xf>
    <xf numFmtId="1" fontId="2" fillId="0" borderId="20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9" xfId="1" applyNumberFormat="1" applyFont="1" applyBorder="1" applyAlignment="1">
      <alignment horizontal="center"/>
    </xf>
    <xf numFmtId="164" fontId="2" fillId="0" borderId="22" xfId="1" applyNumberFormat="1" applyFont="1" applyBorder="1" applyAlignment="1">
      <alignment horizontal="center"/>
    </xf>
    <xf numFmtId="0" fontId="6" fillId="4" borderId="16" xfId="1" applyFont="1" applyFill="1" applyBorder="1" applyAlignment="1">
      <alignment horizontal="center" vertical="center"/>
    </xf>
    <xf numFmtId="0" fontId="2" fillId="0" borderId="26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2" fillId="0" borderId="21" xfId="1" applyFont="1" applyBorder="1" applyAlignment="1">
      <alignment horizontal="center"/>
    </xf>
    <xf numFmtId="0" fontId="2" fillId="0" borderId="22" xfId="1" applyFont="1" applyBorder="1" applyAlignment="1">
      <alignment horizontal="center"/>
    </xf>
    <xf numFmtId="164" fontId="2" fillId="0" borderId="0" xfId="1" applyNumberFormat="1" applyFont="1"/>
    <xf numFmtId="0" fontId="2" fillId="0" borderId="1" xfId="1" applyFont="1" applyBorder="1" applyAlignment="1">
      <alignment horizontal="center" vertical="center"/>
    </xf>
    <xf numFmtId="1" fontId="2" fillId="0" borderId="21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" vertical="center" wrapText="1"/>
    </xf>
    <xf numFmtId="0" fontId="2" fillId="0" borderId="41" xfId="1" applyFont="1" applyBorder="1" applyAlignment="1">
      <alignment horizontal="center"/>
    </xf>
    <xf numFmtId="164" fontId="2" fillId="0" borderId="30" xfId="1" applyNumberFormat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39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2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2" xfId="1" applyFont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3" borderId="0" xfId="0" applyFont="1" applyFill="1"/>
    <xf numFmtId="165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/>
    <xf numFmtId="165" fontId="2" fillId="3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vertical="center"/>
    </xf>
    <xf numFmtId="0" fontId="3" fillId="0" borderId="35" xfId="0" applyFont="1" applyBorder="1" applyAlignment="1">
      <alignment horizontal="center" vertical="center" wrapText="1"/>
    </xf>
    <xf numFmtId="167" fontId="2" fillId="0" borderId="20" xfId="0" applyNumberFormat="1" applyFont="1" applyBorder="1" applyAlignment="1">
      <alignment horizontal="center"/>
    </xf>
    <xf numFmtId="167" fontId="2" fillId="2" borderId="20" xfId="0" applyNumberFormat="1" applyFont="1" applyFill="1" applyBorder="1" applyAlignment="1">
      <alignment horizontal="center"/>
    </xf>
    <xf numFmtId="167" fontId="2" fillId="0" borderId="21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66" fontId="2" fillId="0" borderId="22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25" xfId="1" applyFont="1" applyBorder="1" applyAlignment="1">
      <alignment horizontal="center"/>
    </xf>
    <xf numFmtId="1" fontId="2" fillId="4" borderId="17" xfId="1" applyNumberFormat="1" applyFont="1" applyFill="1" applyBorder="1" applyAlignment="1">
      <alignment horizontal="center"/>
    </xf>
    <xf numFmtId="164" fontId="2" fillId="4" borderId="18" xfId="1" applyNumberFormat="1" applyFont="1" applyFill="1" applyBorder="1" applyAlignment="1">
      <alignment horizontal="center"/>
    </xf>
    <xf numFmtId="2" fontId="2" fillId="4" borderId="18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/>
    </xf>
    <xf numFmtId="1" fontId="2" fillId="4" borderId="20" xfId="1" applyNumberFormat="1" applyFont="1" applyFill="1" applyBorder="1" applyAlignment="1">
      <alignment horizontal="center"/>
    </xf>
    <xf numFmtId="2" fontId="2" fillId="4" borderId="1" xfId="1" applyNumberFormat="1" applyFont="1" applyFill="1" applyBorder="1" applyAlignment="1">
      <alignment horizontal="center" vertical="center"/>
    </xf>
    <xf numFmtId="1" fontId="2" fillId="4" borderId="21" xfId="1" applyNumberFormat="1" applyFont="1" applyFill="1" applyBorder="1" applyAlignment="1">
      <alignment horizontal="center"/>
    </xf>
    <xf numFmtId="164" fontId="2" fillId="4" borderId="22" xfId="1" applyNumberFormat="1" applyFont="1" applyFill="1" applyBorder="1" applyAlignment="1">
      <alignment horizontal="center"/>
    </xf>
    <xf numFmtId="2" fontId="2" fillId="4" borderId="22" xfId="1" applyNumberFormat="1" applyFont="1" applyFill="1" applyBorder="1" applyAlignment="1">
      <alignment horizontal="center" vertical="center"/>
    </xf>
    <xf numFmtId="164" fontId="2" fillId="4" borderId="19" xfId="1" applyNumberFormat="1" applyFont="1" applyFill="1" applyBorder="1" applyAlignment="1">
      <alignment horizontal="center"/>
    </xf>
    <xf numFmtId="164" fontId="2" fillId="4" borderId="39" xfId="1" applyNumberFormat="1" applyFont="1" applyFill="1" applyBorder="1" applyAlignment="1">
      <alignment horizontal="center"/>
    </xf>
    <xf numFmtId="164" fontId="2" fillId="4" borderId="42" xfId="1" applyNumberFormat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4" borderId="18" xfId="1" applyFont="1" applyFill="1" applyBorder="1" applyAlignment="1">
      <alignment horizontal="center"/>
    </xf>
    <xf numFmtId="0" fontId="2" fillId="4" borderId="22" xfId="1" applyFont="1" applyFill="1" applyBorder="1" applyAlignment="1">
      <alignment horizontal="center"/>
    </xf>
    <xf numFmtId="0" fontId="2" fillId="0" borderId="11" xfId="0" applyFont="1" applyBorder="1"/>
    <xf numFmtId="0" fontId="2" fillId="0" borderId="13" xfId="1" applyFont="1" applyBorder="1"/>
    <xf numFmtId="0" fontId="2" fillId="0" borderId="14" xfId="0" applyFont="1" applyBorder="1"/>
    <xf numFmtId="0" fontId="2" fillId="0" borderId="15" xfId="0" applyFont="1" applyBorder="1"/>
    <xf numFmtId="164" fontId="2" fillId="4" borderId="18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4" borderId="22" xfId="0" applyNumberFormat="1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3" fillId="0" borderId="0" xfId="0" applyFont="1" applyBorder="1" applyAlignment="1"/>
    <xf numFmtId="0" fontId="2" fillId="0" borderId="2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2" fontId="2" fillId="0" borderId="43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2" fillId="0" borderId="33" xfId="0" applyNumberFormat="1" applyFont="1" applyFill="1" applyBorder="1" applyAlignment="1">
      <alignment horizontal="center"/>
    </xf>
    <xf numFmtId="0" fontId="3" fillId="0" borderId="4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5" xfId="0" applyFont="1" applyBorder="1" applyAlignment="1"/>
    <xf numFmtId="0" fontId="3" fillId="0" borderId="31" xfId="0" applyFont="1" applyBorder="1" applyAlignment="1"/>
    <xf numFmtId="0" fontId="3" fillId="0" borderId="32" xfId="0" applyFont="1" applyBorder="1" applyAlignment="1"/>
    <xf numFmtId="0" fontId="2" fillId="4" borderId="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0" xfId="0" applyFont="1" applyFill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33" xfId="0" applyNumberFormat="1" applyFont="1" applyBorder="1" applyAlignment="1">
      <alignment horizontal="center"/>
    </xf>
    <xf numFmtId="164" fontId="2" fillId="0" borderId="46" xfId="0" applyNumberFormat="1" applyFont="1" applyBorder="1" applyAlignment="1">
      <alignment horizontal="center"/>
    </xf>
    <xf numFmtId="164" fontId="2" fillId="0" borderId="34" xfId="0" applyNumberFormat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2" fillId="0" borderId="54" xfId="0" applyNumberFormat="1" applyFont="1" applyBorder="1" applyAlignment="1">
      <alignment horizontal="center"/>
    </xf>
    <xf numFmtId="164" fontId="2" fillId="0" borderId="44" xfId="0" applyNumberFormat="1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164" fontId="2" fillId="0" borderId="55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164" fontId="2" fillId="0" borderId="4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48" xfId="0" applyNumberFormat="1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3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 wrapText="1"/>
    </xf>
    <xf numFmtId="0" fontId="2" fillId="0" borderId="42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3" fillId="0" borderId="2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25" xfId="1" applyFont="1" applyBorder="1" applyAlignment="1">
      <alignment horizontal="center" vertical="center" wrapText="1"/>
    </xf>
    <xf numFmtId="1" fontId="2" fillId="4" borderId="18" xfId="1" applyNumberFormat="1" applyFont="1" applyFill="1" applyBorder="1" applyAlignment="1">
      <alignment horizontal="center" vertical="center"/>
    </xf>
    <xf numFmtId="1" fontId="2" fillId="4" borderId="1" xfId="1" applyNumberFormat="1" applyFont="1" applyFill="1" applyBorder="1" applyAlignment="1">
      <alignment horizontal="center" vertical="center"/>
    </xf>
    <xf numFmtId="1" fontId="2" fillId="4" borderId="22" xfId="1" applyNumberFormat="1" applyFont="1" applyFill="1" applyBorder="1" applyAlignment="1">
      <alignment horizontal="center" vertical="center"/>
    </xf>
    <xf numFmtId="164" fontId="2" fillId="4" borderId="18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22" xfId="1" applyNumberFormat="1" applyFont="1" applyFill="1" applyBorder="1" applyAlignment="1">
      <alignment horizontal="center" vertical="center"/>
    </xf>
    <xf numFmtId="0" fontId="3" fillId="0" borderId="23" xfId="1" applyFont="1" applyBorder="1" applyAlignment="1">
      <alignment horizontal="center"/>
    </xf>
    <xf numFmtId="0" fontId="3" fillId="0" borderId="24" xfId="1" applyFont="1" applyBorder="1" applyAlignment="1">
      <alignment horizontal="center"/>
    </xf>
    <xf numFmtId="0" fontId="3" fillId="0" borderId="25" xfId="1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59" xfId="0" applyNumberFormat="1" applyFont="1" applyBorder="1" applyAlignment="1">
      <alignment horizontal="center" vertical="center"/>
    </xf>
    <xf numFmtId="164" fontId="2" fillId="0" borderId="60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42" xfId="0" applyNumberFormat="1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Интегральные кривые гранулометрического состава для всех образцов в полулогарифмическом масштабе</a:t>
            </a:r>
          </a:p>
        </c:rich>
      </c:tx>
      <c:layout>
        <c:manualLayout>
          <c:xMode val="edge"/>
          <c:yMode val="edge"/>
          <c:x val="0.19482804183556093"/>
          <c:y val="2.46138569379979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95804988662149"/>
          <c:y val="0.1556275"/>
          <c:w val="0.70691823383787378"/>
          <c:h val="0.7035775661082746"/>
        </c:manualLayout>
      </c:layout>
      <c:scatterChart>
        <c:scatterStyle val="lineMarker"/>
        <c:varyColors val="0"/>
        <c:ser>
          <c:idx val="0"/>
          <c:order val="0"/>
          <c:tx>
            <c:v>Глуб. 13 м</c:v>
          </c:tx>
          <c:spPr>
            <a:ln>
              <a:solidFill>
                <a:schemeClr val="accent6"/>
              </a:solidFill>
            </a:ln>
          </c:spPr>
          <c:marker>
            <c:spPr>
              <a:ln>
                <a:solidFill>
                  <a:schemeClr val="accent6"/>
                </a:solidFill>
              </a:ln>
            </c:spPr>
          </c:marker>
          <c:xVal>
            <c:numRef>
              <c:f>'Гран состав +'!$M$12:$T$12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  <c:pt idx="6">
                  <c:v>5.0000000000000001E-3</c:v>
                </c:pt>
                <c:pt idx="7">
                  <c:v>2E-3</c:v>
                </c:pt>
              </c:numCache>
            </c:numRef>
          </c:xVal>
          <c:yVal>
            <c:numRef>
              <c:f>'Гран состав +'!$M$13:$T$13</c:f>
              <c:numCache>
                <c:formatCode>0.0</c:formatCode>
                <c:ptCount val="8"/>
                <c:pt idx="0" formatCode="General">
                  <c:v>100</c:v>
                </c:pt>
                <c:pt idx="1">
                  <c:v>100.00000000000001</c:v>
                </c:pt>
                <c:pt idx="2">
                  <c:v>96.300000000000011</c:v>
                </c:pt>
                <c:pt idx="3">
                  <c:v>93.9</c:v>
                </c:pt>
                <c:pt idx="4">
                  <c:v>74.3</c:v>
                </c:pt>
                <c:pt idx="5">
                  <c:v>31.5</c:v>
                </c:pt>
                <c:pt idx="6">
                  <c:v>19.8</c:v>
                </c:pt>
                <c:pt idx="7" formatCode="General">
                  <c:v>3.7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3C-420B-9DA3-B591A5106C59}"/>
            </c:ext>
          </c:extLst>
        </c:ser>
        <c:ser>
          <c:idx val="1"/>
          <c:order val="1"/>
          <c:tx>
            <c:v>Глуб. 15 м</c:v>
          </c:tx>
          <c:xVal>
            <c:numRef>
              <c:f>'Гран состав +'!$M$12:$T$12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  <c:pt idx="6">
                  <c:v>5.0000000000000001E-3</c:v>
                </c:pt>
                <c:pt idx="7">
                  <c:v>2E-3</c:v>
                </c:pt>
              </c:numCache>
            </c:numRef>
          </c:xVal>
          <c:yVal>
            <c:numRef>
              <c:f>'Гран состав +'!$M$14:$T$14</c:f>
              <c:numCache>
                <c:formatCode>0.0</c:formatCode>
                <c:ptCount val="8"/>
                <c:pt idx="0" formatCode="General">
                  <c:v>100</c:v>
                </c:pt>
                <c:pt idx="1">
                  <c:v>100</c:v>
                </c:pt>
                <c:pt idx="2">
                  <c:v>97</c:v>
                </c:pt>
                <c:pt idx="3">
                  <c:v>95</c:v>
                </c:pt>
                <c:pt idx="4">
                  <c:v>84.9</c:v>
                </c:pt>
                <c:pt idx="5">
                  <c:v>47.5</c:v>
                </c:pt>
                <c:pt idx="6">
                  <c:v>30.400000000000002</c:v>
                </c:pt>
                <c:pt idx="7" formatCode="General">
                  <c:v>11.8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3C-420B-9DA3-B591A5106C59}"/>
            </c:ext>
          </c:extLst>
        </c:ser>
        <c:ser>
          <c:idx val="2"/>
          <c:order val="2"/>
          <c:tx>
            <c:v>Глуб. 16,5</c:v>
          </c:tx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xVal>
            <c:numRef>
              <c:f>'Гран состав +'!$M$12:$T$12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  <c:pt idx="6">
                  <c:v>5.0000000000000001E-3</c:v>
                </c:pt>
                <c:pt idx="7">
                  <c:v>2E-3</c:v>
                </c:pt>
              </c:numCache>
            </c:numRef>
          </c:xVal>
          <c:yVal>
            <c:numRef>
              <c:f>'Гран состав +'!$M$15:$T$15</c:f>
              <c:numCache>
                <c:formatCode>0.0</c:formatCode>
                <c:ptCount val="8"/>
                <c:pt idx="0" formatCode="General">
                  <c:v>100</c:v>
                </c:pt>
                <c:pt idx="1">
                  <c:v>100.00000000000003</c:v>
                </c:pt>
                <c:pt idx="2">
                  <c:v>96.600000000000023</c:v>
                </c:pt>
                <c:pt idx="3">
                  <c:v>94.200000000000017</c:v>
                </c:pt>
                <c:pt idx="4">
                  <c:v>82.9</c:v>
                </c:pt>
                <c:pt idx="5">
                  <c:v>42.5</c:v>
                </c:pt>
                <c:pt idx="6">
                  <c:v>25.3</c:v>
                </c:pt>
                <c:pt idx="7" formatCode="General">
                  <c:v>9.1999999999999993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3C-420B-9DA3-B591A5106C59}"/>
            </c:ext>
          </c:extLst>
        </c:ser>
        <c:ser>
          <c:idx val="3"/>
          <c:order val="3"/>
          <c:tx>
            <c:v>Глуб. 18</c:v>
          </c:tx>
          <c:spPr>
            <a:ln>
              <a:solidFill>
                <a:schemeClr val="accent1"/>
              </a:solidFill>
            </a:ln>
          </c:spPr>
          <c:marker>
            <c:spPr>
              <a:ln>
                <a:solidFill>
                  <a:schemeClr val="accent1"/>
                </a:solidFill>
              </a:ln>
            </c:spPr>
          </c:marker>
          <c:xVal>
            <c:numRef>
              <c:f>'Гран состав +'!$M$12:$T$12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  <c:pt idx="6">
                  <c:v>5.0000000000000001E-3</c:v>
                </c:pt>
                <c:pt idx="7">
                  <c:v>2E-3</c:v>
                </c:pt>
              </c:numCache>
            </c:numRef>
          </c:xVal>
          <c:yVal>
            <c:numRef>
              <c:f>'Гран состав +'!$M$16:$T$16</c:f>
              <c:numCache>
                <c:formatCode>0.0</c:formatCode>
                <c:ptCount val="8"/>
                <c:pt idx="0" formatCode="General">
                  <c:v>100</c:v>
                </c:pt>
                <c:pt idx="1">
                  <c:v>100.02027906976744</c:v>
                </c:pt>
                <c:pt idx="2">
                  <c:v>98.720279069767443</c:v>
                </c:pt>
                <c:pt idx="3">
                  <c:v>96.02027906976744</c:v>
                </c:pt>
                <c:pt idx="4">
                  <c:v>79</c:v>
                </c:pt>
                <c:pt idx="5">
                  <c:v>41.8</c:v>
                </c:pt>
                <c:pt idx="6">
                  <c:v>20</c:v>
                </c:pt>
                <c:pt idx="7" formatCode="General">
                  <c:v>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33C-420B-9DA3-B591A5106C59}"/>
            </c:ext>
          </c:extLst>
        </c:ser>
        <c:ser>
          <c:idx val="4"/>
          <c:order val="4"/>
          <c:tx>
            <c:v>Глуб. 19</c:v>
          </c:tx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xVal>
            <c:numRef>
              <c:f>'Гран состав +'!$M$12:$T$12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  <c:pt idx="6">
                  <c:v>5.0000000000000001E-3</c:v>
                </c:pt>
                <c:pt idx="7">
                  <c:v>2E-3</c:v>
                </c:pt>
              </c:numCache>
            </c:numRef>
          </c:xVal>
          <c:yVal>
            <c:numRef>
              <c:f>'Гран состав +'!$M$17:$T$17</c:f>
              <c:numCache>
                <c:formatCode>0.0</c:formatCode>
                <c:ptCount val="8"/>
                <c:pt idx="0" formatCode="General">
                  <c:v>100</c:v>
                </c:pt>
                <c:pt idx="1">
                  <c:v>100</c:v>
                </c:pt>
                <c:pt idx="2">
                  <c:v>99.420483430799209</c:v>
                </c:pt>
                <c:pt idx="3">
                  <c:v>98.420483430799209</c:v>
                </c:pt>
                <c:pt idx="4">
                  <c:v>68.8</c:v>
                </c:pt>
                <c:pt idx="5">
                  <c:v>28.5</c:v>
                </c:pt>
                <c:pt idx="6">
                  <c:v>19.3</c:v>
                </c:pt>
                <c:pt idx="7" formatCode="General">
                  <c:v>3.2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33C-420B-9DA3-B591A510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96704"/>
        <c:axId val="202597264"/>
      </c:scatterChart>
      <c:valAx>
        <c:axId val="202596704"/>
        <c:scaling>
          <c:logBase val="10"/>
          <c:orientation val="minMax"/>
          <c:max val="100"/>
          <c:min val="1.0000000000000041E-3"/>
        </c:scaling>
        <c:delete val="0"/>
        <c:axPos val="b"/>
        <c:majorGridlines>
          <c:spPr>
            <a:ln w="3175" cap="flat" cmpd="sng" algn="ctr">
              <a:solidFill>
                <a:schemeClr val="tx2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 частиц, мм</a:t>
                </a:r>
              </a:p>
            </c:rich>
          </c:tx>
          <c:layout>
            <c:manualLayout>
              <c:xMode val="edge"/>
              <c:yMode val="edge"/>
              <c:x val="0.42062514239377302"/>
              <c:y val="0.926046388244927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97264"/>
        <c:crosses val="autoZero"/>
        <c:crossBetween val="midCat"/>
      </c:valAx>
      <c:valAx>
        <c:axId val="202597264"/>
        <c:scaling>
          <c:orientation val="minMax"/>
          <c:max val="100"/>
        </c:scaling>
        <c:delete val="0"/>
        <c:axPos val="l"/>
        <c:majorGridlines>
          <c:spPr>
            <a:ln w="3175" cap="flat" cmpd="sng" algn="ctr">
              <a:solidFill>
                <a:schemeClr val="tx2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Суммарное содержание фракций,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96704"/>
        <c:crossesAt val="1.0000000000000041E-3"/>
        <c:crossBetween val="midCat"/>
      </c:valAx>
      <c:spPr>
        <a:solidFill>
          <a:srgbClr val="FFFFFF"/>
        </a:solidFill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403540963806579"/>
          <c:y val="0.3848188918601721"/>
          <c:w val="6.9978614383690033E-2"/>
          <c:h val="0.19248325212235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 alignWithMargins="0"/>
    <c:pageMargins b="1" l="0.75000000000000622" r="0.75000000000000622" t="1" header="0.5" footer="0.5"/>
    <c:pageSetup paperSize="9" orientation="landscape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влажности</a:t>
            </a:r>
            <a:r>
              <a:rPr lang="ru-RU" baseline="0"/>
              <a:t> грунта от объема  (</a:t>
            </a:r>
            <a:r>
              <a:rPr lang="ru-RU"/>
              <a:t>15</a:t>
            </a:r>
            <a:r>
              <a:rPr lang="ru-RU" baseline="0"/>
              <a:t> м)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'Усадочность + '!$U$5:$U$8</c:f>
              <c:numCache>
                <c:formatCode>0.0</c:formatCode>
                <c:ptCount val="4"/>
                <c:pt idx="0">
                  <c:v>8.1841432225063944</c:v>
                </c:pt>
                <c:pt idx="1">
                  <c:v>7.798165137614685</c:v>
                </c:pt>
                <c:pt idx="2">
                  <c:v>0.35805626598464896</c:v>
                </c:pt>
                <c:pt idx="3">
                  <c:v>0</c:v>
                </c:pt>
              </c:numCache>
            </c:numRef>
          </c:xVal>
          <c:yVal>
            <c:numRef>
              <c:f>'Усадочность + '!$S$5:$S$8</c:f>
              <c:numCache>
                <c:formatCode>0.0</c:formatCode>
                <c:ptCount val="4"/>
                <c:pt idx="0">
                  <c:v>148.54162499999998</c:v>
                </c:pt>
                <c:pt idx="1">
                  <c:v>143.90237312500003</c:v>
                </c:pt>
                <c:pt idx="2">
                  <c:v>140.59438312500004</c:v>
                </c:pt>
                <c:pt idx="3">
                  <c:v>140.59438312500004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C4-4B53-8289-66CE6F0F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67264"/>
        <c:axId val="203694016"/>
      </c:scatterChart>
      <c:valAx>
        <c:axId val="20316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Влажность,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94016"/>
        <c:crosses val="autoZero"/>
        <c:crossBetween val="midCat"/>
      </c:valAx>
      <c:valAx>
        <c:axId val="2036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Объем, г/см3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влажности</a:t>
            </a:r>
            <a:r>
              <a:rPr lang="ru-RU" baseline="0"/>
              <a:t> грунта от объема  (</a:t>
            </a:r>
            <a:r>
              <a:rPr lang="ru-RU"/>
              <a:t>16,5</a:t>
            </a:r>
            <a:r>
              <a:rPr lang="ru-RU" baseline="0"/>
              <a:t> м)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'Усадочность + '!$G$14:$G$17</c:f>
              <c:numCache>
                <c:formatCode>0.0</c:formatCode>
                <c:ptCount val="4"/>
                <c:pt idx="0">
                  <c:v>3.0420086914534101</c:v>
                </c:pt>
                <c:pt idx="1">
                  <c:v>2.3501199040767276</c:v>
                </c:pt>
                <c:pt idx="2">
                  <c:v>0.67600193143410636</c:v>
                </c:pt>
                <c:pt idx="3">
                  <c:v>0</c:v>
                </c:pt>
              </c:numCache>
            </c:numRef>
          </c:xVal>
          <c:yVal>
            <c:numRef>
              <c:f>'Усадочность + '!$E$14:$E$17</c:f>
              <c:numCache>
                <c:formatCode>0.0</c:formatCode>
                <c:ptCount val="4"/>
                <c:pt idx="0">
                  <c:v>142.59995999999998</c:v>
                </c:pt>
                <c:pt idx="1">
                  <c:v>140.96559000000002</c:v>
                </c:pt>
                <c:pt idx="2">
                  <c:v>139.34063999999998</c:v>
                </c:pt>
                <c:pt idx="3">
                  <c:v>136.43771000000001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A4C-4DAE-9DAD-306410CC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6256"/>
        <c:axId val="203696816"/>
      </c:scatterChart>
      <c:valAx>
        <c:axId val="2036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Влажность,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96816"/>
        <c:crosses val="autoZero"/>
        <c:crossBetween val="midCat"/>
      </c:valAx>
      <c:valAx>
        <c:axId val="2036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Объем,</a:t>
                </a:r>
                <a:r>
                  <a:rPr lang="ru-RU" baseline="0"/>
                  <a:t> г/см3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влажности</a:t>
            </a:r>
            <a:r>
              <a:rPr lang="ru-RU" baseline="0"/>
              <a:t> грунта от объема  (</a:t>
            </a:r>
            <a:r>
              <a:rPr lang="ru-RU"/>
              <a:t>18</a:t>
            </a:r>
            <a:r>
              <a:rPr lang="ru-RU" baseline="0"/>
              <a:t> м)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'Усадочность + '!$U$14:$U$17</c:f>
              <c:numCache>
                <c:formatCode>0.0</c:formatCode>
                <c:ptCount val="4"/>
                <c:pt idx="0">
                  <c:v>5.479452054794506</c:v>
                </c:pt>
                <c:pt idx="1">
                  <c:v>3.210649960845728</c:v>
                </c:pt>
                <c:pt idx="2">
                  <c:v>2.1599999999999908</c:v>
                </c:pt>
                <c:pt idx="3">
                  <c:v>0</c:v>
                </c:pt>
              </c:numCache>
            </c:numRef>
          </c:xVal>
          <c:yVal>
            <c:numRef>
              <c:f>'Усадочность + '!$S$14:$S$17</c:f>
              <c:numCache>
                <c:formatCode>0.0</c:formatCode>
                <c:ptCount val="4"/>
                <c:pt idx="0">
                  <c:v>140.45906875000003</c:v>
                </c:pt>
                <c:pt idx="1">
                  <c:v>136.52288250000001</c:v>
                </c:pt>
                <c:pt idx="2">
                  <c:v>134.60679562500002</c:v>
                </c:pt>
                <c:pt idx="3">
                  <c:v>134.60679562500002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70B-462B-8A46-458639CC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9056"/>
        <c:axId val="203699616"/>
      </c:scatterChart>
      <c:valAx>
        <c:axId val="2036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Влажность,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99616"/>
        <c:crosses val="autoZero"/>
        <c:crossBetween val="midCat"/>
      </c:valAx>
      <c:valAx>
        <c:axId val="2036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Объем, см3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9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влажности</a:t>
            </a:r>
            <a:r>
              <a:rPr lang="ru-RU" baseline="0"/>
              <a:t> грунта от объема  (</a:t>
            </a:r>
            <a:r>
              <a:rPr lang="ru-RU"/>
              <a:t>19</a:t>
            </a:r>
            <a:r>
              <a:rPr lang="ru-RU" baseline="0"/>
              <a:t> м)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'Усадочность + '!$G$24:$G$27</c:f>
              <c:numCache>
                <c:formatCode>0.0</c:formatCode>
                <c:ptCount val="4"/>
                <c:pt idx="0">
                  <c:v>7.4698795180722994</c:v>
                </c:pt>
                <c:pt idx="1">
                  <c:v>6.8263473053892314</c:v>
                </c:pt>
                <c:pt idx="2">
                  <c:v>0.60240963855421692</c:v>
                </c:pt>
                <c:pt idx="3">
                  <c:v>0</c:v>
                </c:pt>
              </c:numCache>
            </c:numRef>
          </c:xVal>
          <c:yVal>
            <c:numRef>
              <c:f>'Усадочность + '!$E$24:$E$27</c:f>
              <c:numCache>
                <c:formatCode>0.0</c:formatCode>
                <c:ptCount val="4"/>
                <c:pt idx="0">
                  <c:v>139.25513387500001</c:v>
                </c:pt>
                <c:pt idx="1">
                  <c:v>134.54428999999999</c:v>
                </c:pt>
                <c:pt idx="2">
                  <c:v>130.70514937499999</c:v>
                </c:pt>
                <c:pt idx="3">
                  <c:v>130.70514937499999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1E7-4F0C-B5A3-F99EFA3FA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02832"/>
        <c:axId val="203903392"/>
      </c:scatterChart>
      <c:valAx>
        <c:axId val="203902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Влажность,%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03392"/>
        <c:crosses val="autoZero"/>
        <c:crossBetween val="midCat"/>
      </c:valAx>
      <c:valAx>
        <c:axId val="2039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Объем,</a:t>
                </a:r>
                <a:r>
                  <a:rPr lang="ru-RU" baseline="0"/>
                  <a:t> г/см3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0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влажности</a:t>
            </a:r>
            <a:r>
              <a:rPr lang="ru-RU" baseline="0"/>
              <a:t> грунта от объема для всех грунтов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глуб. 13м</c:v>
          </c:tx>
          <c:xVal>
            <c:numRef>
              <c:f>'Усадочность + '!$G$5:$G$8</c:f>
              <c:numCache>
                <c:formatCode>0.0</c:formatCode>
                <c:ptCount val="4"/>
                <c:pt idx="0">
                  <c:v>9.4218415417558692</c:v>
                </c:pt>
                <c:pt idx="1">
                  <c:v>8.2053996823716258</c:v>
                </c:pt>
                <c:pt idx="2">
                  <c:v>1.1241970021413092</c:v>
                </c:pt>
                <c:pt idx="3">
                  <c:v>0</c:v>
                </c:pt>
              </c:numCache>
            </c:numRef>
          </c:xVal>
          <c:yVal>
            <c:numRef>
              <c:f>'Усадочность + '!$E$5:$E$8</c:f>
              <c:numCache>
                <c:formatCode>0.0</c:formatCode>
                <c:ptCount val="4"/>
                <c:pt idx="0">
                  <c:v>148.54162499999998</c:v>
                </c:pt>
                <c:pt idx="1">
                  <c:v>143.90237312500003</c:v>
                </c:pt>
                <c:pt idx="2">
                  <c:v>140.96558999999999</c:v>
                </c:pt>
                <c:pt idx="3">
                  <c:v>140.96558999999999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E48-4B91-8020-32CA69C1724B}"/>
            </c:ext>
          </c:extLst>
        </c:ser>
        <c:ser>
          <c:idx val="1"/>
          <c:order val="1"/>
          <c:tx>
            <c:v>Глуб. 15м</c:v>
          </c:tx>
          <c:xVal>
            <c:numRef>
              <c:f>'Усадочность + '!$U$5:$U$8</c:f>
              <c:numCache>
                <c:formatCode>0.0</c:formatCode>
                <c:ptCount val="4"/>
                <c:pt idx="0">
                  <c:v>8.1841432225063944</c:v>
                </c:pt>
                <c:pt idx="1">
                  <c:v>7.798165137614685</c:v>
                </c:pt>
                <c:pt idx="2">
                  <c:v>0.35805626598464896</c:v>
                </c:pt>
                <c:pt idx="3">
                  <c:v>0</c:v>
                </c:pt>
              </c:numCache>
            </c:numRef>
          </c:xVal>
          <c:yVal>
            <c:numRef>
              <c:f>'Усадочность + '!$S$5:$S$8</c:f>
              <c:numCache>
                <c:formatCode>0.0</c:formatCode>
                <c:ptCount val="4"/>
                <c:pt idx="0">
                  <c:v>148.54162499999998</c:v>
                </c:pt>
                <c:pt idx="1">
                  <c:v>143.90237312500003</c:v>
                </c:pt>
                <c:pt idx="2">
                  <c:v>140.59438312500004</c:v>
                </c:pt>
                <c:pt idx="3">
                  <c:v>140.59438312500004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E48-4B91-8020-32CA69C1724B}"/>
            </c:ext>
          </c:extLst>
        </c:ser>
        <c:ser>
          <c:idx val="2"/>
          <c:order val="2"/>
          <c:tx>
            <c:v>Глуб. 16,5м</c:v>
          </c:tx>
          <c:xVal>
            <c:numRef>
              <c:f>'Усадочность + '!$G$14:$G$17</c:f>
              <c:numCache>
                <c:formatCode>0.0</c:formatCode>
                <c:ptCount val="4"/>
                <c:pt idx="0">
                  <c:v>3.0420086914534101</c:v>
                </c:pt>
                <c:pt idx="1">
                  <c:v>2.3501199040767276</c:v>
                </c:pt>
                <c:pt idx="2">
                  <c:v>0.67600193143410636</c:v>
                </c:pt>
                <c:pt idx="3">
                  <c:v>0</c:v>
                </c:pt>
              </c:numCache>
            </c:numRef>
          </c:xVal>
          <c:yVal>
            <c:numRef>
              <c:f>'Усадочность + '!$E$14:$E$17</c:f>
              <c:numCache>
                <c:formatCode>0.0</c:formatCode>
                <c:ptCount val="4"/>
                <c:pt idx="0">
                  <c:v>142.59995999999998</c:v>
                </c:pt>
                <c:pt idx="1">
                  <c:v>140.96559000000002</c:v>
                </c:pt>
                <c:pt idx="2">
                  <c:v>139.34063999999998</c:v>
                </c:pt>
                <c:pt idx="3">
                  <c:v>136.43771000000001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E48-4B91-8020-32CA69C1724B}"/>
            </c:ext>
          </c:extLst>
        </c:ser>
        <c:ser>
          <c:idx val="3"/>
          <c:order val="3"/>
          <c:tx>
            <c:v>Глуб. 18м</c:v>
          </c:tx>
          <c:xVal>
            <c:numRef>
              <c:f>'Усадочность + '!$U$14:$U$17</c:f>
              <c:numCache>
                <c:formatCode>0.0</c:formatCode>
                <c:ptCount val="4"/>
                <c:pt idx="0">
                  <c:v>5.479452054794506</c:v>
                </c:pt>
                <c:pt idx="1">
                  <c:v>3.210649960845728</c:v>
                </c:pt>
                <c:pt idx="2">
                  <c:v>2.1599999999999908</c:v>
                </c:pt>
                <c:pt idx="3">
                  <c:v>0</c:v>
                </c:pt>
              </c:numCache>
            </c:numRef>
          </c:xVal>
          <c:yVal>
            <c:numRef>
              <c:f>'Усадочность + '!$S$14:$S$17</c:f>
              <c:numCache>
                <c:formatCode>0.0</c:formatCode>
                <c:ptCount val="4"/>
                <c:pt idx="0">
                  <c:v>140.45906875000003</c:v>
                </c:pt>
                <c:pt idx="1">
                  <c:v>136.52288250000001</c:v>
                </c:pt>
                <c:pt idx="2">
                  <c:v>134.60679562500002</c:v>
                </c:pt>
                <c:pt idx="3">
                  <c:v>134.60679562500002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E48-4B91-8020-32CA69C1724B}"/>
            </c:ext>
          </c:extLst>
        </c:ser>
        <c:ser>
          <c:idx val="4"/>
          <c:order val="4"/>
          <c:tx>
            <c:v>Глуб. 19м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'Усадочность + '!$G$24:$G$27</c:f>
              <c:numCache>
                <c:formatCode>0.0</c:formatCode>
                <c:ptCount val="4"/>
                <c:pt idx="0">
                  <c:v>7.4698795180722994</c:v>
                </c:pt>
                <c:pt idx="1">
                  <c:v>6.8263473053892314</c:v>
                </c:pt>
                <c:pt idx="2">
                  <c:v>0.60240963855421692</c:v>
                </c:pt>
                <c:pt idx="3">
                  <c:v>0</c:v>
                </c:pt>
              </c:numCache>
            </c:numRef>
          </c:xVal>
          <c:yVal>
            <c:numRef>
              <c:f>'Усадочность + '!$E$24:$E$27</c:f>
              <c:numCache>
                <c:formatCode>0.0</c:formatCode>
                <c:ptCount val="4"/>
                <c:pt idx="0">
                  <c:v>139.25513387500001</c:v>
                </c:pt>
                <c:pt idx="1">
                  <c:v>134.54428999999999</c:v>
                </c:pt>
                <c:pt idx="2">
                  <c:v>130.70514937499999</c:v>
                </c:pt>
                <c:pt idx="3">
                  <c:v>130.70514937499999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E48-4B91-8020-32CA69C17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07872"/>
        <c:axId val="203908432"/>
      </c:scatterChart>
      <c:valAx>
        <c:axId val="2039078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Влажность,%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08432"/>
        <c:crosses val="autoZero"/>
        <c:crossBetween val="midCat"/>
      </c:valAx>
      <c:valAx>
        <c:axId val="2039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Объем,</a:t>
                </a:r>
                <a:r>
                  <a:rPr lang="ru-RU" baseline="0"/>
                  <a:t> г/см3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0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параметров</a:t>
            </a:r>
            <a:r>
              <a:rPr lang="ru-RU" baseline="0"/>
              <a:t> усадки по объему от содержания фракций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Песчанных</c:v>
          </c:tx>
          <c:spPr>
            <a:ln w="19050">
              <a:noFill/>
            </a:ln>
          </c:spPr>
          <c:xVal>
            <c:numRef>
              <c:f>'Усадочность + '!$I$47:$I$51</c:f>
              <c:numCache>
                <c:formatCode>General</c:formatCode>
                <c:ptCount val="5"/>
                <c:pt idx="0">
                  <c:v>25.7</c:v>
                </c:pt>
                <c:pt idx="1">
                  <c:v>15.1</c:v>
                </c:pt>
                <c:pt idx="2">
                  <c:v>17.100000000000001</c:v>
                </c:pt>
                <c:pt idx="3">
                  <c:v>21</c:v>
                </c:pt>
                <c:pt idx="4">
                  <c:v>31.3</c:v>
                </c:pt>
              </c:numCache>
            </c:numRef>
          </c:xVal>
          <c:yVal>
            <c:numRef>
              <c:f>'Усадочность + '!$H$47:$H$51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C4-45E5-A1BD-EF92C73B428F}"/>
            </c:ext>
          </c:extLst>
        </c:ser>
        <c:ser>
          <c:idx val="1"/>
          <c:order val="1"/>
          <c:tx>
            <c:v>Пылеватых</c:v>
          </c:tx>
          <c:spPr>
            <a:ln w="19050">
              <a:noFill/>
            </a:ln>
          </c:spPr>
          <c:xVal>
            <c:numRef>
              <c:f>'Усадочность + '!$J$47:$J$51</c:f>
              <c:numCache>
                <c:formatCode>General</c:formatCode>
                <c:ptCount val="5"/>
                <c:pt idx="0">
                  <c:v>70.599999999999994</c:v>
                </c:pt>
                <c:pt idx="1">
                  <c:v>73.099999999999994</c:v>
                </c:pt>
                <c:pt idx="2">
                  <c:v>73.7</c:v>
                </c:pt>
                <c:pt idx="3">
                  <c:v>69.400000000000006</c:v>
                </c:pt>
                <c:pt idx="4">
                  <c:v>65.5</c:v>
                </c:pt>
              </c:numCache>
            </c:numRef>
          </c:xVal>
          <c:yVal>
            <c:numRef>
              <c:f>'Усадочность + '!$H$47:$H$51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C4-45E5-A1BD-EF92C73B428F}"/>
            </c:ext>
          </c:extLst>
        </c:ser>
        <c:ser>
          <c:idx val="2"/>
          <c:order val="2"/>
          <c:tx>
            <c:v>Глинистых</c:v>
          </c:tx>
          <c:spPr>
            <a:ln w="19050">
              <a:noFill/>
            </a:ln>
          </c:spPr>
          <c:xVal>
            <c:numRef>
              <c:f>'Усадочность + '!$K$47:$K$51</c:f>
              <c:numCache>
                <c:formatCode>General</c:formatCode>
                <c:ptCount val="5"/>
                <c:pt idx="0">
                  <c:v>3.7</c:v>
                </c:pt>
                <c:pt idx="1">
                  <c:v>11.8</c:v>
                </c:pt>
                <c:pt idx="2">
                  <c:v>9.1999999999999993</c:v>
                </c:pt>
                <c:pt idx="3">
                  <c:v>9.6</c:v>
                </c:pt>
                <c:pt idx="4">
                  <c:v>3.2</c:v>
                </c:pt>
              </c:numCache>
            </c:numRef>
          </c:xVal>
          <c:yVal>
            <c:numRef>
              <c:f>'Усадочность + '!$H$47:$H$51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C4-45E5-A1BD-EF92C73B4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49488"/>
        <c:axId val="204150048"/>
      </c:scatterChart>
      <c:valAx>
        <c:axId val="2041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Содержание фракций,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50048"/>
        <c:crosses val="autoZero"/>
        <c:crossBetween val="midCat"/>
      </c:valAx>
      <c:valAx>
        <c:axId val="2041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Параметр</a:t>
                </a:r>
                <a:r>
                  <a:rPr lang="ru-RU" baseline="0"/>
                  <a:t> усадки по объему, д.ед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дефформирование грунтов</a:t>
            </a:r>
            <a:r>
              <a:rPr lang="ru-RU" baseline="0"/>
              <a:t> при одноосном сжатии 13 м</a:t>
            </a:r>
            <a:endParaRPr lang="ru-RU"/>
          </a:p>
        </c:rich>
      </c:tx>
      <c:layout>
        <c:manualLayout>
          <c:xMode val="edge"/>
          <c:yMode val="edge"/>
          <c:x val="0.15436789151356087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480336832895887"/>
          <c:y val="0.22177650842018867"/>
          <c:w val="0.81668328958880165"/>
          <c:h val="0.606465077282006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'Одноосное сжатия +'!$C$3:$C$13</c:f>
              <c:numCache>
                <c:formatCode>0.00000</c:formatCode>
                <c:ptCount val="11"/>
                <c:pt idx="0">
                  <c:v>0</c:v>
                </c:pt>
                <c:pt idx="1">
                  <c:v>1.57944E-4</c:v>
                </c:pt>
                <c:pt idx="2">
                  <c:v>1.4741489999999999E-3</c:v>
                </c:pt>
                <c:pt idx="3">
                  <c:v>3.5274290000000003E-3</c:v>
                </c:pt>
                <c:pt idx="4">
                  <c:v>3.5274290000000003E-3</c:v>
                </c:pt>
                <c:pt idx="5">
                  <c:v>3.8433180000000001E-3</c:v>
                </c:pt>
                <c:pt idx="6">
                  <c:v>3.8433180000000001E-3</c:v>
                </c:pt>
                <c:pt idx="7">
                  <c:v>5.0015800000000003E-3</c:v>
                </c:pt>
                <c:pt idx="8">
                  <c:v>8.2657679999999997E-3</c:v>
                </c:pt>
                <c:pt idx="9">
                  <c:v>1.7005369999999999E-2</c:v>
                </c:pt>
                <c:pt idx="10">
                  <c:v>4.7093780000000002E-2</c:v>
                </c:pt>
              </c:numCache>
            </c:numRef>
          </c:xVal>
          <c:yVal>
            <c:numRef>
              <c:f>'Одноосное сжатия +'!$A$3:$A$13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5.3556520000000001</c:v>
                </c:pt>
                <c:pt idx="2">
                  <c:v>12.050219999999999</c:v>
                </c:pt>
                <c:pt idx="3">
                  <c:v>22.761520000000001</c:v>
                </c:pt>
                <c:pt idx="4">
                  <c:v>22.761520000000001</c:v>
                </c:pt>
                <c:pt idx="5">
                  <c:v>22.761520000000001</c:v>
                </c:pt>
                <c:pt idx="6">
                  <c:v>22.761520000000001</c:v>
                </c:pt>
                <c:pt idx="7">
                  <c:v>28.117180000000001</c:v>
                </c:pt>
                <c:pt idx="8">
                  <c:v>34.81174</c:v>
                </c:pt>
                <c:pt idx="9">
                  <c:v>29.45609</c:v>
                </c:pt>
                <c:pt idx="10">
                  <c:v>14.72804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B9-4A48-8CFA-A236B9CC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53408"/>
        <c:axId val="204153968"/>
      </c:scatterChart>
      <c:valAx>
        <c:axId val="20415340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Относительная</a:t>
                </a:r>
                <a:r>
                  <a:rPr lang="ru-RU" baseline="0"/>
                  <a:t> деформация, д.ед 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53968"/>
        <c:crosses val="autoZero"/>
        <c:crossBetween val="midCat"/>
      </c:valAx>
      <c:valAx>
        <c:axId val="2041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Вертикалная</a:t>
                </a:r>
                <a:r>
                  <a:rPr lang="ru-RU" baseline="0"/>
                  <a:t> нагрузка кПа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534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дефформирование грунтов</a:t>
            </a:r>
            <a:r>
              <a:rPr lang="ru-RU" baseline="0"/>
              <a:t> при одноосном сжатии 15 м</a:t>
            </a:r>
            <a:endParaRPr lang="ru-RU"/>
          </a:p>
        </c:rich>
      </c:tx>
      <c:layout>
        <c:manualLayout>
          <c:xMode val="edge"/>
          <c:yMode val="edge"/>
          <c:x val="0.15436789151356087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480336832895887"/>
          <c:y val="0.22177650842018867"/>
          <c:w val="0.81668328958880165"/>
          <c:h val="0.6064650772820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'Одноосное сжатия +'!$C$20:$C$30</c:f>
              <c:numCache>
                <c:formatCode>0.00000</c:formatCode>
                <c:ptCount val="11"/>
                <c:pt idx="0">
                  <c:v>0</c:v>
                </c:pt>
                <c:pt idx="1">
                  <c:v>7.3707579999999996E-4</c:v>
                </c:pt>
                <c:pt idx="2">
                  <c:v>1.1582610000000001E-3</c:v>
                </c:pt>
                <c:pt idx="3">
                  <c:v>1.3688539999999999E-3</c:v>
                </c:pt>
                <c:pt idx="4">
                  <c:v>1.5794469999999999E-3</c:v>
                </c:pt>
                <c:pt idx="5">
                  <c:v>2.7903559999999999E-3</c:v>
                </c:pt>
                <c:pt idx="6">
                  <c:v>3.6327270000000001E-3</c:v>
                </c:pt>
                <c:pt idx="7">
                  <c:v>4.264505E-3</c:v>
                </c:pt>
                <c:pt idx="8">
                  <c:v>5.5280609999999999E-3</c:v>
                </c:pt>
                <c:pt idx="9">
                  <c:v>9.1607879999999996E-3</c:v>
                </c:pt>
                <c:pt idx="10">
                  <c:v>2.1480470000000002E-2</c:v>
                </c:pt>
              </c:numCache>
            </c:numRef>
          </c:xVal>
          <c:yVal>
            <c:numRef>
              <c:f>'Одноосное сжатия +'!$A$20:$A$30</c:f>
              <c:numCache>
                <c:formatCode>General</c:formatCode>
                <c:ptCount val="11"/>
                <c:pt idx="0">
                  <c:v>0</c:v>
                </c:pt>
                <c:pt idx="1">
                  <c:v>13.38913</c:v>
                </c:pt>
                <c:pt idx="2">
                  <c:v>17.40587</c:v>
                </c:pt>
                <c:pt idx="3">
                  <c:v>18.744789999999998</c:v>
                </c:pt>
                <c:pt idx="4">
                  <c:v>20.083690000000001</c:v>
                </c:pt>
                <c:pt idx="5">
                  <c:v>30.795000000000002</c:v>
                </c:pt>
                <c:pt idx="6">
                  <c:v>37.489570000000001</c:v>
                </c:pt>
                <c:pt idx="7">
                  <c:v>40.167389999999997</c:v>
                </c:pt>
                <c:pt idx="8">
                  <c:v>46.861960000000003</c:v>
                </c:pt>
                <c:pt idx="9">
                  <c:v>54.895440000000001</c:v>
                </c:pt>
                <c:pt idx="10">
                  <c:v>22.761520000000001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15C-487A-8F14-435C823C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3120"/>
        <c:axId val="204733680"/>
      </c:scatterChart>
      <c:valAx>
        <c:axId val="20473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Относительная</a:t>
                </a:r>
                <a:r>
                  <a:rPr lang="ru-RU" baseline="0"/>
                  <a:t> деформация, д.ед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33680"/>
        <c:crosses val="autoZero"/>
        <c:crossBetween val="midCat"/>
      </c:valAx>
      <c:valAx>
        <c:axId val="2047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Вертикалная</a:t>
                </a:r>
                <a:r>
                  <a:rPr lang="ru-RU" baseline="0"/>
                  <a:t> нагрузка кПа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331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Диаграмма дефформирование грунтов при одноосном сжатии 16,5 м</a:t>
            </a:r>
            <a:endParaRPr lang="ru-RU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 sz="1200"/>
          </a:p>
        </c:rich>
      </c:tx>
      <c:layout>
        <c:manualLayout>
          <c:xMode val="edge"/>
          <c:yMode val="edge"/>
          <c:x val="0.22612489063867017"/>
          <c:y val="5.55555555555555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'Одноосное сжатия +'!$C$37:$C$44</c:f>
              <c:numCache>
                <c:formatCode>0.00000</c:formatCode>
                <c:ptCount val="8"/>
                <c:pt idx="0">
                  <c:v>0</c:v>
                </c:pt>
                <c:pt idx="1">
                  <c:v>1.526798E-3</c:v>
                </c:pt>
                <c:pt idx="2">
                  <c:v>1.9479850000000002E-3</c:v>
                </c:pt>
                <c:pt idx="3">
                  <c:v>3.2641890000000002E-3</c:v>
                </c:pt>
                <c:pt idx="4">
                  <c:v>3.6327270000000001E-3</c:v>
                </c:pt>
                <c:pt idx="5">
                  <c:v>4.3698009999999995E-3</c:v>
                </c:pt>
                <c:pt idx="6">
                  <c:v>5.8439520000000003E-3</c:v>
                </c:pt>
                <c:pt idx="7">
                  <c:v>1.0424350000000001E-2</c:v>
                </c:pt>
              </c:numCache>
            </c:numRef>
          </c:xVal>
          <c:yVal>
            <c:numRef>
              <c:f>'Одноосное сжатия +'!$A$37:$A$44</c:f>
              <c:numCache>
                <c:formatCode>General</c:formatCode>
                <c:ptCount val="8"/>
                <c:pt idx="0">
                  <c:v>1.338911</c:v>
                </c:pt>
                <c:pt idx="1">
                  <c:v>22.761520000000001</c:v>
                </c:pt>
                <c:pt idx="2">
                  <c:v>29.45609</c:v>
                </c:pt>
                <c:pt idx="3">
                  <c:v>44.184130000000003</c:v>
                </c:pt>
                <c:pt idx="4">
                  <c:v>48.200870000000002</c:v>
                </c:pt>
                <c:pt idx="5">
                  <c:v>53.556530000000002</c:v>
                </c:pt>
                <c:pt idx="6">
                  <c:v>60.251089999999998</c:v>
                </c:pt>
                <c:pt idx="7">
                  <c:v>57.573270000000001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B4-4E12-8CC9-D83D6BB42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5920"/>
        <c:axId val="204736480"/>
      </c:scatterChart>
      <c:valAx>
        <c:axId val="2047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Относительная деформация, д.ед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36480"/>
        <c:crosses val="autoZero"/>
        <c:crossBetween val="midCat"/>
      </c:valAx>
      <c:valAx>
        <c:axId val="2047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Вертикалная нагрузка кПа</a:t>
                </a:r>
                <a:endParaRPr lang="ru-RU" sz="1100" baseline="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 sz="1100" baseline="0"/>
              </a:p>
            </c:rich>
          </c:tx>
          <c:layout>
            <c:manualLayout>
              <c:xMode val="edge"/>
              <c:yMode val="edge"/>
              <c:x val="3.0555555555555561E-2"/>
              <c:y val="0.305324074074074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3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Диаграмма дефформирование грунтов при одноосном сжатии 18 м</a:t>
            </a:r>
            <a:endParaRPr lang="ru-RU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0.30057898483028628"/>
          <c:y val="3.70370370370370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'Одноосное сжатия +'!$C$51:$C$62</c:f>
              <c:numCache>
                <c:formatCode>0.00000</c:formatCode>
                <c:ptCount val="12"/>
                <c:pt idx="0">
                  <c:v>0</c:v>
                </c:pt>
                <c:pt idx="1">
                  <c:v>1.4215020000000001E-3</c:v>
                </c:pt>
                <c:pt idx="2">
                  <c:v>1.8953360000000001E-3</c:v>
                </c:pt>
                <c:pt idx="3">
                  <c:v>2.369169E-3</c:v>
                </c:pt>
                <c:pt idx="4">
                  <c:v>2.7903540000000001E-3</c:v>
                </c:pt>
                <c:pt idx="5">
                  <c:v>3.1062450000000001E-3</c:v>
                </c:pt>
                <c:pt idx="6">
                  <c:v>3.580078E-3</c:v>
                </c:pt>
                <c:pt idx="7">
                  <c:v>4.4224490000000002E-3</c:v>
                </c:pt>
                <c:pt idx="8">
                  <c:v>4.6330429999999999E-3</c:v>
                </c:pt>
                <c:pt idx="9">
                  <c:v>5.6333580000000006E-3</c:v>
                </c:pt>
                <c:pt idx="10">
                  <c:v>1.221438E-2</c:v>
                </c:pt>
                <c:pt idx="11">
                  <c:v>4.178875E-2</c:v>
                </c:pt>
              </c:numCache>
            </c:numRef>
          </c:xVal>
          <c:yVal>
            <c:numRef>
              <c:f>'Одноосное сжатия +'!$A$51:$A$62</c:f>
              <c:numCache>
                <c:formatCode>General</c:formatCode>
                <c:ptCount val="12"/>
                <c:pt idx="0">
                  <c:v>0</c:v>
                </c:pt>
                <c:pt idx="1">
                  <c:v>48.200870000000002</c:v>
                </c:pt>
                <c:pt idx="2">
                  <c:v>70.962400000000002</c:v>
                </c:pt>
                <c:pt idx="3">
                  <c:v>97.740660000000005</c:v>
                </c:pt>
                <c:pt idx="4">
                  <c:v>128.53569999999999</c:v>
                </c:pt>
                <c:pt idx="5">
                  <c:v>148.61940000000001</c:v>
                </c:pt>
                <c:pt idx="6">
                  <c:v>179.4144</c:v>
                </c:pt>
                <c:pt idx="7">
                  <c:v>198.1591</c:v>
                </c:pt>
                <c:pt idx="8">
                  <c:v>195.4813</c:v>
                </c:pt>
                <c:pt idx="9">
                  <c:v>159.33070000000001</c:v>
                </c:pt>
                <c:pt idx="10">
                  <c:v>137.90809999999999</c:v>
                </c:pt>
                <c:pt idx="11">
                  <c:v>87.029359999999997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C1D-4269-9627-AC03A12EC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8720"/>
        <c:axId val="204739280"/>
      </c:scatterChart>
      <c:valAx>
        <c:axId val="2047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Относительная деформация, д.ед </a:t>
                </a:r>
                <a:endParaRPr lang="ru-RU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0.32268875801480901"/>
              <c:y val="0.8231383577052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39280"/>
        <c:crosses val="autoZero"/>
        <c:crossBetween val="midCat"/>
      </c:valAx>
      <c:valAx>
        <c:axId val="2047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Вертикалная нагрузка кПа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3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относительной деформации от времени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'Набухание + '!$B$5:$B$13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1440</c:v>
                </c:pt>
                <c:pt idx="6">
                  <c:v>2880</c:v>
                </c:pt>
                <c:pt idx="7">
                  <c:v>4320</c:v>
                </c:pt>
                <c:pt idx="8">
                  <c:v>5760</c:v>
                </c:pt>
              </c:numCache>
            </c:numRef>
          </c:xVal>
          <c:yVal>
            <c:numRef>
              <c:f>'Набухание + '!$E$5:$E$13</c:f>
              <c:numCache>
                <c:formatCode>General</c:formatCode>
                <c:ptCount val="9"/>
                <c:pt idx="0">
                  <c:v>0</c:v>
                </c:pt>
                <c:pt idx="1">
                  <c:v>8.8999999999999996E-2</c:v>
                </c:pt>
                <c:pt idx="2">
                  <c:v>0.10800000000000001</c:v>
                </c:pt>
                <c:pt idx="3">
                  <c:v>0.13500000000000001</c:v>
                </c:pt>
                <c:pt idx="4">
                  <c:v>0.14699999999999999</c:v>
                </c:pt>
                <c:pt idx="5">
                  <c:v>0.16299999999999998</c:v>
                </c:pt>
                <c:pt idx="6">
                  <c:v>0.182</c:v>
                </c:pt>
                <c:pt idx="7">
                  <c:v>0.183</c:v>
                </c:pt>
                <c:pt idx="8">
                  <c:v>0.183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5A-477E-BAE8-B8BBCFD23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0064"/>
        <c:axId val="202600624"/>
      </c:scatterChart>
      <c:valAx>
        <c:axId val="2026000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00624"/>
        <c:crosses val="autoZero"/>
        <c:crossBetween val="midCat"/>
      </c:valAx>
      <c:valAx>
        <c:axId val="2026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Относительня деф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0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Диаграмма дефформирование грунтов при одноосном сжатии 18 м</a:t>
            </a:r>
            <a:endParaRPr lang="ru-RU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0.30057898483028628"/>
          <c:y val="3.70370370370370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'Одноосное сжатия +'!$C$69:$C$84</c:f>
              <c:numCache>
                <c:formatCode>0.00000</c:formatCode>
                <c:ptCount val="16"/>
                <c:pt idx="0">
                  <c:v>0</c:v>
                </c:pt>
                <c:pt idx="1">
                  <c:v>6.3177820000000001E-4</c:v>
                </c:pt>
                <c:pt idx="2">
                  <c:v>2.000632E-3</c:v>
                </c:pt>
                <c:pt idx="3">
                  <c:v>2.6850580000000001E-3</c:v>
                </c:pt>
                <c:pt idx="4">
                  <c:v>4.2645039999999997E-3</c:v>
                </c:pt>
                <c:pt idx="5">
                  <c:v>4.9489319999999996E-3</c:v>
                </c:pt>
                <c:pt idx="6">
                  <c:v>7.7392850000000003E-3</c:v>
                </c:pt>
                <c:pt idx="7">
                  <c:v>8.2657679999999997E-3</c:v>
                </c:pt>
                <c:pt idx="8">
                  <c:v>9.1607870000000001E-3</c:v>
                </c:pt>
                <c:pt idx="9">
                  <c:v>1.4583550000000001E-2</c:v>
                </c:pt>
                <c:pt idx="10">
                  <c:v>1.5847110000000001E-2</c:v>
                </c:pt>
                <c:pt idx="11">
                  <c:v>1.8005690000000001E-2</c:v>
                </c:pt>
                <c:pt idx="12">
                  <c:v>1.8690109999999999E-2</c:v>
                </c:pt>
                <c:pt idx="13">
                  <c:v>2.1006629999999998E-2</c:v>
                </c:pt>
                <c:pt idx="14">
                  <c:v>2.5744969999999999E-2</c:v>
                </c:pt>
                <c:pt idx="15">
                  <c:v>2.886495E-2</c:v>
                </c:pt>
              </c:numCache>
            </c:numRef>
          </c:xVal>
          <c:yVal>
            <c:numRef>
              <c:f>'Одноосное сжатия +'!$A$69:$A$84</c:f>
              <c:numCache>
                <c:formatCode>General</c:formatCode>
                <c:ptCount val="16"/>
                <c:pt idx="0">
                  <c:v>0</c:v>
                </c:pt>
                <c:pt idx="1">
                  <c:v>12.050219999999999</c:v>
                </c:pt>
                <c:pt idx="2">
                  <c:v>48.200879999999998</c:v>
                </c:pt>
                <c:pt idx="3">
                  <c:v>65.606750000000005</c:v>
                </c:pt>
                <c:pt idx="4">
                  <c:v>97.740660000000005</c:v>
                </c:pt>
                <c:pt idx="5">
                  <c:v>109.79089999999999</c:v>
                </c:pt>
                <c:pt idx="6">
                  <c:v>140.58590000000001</c:v>
                </c:pt>
                <c:pt idx="7">
                  <c:v>148.61940000000001</c:v>
                </c:pt>
                <c:pt idx="8">
                  <c:v>159.33070000000001</c:v>
                </c:pt>
                <c:pt idx="9">
                  <c:v>198.1591</c:v>
                </c:pt>
                <c:pt idx="10">
                  <c:v>199.49799999999999</c:v>
                </c:pt>
                <c:pt idx="11">
                  <c:v>247.69890000000001</c:v>
                </c:pt>
                <c:pt idx="12">
                  <c:v>261.0881</c:v>
                </c:pt>
                <c:pt idx="13">
                  <c:v>275.81610000000001</c:v>
                </c:pt>
                <c:pt idx="14">
                  <c:v>298.57760000000002</c:v>
                </c:pt>
                <c:pt idx="15" formatCode="0.000">
                  <c:v>200.46459999999999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EA-43EC-A252-CF3F23364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6416"/>
        <c:axId val="204576976"/>
      </c:scatterChart>
      <c:valAx>
        <c:axId val="2045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Относительная деформация, д.ед </a:t>
                </a:r>
                <a:endParaRPr lang="ru-RU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576976"/>
        <c:crosses val="autoZero"/>
        <c:crossBetween val="midCat"/>
      </c:valAx>
      <c:valAx>
        <c:axId val="2045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Вертикалная нагрузка кПа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5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дефформирование грунтов</a:t>
            </a:r>
            <a:r>
              <a:rPr lang="ru-RU" baseline="0"/>
              <a:t> при одноосном сжатии </a:t>
            </a:r>
            <a:endParaRPr lang="ru-RU"/>
          </a:p>
        </c:rich>
      </c:tx>
      <c:layout>
        <c:manualLayout>
          <c:xMode val="edge"/>
          <c:yMode val="edge"/>
          <c:x val="0.15436789151356087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480336832895887"/>
          <c:y val="0.22177650842018867"/>
          <c:w val="0.63682879340313148"/>
          <c:h val="0.6064650772820066"/>
        </c:manualLayout>
      </c:layout>
      <c:scatterChart>
        <c:scatterStyle val="smoothMarker"/>
        <c:varyColors val="0"/>
        <c:ser>
          <c:idx val="1"/>
          <c:order val="0"/>
          <c:tx>
            <c:v>Глуб. 13м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'Одноосное сжатия +'!$C$3:$C$13</c:f>
              <c:numCache>
                <c:formatCode>0.00000</c:formatCode>
                <c:ptCount val="11"/>
                <c:pt idx="0">
                  <c:v>0</c:v>
                </c:pt>
                <c:pt idx="1">
                  <c:v>1.57944E-4</c:v>
                </c:pt>
                <c:pt idx="2">
                  <c:v>1.4741489999999999E-3</c:v>
                </c:pt>
                <c:pt idx="3">
                  <c:v>3.5274290000000003E-3</c:v>
                </c:pt>
                <c:pt idx="4">
                  <c:v>3.5274290000000003E-3</c:v>
                </c:pt>
                <c:pt idx="5">
                  <c:v>3.8433180000000001E-3</c:v>
                </c:pt>
                <c:pt idx="6">
                  <c:v>3.8433180000000001E-3</c:v>
                </c:pt>
                <c:pt idx="7">
                  <c:v>5.0015800000000003E-3</c:v>
                </c:pt>
                <c:pt idx="8">
                  <c:v>8.2657679999999997E-3</c:v>
                </c:pt>
                <c:pt idx="9">
                  <c:v>1.7005369999999999E-2</c:v>
                </c:pt>
                <c:pt idx="10">
                  <c:v>4.7093780000000002E-2</c:v>
                </c:pt>
              </c:numCache>
            </c:numRef>
          </c:xVal>
          <c:yVal>
            <c:numRef>
              <c:f>'Одноосное сжатия +'!$A$3:$A$13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5.3556520000000001</c:v>
                </c:pt>
                <c:pt idx="2">
                  <c:v>12.050219999999999</c:v>
                </c:pt>
                <c:pt idx="3">
                  <c:v>22.761520000000001</c:v>
                </c:pt>
                <c:pt idx="4">
                  <c:v>22.761520000000001</c:v>
                </c:pt>
                <c:pt idx="5">
                  <c:v>22.761520000000001</c:v>
                </c:pt>
                <c:pt idx="6">
                  <c:v>22.761520000000001</c:v>
                </c:pt>
                <c:pt idx="7">
                  <c:v>28.117180000000001</c:v>
                </c:pt>
                <c:pt idx="8">
                  <c:v>34.81174</c:v>
                </c:pt>
                <c:pt idx="9">
                  <c:v>29.45609</c:v>
                </c:pt>
                <c:pt idx="10">
                  <c:v>14.72804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54-42EE-85D6-3AD32BE00543}"/>
            </c:ext>
          </c:extLst>
        </c:ser>
        <c:ser>
          <c:idx val="0"/>
          <c:order val="1"/>
          <c:tx>
            <c:v>Глуб. 15м</c:v>
          </c:tx>
          <c:xVal>
            <c:numRef>
              <c:f>'Одноосное сжатия +'!$C$20:$C$30</c:f>
              <c:numCache>
                <c:formatCode>0.00000</c:formatCode>
                <c:ptCount val="11"/>
                <c:pt idx="0">
                  <c:v>0</c:v>
                </c:pt>
                <c:pt idx="1">
                  <c:v>7.3707579999999996E-4</c:v>
                </c:pt>
                <c:pt idx="2">
                  <c:v>1.1582610000000001E-3</c:v>
                </c:pt>
                <c:pt idx="3">
                  <c:v>1.3688539999999999E-3</c:v>
                </c:pt>
                <c:pt idx="4">
                  <c:v>1.5794469999999999E-3</c:v>
                </c:pt>
                <c:pt idx="5">
                  <c:v>2.7903559999999999E-3</c:v>
                </c:pt>
                <c:pt idx="6">
                  <c:v>3.6327270000000001E-3</c:v>
                </c:pt>
                <c:pt idx="7">
                  <c:v>4.264505E-3</c:v>
                </c:pt>
                <c:pt idx="8">
                  <c:v>5.5280609999999999E-3</c:v>
                </c:pt>
                <c:pt idx="9">
                  <c:v>9.1607879999999996E-3</c:v>
                </c:pt>
                <c:pt idx="10">
                  <c:v>2.1480470000000002E-2</c:v>
                </c:pt>
              </c:numCache>
            </c:numRef>
          </c:xVal>
          <c:yVal>
            <c:numRef>
              <c:f>'Одноосное сжатия +'!$A$20:$A$30</c:f>
              <c:numCache>
                <c:formatCode>General</c:formatCode>
                <c:ptCount val="11"/>
                <c:pt idx="0">
                  <c:v>0</c:v>
                </c:pt>
                <c:pt idx="1">
                  <c:v>13.38913</c:v>
                </c:pt>
                <c:pt idx="2">
                  <c:v>17.40587</c:v>
                </c:pt>
                <c:pt idx="3">
                  <c:v>18.744789999999998</c:v>
                </c:pt>
                <c:pt idx="4">
                  <c:v>20.083690000000001</c:v>
                </c:pt>
                <c:pt idx="5">
                  <c:v>30.795000000000002</c:v>
                </c:pt>
                <c:pt idx="6">
                  <c:v>37.489570000000001</c:v>
                </c:pt>
                <c:pt idx="7">
                  <c:v>40.167389999999997</c:v>
                </c:pt>
                <c:pt idx="8">
                  <c:v>46.861960000000003</c:v>
                </c:pt>
                <c:pt idx="9">
                  <c:v>54.895440000000001</c:v>
                </c:pt>
                <c:pt idx="10">
                  <c:v>22.761520000000001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54-42EE-85D6-3AD32BE00543}"/>
            </c:ext>
          </c:extLst>
        </c:ser>
        <c:ser>
          <c:idx val="2"/>
          <c:order val="2"/>
          <c:tx>
            <c:v>Глуб. 16,5м</c:v>
          </c:tx>
          <c:xVal>
            <c:numRef>
              <c:f>'Одноосное сжатия +'!$C$37:$C$44</c:f>
              <c:numCache>
                <c:formatCode>0.00000</c:formatCode>
                <c:ptCount val="8"/>
                <c:pt idx="0">
                  <c:v>0</c:v>
                </c:pt>
                <c:pt idx="1">
                  <c:v>1.526798E-3</c:v>
                </c:pt>
                <c:pt idx="2">
                  <c:v>1.9479850000000002E-3</c:v>
                </c:pt>
                <c:pt idx="3">
                  <c:v>3.2641890000000002E-3</c:v>
                </c:pt>
                <c:pt idx="4">
                  <c:v>3.6327270000000001E-3</c:v>
                </c:pt>
                <c:pt idx="5">
                  <c:v>4.3698009999999995E-3</c:v>
                </c:pt>
                <c:pt idx="6">
                  <c:v>5.8439520000000003E-3</c:v>
                </c:pt>
                <c:pt idx="7">
                  <c:v>1.0424350000000001E-2</c:v>
                </c:pt>
              </c:numCache>
            </c:numRef>
          </c:xVal>
          <c:yVal>
            <c:numRef>
              <c:f>'Одноосное сжатия +'!$A$37:$A$44</c:f>
              <c:numCache>
                <c:formatCode>General</c:formatCode>
                <c:ptCount val="8"/>
                <c:pt idx="0">
                  <c:v>1.338911</c:v>
                </c:pt>
                <c:pt idx="1">
                  <c:v>22.761520000000001</c:v>
                </c:pt>
                <c:pt idx="2">
                  <c:v>29.45609</c:v>
                </c:pt>
                <c:pt idx="3">
                  <c:v>44.184130000000003</c:v>
                </c:pt>
                <c:pt idx="4">
                  <c:v>48.200870000000002</c:v>
                </c:pt>
                <c:pt idx="5">
                  <c:v>53.556530000000002</c:v>
                </c:pt>
                <c:pt idx="6">
                  <c:v>60.251089999999998</c:v>
                </c:pt>
                <c:pt idx="7">
                  <c:v>57.573270000000001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D54-42EE-85D6-3AD32BE00543}"/>
            </c:ext>
          </c:extLst>
        </c:ser>
        <c:ser>
          <c:idx val="3"/>
          <c:order val="3"/>
          <c:tx>
            <c:v>Глуб. 18м</c:v>
          </c:tx>
          <c:xVal>
            <c:numRef>
              <c:f>'Одноосное сжатия +'!$C$51:$C$62</c:f>
              <c:numCache>
                <c:formatCode>0.00000</c:formatCode>
                <c:ptCount val="12"/>
                <c:pt idx="0">
                  <c:v>0</c:v>
                </c:pt>
                <c:pt idx="1">
                  <c:v>1.4215020000000001E-3</c:v>
                </c:pt>
                <c:pt idx="2">
                  <c:v>1.8953360000000001E-3</c:v>
                </c:pt>
                <c:pt idx="3">
                  <c:v>2.369169E-3</c:v>
                </c:pt>
                <c:pt idx="4">
                  <c:v>2.7903540000000001E-3</c:v>
                </c:pt>
                <c:pt idx="5">
                  <c:v>3.1062450000000001E-3</c:v>
                </c:pt>
                <c:pt idx="6">
                  <c:v>3.580078E-3</c:v>
                </c:pt>
                <c:pt idx="7">
                  <c:v>4.4224490000000002E-3</c:v>
                </c:pt>
                <c:pt idx="8">
                  <c:v>4.6330429999999999E-3</c:v>
                </c:pt>
                <c:pt idx="9">
                  <c:v>5.6333580000000006E-3</c:v>
                </c:pt>
                <c:pt idx="10">
                  <c:v>1.221438E-2</c:v>
                </c:pt>
                <c:pt idx="11">
                  <c:v>4.178875E-2</c:v>
                </c:pt>
              </c:numCache>
            </c:numRef>
          </c:xVal>
          <c:yVal>
            <c:numRef>
              <c:f>'Одноосное сжатия +'!$A$51:$A$62</c:f>
              <c:numCache>
                <c:formatCode>General</c:formatCode>
                <c:ptCount val="12"/>
                <c:pt idx="0">
                  <c:v>0</c:v>
                </c:pt>
                <c:pt idx="1">
                  <c:v>48.200870000000002</c:v>
                </c:pt>
                <c:pt idx="2">
                  <c:v>70.962400000000002</c:v>
                </c:pt>
                <c:pt idx="3">
                  <c:v>97.740660000000005</c:v>
                </c:pt>
                <c:pt idx="4">
                  <c:v>128.53569999999999</c:v>
                </c:pt>
                <c:pt idx="5">
                  <c:v>148.61940000000001</c:v>
                </c:pt>
                <c:pt idx="6">
                  <c:v>179.4144</c:v>
                </c:pt>
                <c:pt idx="7">
                  <c:v>198.1591</c:v>
                </c:pt>
                <c:pt idx="8">
                  <c:v>195.4813</c:v>
                </c:pt>
                <c:pt idx="9">
                  <c:v>159.33070000000001</c:v>
                </c:pt>
                <c:pt idx="10">
                  <c:v>137.90809999999999</c:v>
                </c:pt>
                <c:pt idx="11">
                  <c:v>87.029359999999997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D54-42EE-85D6-3AD32BE00543}"/>
            </c:ext>
          </c:extLst>
        </c:ser>
        <c:ser>
          <c:idx val="4"/>
          <c:order val="4"/>
          <c:tx>
            <c:v>Глуб. 19м</c:v>
          </c:tx>
          <c:xVal>
            <c:numRef>
              <c:f>'Одноосное сжатия +'!$C$69:$C$84</c:f>
              <c:numCache>
                <c:formatCode>0.00000</c:formatCode>
                <c:ptCount val="16"/>
                <c:pt idx="0">
                  <c:v>0</c:v>
                </c:pt>
                <c:pt idx="1">
                  <c:v>6.3177820000000001E-4</c:v>
                </c:pt>
                <c:pt idx="2">
                  <c:v>2.000632E-3</c:v>
                </c:pt>
                <c:pt idx="3">
                  <c:v>2.6850580000000001E-3</c:v>
                </c:pt>
                <c:pt idx="4">
                  <c:v>4.2645039999999997E-3</c:v>
                </c:pt>
                <c:pt idx="5">
                  <c:v>4.9489319999999996E-3</c:v>
                </c:pt>
                <c:pt idx="6">
                  <c:v>7.7392850000000003E-3</c:v>
                </c:pt>
                <c:pt idx="7">
                  <c:v>8.2657679999999997E-3</c:v>
                </c:pt>
                <c:pt idx="8">
                  <c:v>9.1607870000000001E-3</c:v>
                </c:pt>
                <c:pt idx="9">
                  <c:v>1.4583550000000001E-2</c:v>
                </c:pt>
                <c:pt idx="10">
                  <c:v>1.5847110000000001E-2</c:v>
                </c:pt>
                <c:pt idx="11">
                  <c:v>1.8005690000000001E-2</c:v>
                </c:pt>
                <c:pt idx="12">
                  <c:v>1.8690109999999999E-2</c:v>
                </c:pt>
                <c:pt idx="13">
                  <c:v>2.1006629999999998E-2</c:v>
                </c:pt>
                <c:pt idx="14">
                  <c:v>2.5744969999999999E-2</c:v>
                </c:pt>
                <c:pt idx="15">
                  <c:v>2.886495E-2</c:v>
                </c:pt>
              </c:numCache>
            </c:numRef>
          </c:xVal>
          <c:yVal>
            <c:numRef>
              <c:f>'Одноосное сжатия +'!$A$69:$A$84</c:f>
              <c:numCache>
                <c:formatCode>General</c:formatCode>
                <c:ptCount val="16"/>
                <c:pt idx="0">
                  <c:v>0</c:v>
                </c:pt>
                <c:pt idx="1">
                  <c:v>12.050219999999999</c:v>
                </c:pt>
                <c:pt idx="2">
                  <c:v>48.200879999999998</c:v>
                </c:pt>
                <c:pt idx="3">
                  <c:v>65.606750000000005</c:v>
                </c:pt>
                <c:pt idx="4">
                  <c:v>97.740660000000005</c:v>
                </c:pt>
                <c:pt idx="5">
                  <c:v>109.79089999999999</c:v>
                </c:pt>
                <c:pt idx="6">
                  <c:v>140.58590000000001</c:v>
                </c:pt>
                <c:pt idx="7">
                  <c:v>148.61940000000001</c:v>
                </c:pt>
                <c:pt idx="8">
                  <c:v>159.33070000000001</c:v>
                </c:pt>
                <c:pt idx="9">
                  <c:v>198.1591</c:v>
                </c:pt>
                <c:pt idx="10">
                  <c:v>199.49799999999999</c:v>
                </c:pt>
                <c:pt idx="11">
                  <c:v>247.69890000000001</c:v>
                </c:pt>
                <c:pt idx="12">
                  <c:v>261.0881</c:v>
                </c:pt>
                <c:pt idx="13">
                  <c:v>275.81610000000001</c:v>
                </c:pt>
                <c:pt idx="14">
                  <c:v>298.57760000000002</c:v>
                </c:pt>
                <c:pt idx="15" formatCode="0.000">
                  <c:v>200.46459999999999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D54-42EE-85D6-3AD32BE0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1456"/>
        <c:axId val="204582016"/>
      </c:scatterChart>
      <c:valAx>
        <c:axId val="20458145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Относительная</a:t>
                </a:r>
                <a:r>
                  <a:rPr lang="ru-RU" baseline="0"/>
                  <a:t> деформация, д.ед 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582016"/>
        <c:crosses val="autoZero"/>
        <c:crossBetween val="midCat"/>
      </c:valAx>
      <c:valAx>
        <c:axId val="2045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Вертикалная</a:t>
                </a:r>
                <a:r>
                  <a:rPr lang="ru-RU" baseline="0"/>
                  <a:t> нагрузка кПа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5814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0389602189882237"/>
          <c:y val="0.28153470018312332"/>
          <c:w val="0.19610397810117761"/>
          <c:h val="0.3980957525220202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прочности на одноосное сжатие от содержание фракций</a:t>
            </a:r>
            <a:endParaRPr lang="ru-RU"/>
          </a:p>
        </c:rich>
      </c:tx>
      <c:layout>
        <c:manualLayout>
          <c:xMode val="edge"/>
          <c:yMode val="edge"/>
          <c:x val="0.16935573175162058"/>
          <c:y val="4.16666377755604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480336832895887"/>
          <c:y val="0.22177650842018867"/>
          <c:w val="0.63682879340313148"/>
          <c:h val="0.6064650772820066"/>
        </c:manualLayout>
      </c:layout>
      <c:scatterChart>
        <c:scatterStyle val="lineMarker"/>
        <c:varyColors val="0"/>
        <c:ser>
          <c:idx val="3"/>
          <c:order val="0"/>
          <c:tx>
            <c:v>Песчанных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'Одноосное сжатия +'!$Q$3:$Q$7</c:f>
              <c:numCache>
                <c:formatCode>General</c:formatCode>
                <c:ptCount val="5"/>
                <c:pt idx="0">
                  <c:v>25.7</c:v>
                </c:pt>
                <c:pt idx="1">
                  <c:v>15.1</c:v>
                </c:pt>
                <c:pt idx="2">
                  <c:v>17.100000000000001</c:v>
                </c:pt>
                <c:pt idx="3">
                  <c:v>21</c:v>
                </c:pt>
                <c:pt idx="4">
                  <c:v>31.3</c:v>
                </c:pt>
              </c:numCache>
            </c:numRef>
          </c:xVal>
          <c:yVal>
            <c:numRef>
              <c:f>'Одноосное сжатия +'!$P$3:$P$7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FD-4A43-AF86-603BAB6ECA3F}"/>
            </c:ext>
          </c:extLst>
        </c:ser>
        <c:ser>
          <c:idx val="0"/>
          <c:order val="1"/>
          <c:tx>
            <c:v>Пыливатых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'Одноосное сжатия +'!$R$3:$R$7</c:f>
              <c:numCache>
                <c:formatCode>General</c:formatCode>
                <c:ptCount val="5"/>
                <c:pt idx="0">
                  <c:v>70.599999999999994</c:v>
                </c:pt>
                <c:pt idx="1">
                  <c:v>73.099999999999994</c:v>
                </c:pt>
                <c:pt idx="2">
                  <c:v>73.7</c:v>
                </c:pt>
                <c:pt idx="3">
                  <c:v>69.400000000000006</c:v>
                </c:pt>
                <c:pt idx="4">
                  <c:v>65.5</c:v>
                </c:pt>
              </c:numCache>
            </c:numRef>
          </c:xVal>
          <c:yVal>
            <c:numRef>
              <c:f>'Одноосное сжатия +'!$P$3:$P$7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FD-4A43-AF86-603BAB6ECA3F}"/>
            </c:ext>
          </c:extLst>
        </c:ser>
        <c:ser>
          <c:idx val="1"/>
          <c:order val="2"/>
          <c:tx>
            <c:v>Глинистых</c:v>
          </c:tx>
          <c:spPr>
            <a:ln w="19050">
              <a:noFill/>
            </a:ln>
          </c:spPr>
          <c:xVal>
            <c:numRef>
              <c:f>'Одноосное сжатия +'!$S$3:$S$7</c:f>
              <c:numCache>
                <c:formatCode>General</c:formatCode>
                <c:ptCount val="5"/>
                <c:pt idx="0">
                  <c:v>3.7</c:v>
                </c:pt>
                <c:pt idx="1">
                  <c:v>11.8</c:v>
                </c:pt>
                <c:pt idx="2">
                  <c:v>9.1999999999999993</c:v>
                </c:pt>
                <c:pt idx="3">
                  <c:v>9.6</c:v>
                </c:pt>
                <c:pt idx="4">
                  <c:v>3.2</c:v>
                </c:pt>
              </c:numCache>
            </c:numRef>
          </c:xVal>
          <c:yVal>
            <c:numRef>
              <c:f>'Одноосное сжатия +'!$P$3:$P$7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FD-4A43-AF86-603BAB6E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52"/>
        <c:axId val="204948912"/>
      </c:scatterChart>
      <c:valAx>
        <c:axId val="20494835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Содержание частиц, (%) 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948912"/>
        <c:crosses val="autoZero"/>
        <c:crossBetween val="midCat"/>
      </c:valAx>
      <c:valAx>
        <c:axId val="2049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Прочность</a:t>
                </a:r>
                <a:r>
                  <a:rPr lang="ru-RU" baseline="0"/>
                  <a:t>  на одноосное сжатие, МПа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94835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8498631716983258"/>
          <c:y val="0.34354183235716068"/>
          <c:w val="0.19440535204890375"/>
          <c:h val="0.2388574515132121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прочности</a:t>
            </a:r>
            <a:r>
              <a:rPr lang="ru-RU" baseline="0"/>
              <a:t> на одноосное сжатие от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плотности </a:t>
            </a:r>
          </a:p>
        </c:rich>
      </c:tx>
      <c:layout>
        <c:manualLayout>
          <c:xMode val="edge"/>
          <c:yMode val="edge"/>
          <c:x val="0.15436789151356087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480336832895887"/>
          <c:y val="0.22177650842018867"/>
          <c:w val="0.63682879340313148"/>
          <c:h val="0.60646507728200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'Одноосное сжатия +'!$T$3:$T$7</c:f>
              <c:numCache>
                <c:formatCode>General</c:formatCode>
                <c:ptCount val="5"/>
                <c:pt idx="0">
                  <c:v>1.67</c:v>
                </c:pt>
                <c:pt idx="1">
                  <c:v>1.68</c:v>
                </c:pt>
                <c:pt idx="2">
                  <c:v>1.73</c:v>
                </c:pt>
                <c:pt idx="3">
                  <c:v>1.75</c:v>
                </c:pt>
                <c:pt idx="4">
                  <c:v>1.89</c:v>
                </c:pt>
              </c:numCache>
            </c:numRef>
          </c:xVal>
          <c:yVal>
            <c:numRef>
              <c:f>'Одноосное сжатия +'!$P$3:$P$7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36-41D6-BD24-6449597C9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51712"/>
        <c:axId val="204952272"/>
      </c:scatterChart>
      <c:valAx>
        <c:axId val="204951712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Плотность</a:t>
                </a:r>
                <a:r>
                  <a:rPr lang="ru-RU" baseline="0"/>
                  <a:t>  г/см3</a:t>
                </a:r>
                <a:endParaRPr lang="ru-RU"/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952272"/>
        <c:crosses val="autoZero"/>
        <c:crossBetween val="midCat"/>
      </c:valAx>
      <c:valAx>
        <c:axId val="2049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baseline="0">
                    <a:effectLst/>
                  </a:rPr>
                  <a:t>Прочность  на одноосное сжатие, МПа</a:t>
                </a:r>
                <a:endParaRPr lang="ru-RU" sz="9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2.2481815397742261E-2"/>
              <c:y val="0.261403608522275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9517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прочности</a:t>
            </a:r>
            <a:r>
              <a:rPr lang="ru-RU" baseline="0"/>
              <a:t> на одноосное сжатие от пористости</a:t>
            </a:r>
          </a:p>
        </c:rich>
      </c:tx>
      <c:layout>
        <c:manualLayout>
          <c:xMode val="edge"/>
          <c:yMode val="edge"/>
          <c:x val="0.15436789151356087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480336832895887"/>
          <c:y val="0.22177650842018867"/>
          <c:w val="0.63682879340313148"/>
          <c:h val="0.60646507728200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'Одноосное сжатия +'!$U$3:$U$7</c:f>
              <c:numCache>
                <c:formatCode>General</c:formatCode>
                <c:ptCount val="5"/>
                <c:pt idx="0">
                  <c:v>43.8</c:v>
                </c:pt>
                <c:pt idx="1">
                  <c:v>42.4</c:v>
                </c:pt>
                <c:pt idx="2">
                  <c:v>37.799999999999997</c:v>
                </c:pt>
                <c:pt idx="3">
                  <c:v>39.200000000000003</c:v>
                </c:pt>
                <c:pt idx="4">
                  <c:v>35.1</c:v>
                </c:pt>
              </c:numCache>
            </c:numRef>
          </c:xVal>
          <c:yVal>
            <c:numRef>
              <c:f>'Одноосное сжатия +'!$P$3:$P$7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6D-4906-B59D-06D6EFD71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12928"/>
        <c:axId val="205213488"/>
      </c:scatterChart>
      <c:valAx>
        <c:axId val="205212928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пористость</a:t>
                </a:r>
                <a:r>
                  <a:rPr lang="ru-RU" baseline="0"/>
                  <a:t> (%)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213488"/>
        <c:crosses val="autoZero"/>
        <c:crossBetween val="midCat"/>
      </c:valAx>
      <c:valAx>
        <c:axId val="2052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baseline="0">
                    <a:effectLst/>
                  </a:rPr>
                  <a:t>Прочность  на одноосное сжатие, МПа</a:t>
                </a:r>
                <a:endParaRPr lang="ru-RU" sz="9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2.2481815397742261E-2"/>
              <c:y val="0.261403608522275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2129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прочности</a:t>
            </a:r>
            <a:r>
              <a:rPr lang="ru-RU" baseline="0"/>
              <a:t> на одноосное сжатие от плотности твердых частиц </a:t>
            </a:r>
          </a:p>
        </c:rich>
      </c:tx>
      <c:layout>
        <c:manualLayout>
          <c:xMode val="edge"/>
          <c:yMode val="edge"/>
          <c:x val="0.15436789151356087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480336832895887"/>
          <c:y val="0.22177650842018867"/>
          <c:w val="0.63682879340313148"/>
          <c:h val="0.60646507728200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'Одноосное сжатия +'!$V$3:$V$7</c:f>
              <c:numCache>
                <c:formatCode>General</c:formatCode>
                <c:ptCount val="5"/>
                <c:pt idx="0">
                  <c:v>2.71</c:v>
                </c:pt>
                <c:pt idx="1">
                  <c:v>2.7</c:v>
                </c:pt>
                <c:pt idx="2">
                  <c:v>2.69</c:v>
                </c:pt>
                <c:pt idx="3">
                  <c:v>2.72</c:v>
                </c:pt>
                <c:pt idx="4">
                  <c:v>2.71</c:v>
                </c:pt>
              </c:numCache>
            </c:numRef>
          </c:xVal>
          <c:yVal>
            <c:numRef>
              <c:f>'Одноосное сжатия +'!$P$3:$P$7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56-4772-811C-9210504FB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15728"/>
        <c:axId val="205216288"/>
      </c:scatterChart>
      <c:valAx>
        <c:axId val="2052157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плотность</a:t>
                </a:r>
                <a:r>
                  <a:rPr lang="ru-RU" baseline="0"/>
                  <a:t> твердых частиц г/см3</a:t>
                </a:r>
                <a:endParaRPr lang="ru-RU"/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216288"/>
        <c:crosses val="autoZero"/>
        <c:crossBetween val="midCat"/>
      </c:valAx>
      <c:valAx>
        <c:axId val="2052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baseline="0">
                    <a:effectLst/>
                  </a:rPr>
                  <a:t>Прочность  на одноосное сжатие, МПа</a:t>
                </a:r>
                <a:endParaRPr lang="ru-RU" sz="9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2.2481815397742261E-2"/>
              <c:y val="0.261403608522275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2157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относительной деформации от времени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'Набухание + '!$B$20:$B$28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1440</c:v>
                </c:pt>
                <c:pt idx="6">
                  <c:v>2880</c:v>
                </c:pt>
                <c:pt idx="7">
                  <c:v>4320</c:v>
                </c:pt>
                <c:pt idx="8">
                  <c:v>5760</c:v>
                </c:pt>
              </c:numCache>
            </c:numRef>
          </c:xVal>
          <c:yVal>
            <c:numRef>
              <c:f>'Набухание + '!$E$20:$E$28</c:f>
              <c:numCache>
                <c:formatCode>General</c:formatCode>
                <c:ptCount val="9"/>
                <c:pt idx="0">
                  <c:v>0</c:v>
                </c:pt>
                <c:pt idx="1">
                  <c:v>0.123</c:v>
                </c:pt>
                <c:pt idx="2">
                  <c:v>0.19600000000000001</c:v>
                </c:pt>
                <c:pt idx="3">
                  <c:v>0.22400000000000003</c:v>
                </c:pt>
                <c:pt idx="4">
                  <c:v>0.24900000000000003</c:v>
                </c:pt>
                <c:pt idx="5">
                  <c:v>0.25800000000000001</c:v>
                </c:pt>
                <c:pt idx="6">
                  <c:v>0.25900000000000001</c:v>
                </c:pt>
                <c:pt idx="7">
                  <c:v>0.26</c:v>
                </c:pt>
                <c:pt idx="8">
                  <c:v>0.26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C9D-4B37-A6D7-92F599DC1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2864"/>
        <c:axId val="202603424"/>
      </c:scatterChart>
      <c:valAx>
        <c:axId val="2026028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мин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03424"/>
        <c:crosses val="autoZero"/>
        <c:crossBetween val="midCat"/>
      </c:valAx>
      <c:valAx>
        <c:axId val="2026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Относительня деф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относительной деформации от времени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'Набухание + '!$B$35:$B$43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1440</c:v>
                </c:pt>
                <c:pt idx="6">
                  <c:v>2880</c:v>
                </c:pt>
                <c:pt idx="7">
                  <c:v>4320</c:v>
                </c:pt>
                <c:pt idx="8">
                  <c:v>5760</c:v>
                </c:pt>
              </c:numCache>
            </c:numRef>
          </c:xVal>
          <c:yVal>
            <c:numRef>
              <c:f>'Набухание + '!$E$35:$E$43</c:f>
              <c:numCache>
                <c:formatCode>General</c:formatCode>
                <c:ptCount val="9"/>
                <c:pt idx="0">
                  <c:v>0</c:v>
                </c:pt>
                <c:pt idx="1">
                  <c:v>0.11100000000000002</c:v>
                </c:pt>
                <c:pt idx="2">
                  <c:v>0.16899999999999998</c:v>
                </c:pt>
                <c:pt idx="3">
                  <c:v>0.185</c:v>
                </c:pt>
                <c:pt idx="4">
                  <c:v>0.19600000000000001</c:v>
                </c:pt>
                <c:pt idx="5">
                  <c:v>0.221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B75-4F7C-9D7B-348E5E9C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50112"/>
        <c:axId val="202950672"/>
      </c:scatterChart>
      <c:valAx>
        <c:axId val="2029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50672"/>
        <c:crosses val="autoZero"/>
        <c:crossBetween val="midCat"/>
      </c:valAx>
      <c:valAx>
        <c:axId val="2029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Относительня деф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относительная деформация от времени 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'Набухание + '!$B$50:$B$58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1440</c:v>
                </c:pt>
                <c:pt idx="6">
                  <c:v>2880</c:v>
                </c:pt>
                <c:pt idx="7">
                  <c:v>4320</c:v>
                </c:pt>
                <c:pt idx="8">
                  <c:v>5760</c:v>
                </c:pt>
              </c:numCache>
            </c:numRef>
          </c:xVal>
          <c:yVal>
            <c:numRef>
              <c:f>'Набухание + '!$E$50:$E$58</c:f>
              <c:numCache>
                <c:formatCode>General</c:formatCode>
                <c:ptCount val="9"/>
                <c:pt idx="0">
                  <c:v>0</c:v>
                </c:pt>
                <c:pt idx="1">
                  <c:v>9.6000000000000002E-2</c:v>
                </c:pt>
                <c:pt idx="2">
                  <c:v>0.13899999999999998</c:v>
                </c:pt>
                <c:pt idx="3">
                  <c:v>0.16799999999999998</c:v>
                </c:pt>
                <c:pt idx="4">
                  <c:v>0.182</c:v>
                </c:pt>
                <c:pt idx="5">
                  <c:v>0.19500000000000001</c:v>
                </c:pt>
                <c:pt idx="6">
                  <c:v>0.19700000000000001</c:v>
                </c:pt>
                <c:pt idx="7">
                  <c:v>0.19700000000000001</c:v>
                </c:pt>
                <c:pt idx="8">
                  <c:v>0.19700000000000001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0F3-45FD-B60B-72887455A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52912"/>
        <c:axId val="202953472"/>
      </c:scatterChart>
      <c:valAx>
        <c:axId val="2029529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53472"/>
        <c:crosses val="autoZero"/>
        <c:crossBetween val="midCat"/>
      </c:valAx>
      <c:valAx>
        <c:axId val="2029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Относительня деф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5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относительной деформации от времени 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'Набухание + '!$B$65:$B$73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1440</c:v>
                </c:pt>
                <c:pt idx="6">
                  <c:v>2880</c:v>
                </c:pt>
                <c:pt idx="7">
                  <c:v>4320</c:v>
                </c:pt>
                <c:pt idx="8">
                  <c:v>5760</c:v>
                </c:pt>
              </c:numCache>
            </c:numRef>
          </c:xVal>
          <c:yVal>
            <c:numRef>
              <c:f>'Набухание + '!$E$65:$E$73</c:f>
              <c:numCache>
                <c:formatCode>General</c:formatCode>
                <c:ptCount val="9"/>
                <c:pt idx="0">
                  <c:v>0</c:v>
                </c:pt>
                <c:pt idx="1">
                  <c:v>7.3999999999999996E-2</c:v>
                </c:pt>
                <c:pt idx="2">
                  <c:v>9.2999999999999999E-2</c:v>
                </c:pt>
                <c:pt idx="3">
                  <c:v>0.11200000000000002</c:v>
                </c:pt>
                <c:pt idx="4">
                  <c:v>0.14399999999999999</c:v>
                </c:pt>
                <c:pt idx="5">
                  <c:v>0.16899999999999998</c:v>
                </c:pt>
                <c:pt idx="6">
                  <c:v>0.16999999999999998</c:v>
                </c:pt>
                <c:pt idx="7">
                  <c:v>0.16999999999999998</c:v>
                </c:pt>
                <c:pt idx="8">
                  <c:v>0.16999999999999998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373-4FF1-99EA-15D611DA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55712"/>
        <c:axId val="203389680"/>
      </c:scatterChart>
      <c:valAx>
        <c:axId val="2029557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389680"/>
        <c:crosses val="autoZero"/>
        <c:crossBetween val="midCat"/>
      </c:valAx>
      <c:valAx>
        <c:axId val="2033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Относительня деф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относительной деформации от времени </a:t>
            </a:r>
            <a:endParaRPr lang="ru-RU"/>
          </a:p>
        </c:rich>
      </c:tx>
      <c:layout>
        <c:manualLayout>
          <c:xMode val="edge"/>
          <c:yMode val="edge"/>
          <c:x val="0.18728196175834003"/>
          <c:y val="3.080611173851468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Глуб. 13м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'Набухание + '!$B$5:$B$13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1440</c:v>
                </c:pt>
                <c:pt idx="6">
                  <c:v>2880</c:v>
                </c:pt>
                <c:pt idx="7">
                  <c:v>4320</c:v>
                </c:pt>
                <c:pt idx="8">
                  <c:v>5760</c:v>
                </c:pt>
              </c:numCache>
            </c:numRef>
          </c:xVal>
          <c:yVal>
            <c:numRef>
              <c:f>'Набухание + '!$E$5:$E$13</c:f>
              <c:numCache>
                <c:formatCode>General</c:formatCode>
                <c:ptCount val="9"/>
                <c:pt idx="0">
                  <c:v>0</c:v>
                </c:pt>
                <c:pt idx="1">
                  <c:v>8.8999999999999996E-2</c:v>
                </c:pt>
                <c:pt idx="2">
                  <c:v>0.10800000000000001</c:v>
                </c:pt>
                <c:pt idx="3">
                  <c:v>0.13500000000000001</c:v>
                </c:pt>
                <c:pt idx="4">
                  <c:v>0.14699999999999999</c:v>
                </c:pt>
                <c:pt idx="5">
                  <c:v>0.16299999999999998</c:v>
                </c:pt>
                <c:pt idx="6">
                  <c:v>0.182</c:v>
                </c:pt>
                <c:pt idx="7">
                  <c:v>0.183</c:v>
                </c:pt>
                <c:pt idx="8">
                  <c:v>0.183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5A-477E-BAE8-B8BBCFD23E66}"/>
            </c:ext>
          </c:extLst>
        </c:ser>
        <c:ser>
          <c:idx val="1"/>
          <c:order val="1"/>
          <c:tx>
            <c:v>Глуб. 15м</c:v>
          </c:tx>
          <c:xVal>
            <c:numRef>
              <c:f>'Набухание + '!$B$20:$B$28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1440</c:v>
                </c:pt>
                <c:pt idx="6">
                  <c:v>2880</c:v>
                </c:pt>
                <c:pt idx="7">
                  <c:v>4320</c:v>
                </c:pt>
                <c:pt idx="8">
                  <c:v>5760</c:v>
                </c:pt>
              </c:numCache>
            </c:numRef>
          </c:xVal>
          <c:yVal>
            <c:numRef>
              <c:f>'Набухание + '!$E$20:$E$28</c:f>
              <c:numCache>
                <c:formatCode>General</c:formatCode>
                <c:ptCount val="9"/>
                <c:pt idx="0">
                  <c:v>0</c:v>
                </c:pt>
                <c:pt idx="1">
                  <c:v>0.123</c:v>
                </c:pt>
                <c:pt idx="2">
                  <c:v>0.19600000000000001</c:v>
                </c:pt>
                <c:pt idx="3">
                  <c:v>0.22400000000000003</c:v>
                </c:pt>
                <c:pt idx="4">
                  <c:v>0.24900000000000003</c:v>
                </c:pt>
                <c:pt idx="5">
                  <c:v>0.25800000000000001</c:v>
                </c:pt>
                <c:pt idx="6">
                  <c:v>0.25900000000000001</c:v>
                </c:pt>
                <c:pt idx="7">
                  <c:v>0.26</c:v>
                </c:pt>
                <c:pt idx="8">
                  <c:v>0.26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C98-41F3-AB28-7D6B5BF04437}"/>
            </c:ext>
          </c:extLst>
        </c:ser>
        <c:ser>
          <c:idx val="2"/>
          <c:order val="2"/>
          <c:tx>
            <c:v>Глуб. 16,5</c:v>
          </c:tx>
          <c:xVal>
            <c:numRef>
              <c:f>'Набухание + '!$B$35:$B$43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1440</c:v>
                </c:pt>
                <c:pt idx="6">
                  <c:v>2880</c:v>
                </c:pt>
                <c:pt idx="7">
                  <c:v>4320</c:v>
                </c:pt>
                <c:pt idx="8">
                  <c:v>5760</c:v>
                </c:pt>
              </c:numCache>
            </c:numRef>
          </c:xVal>
          <c:yVal>
            <c:numRef>
              <c:f>'Набухание + '!$E$35:$E$43</c:f>
              <c:numCache>
                <c:formatCode>General</c:formatCode>
                <c:ptCount val="9"/>
                <c:pt idx="0">
                  <c:v>0</c:v>
                </c:pt>
                <c:pt idx="1">
                  <c:v>0.11100000000000002</c:v>
                </c:pt>
                <c:pt idx="2">
                  <c:v>0.16899999999999998</c:v>
                </c:pt>
                <c:pt idx="3">
                  <c:v>0.185</c:v>
                </c:pt>
                <c:pt idx="4">
                  <c:v>0.19600000000000001</c:v>
                </c:pt>
                <c:pt idx="5">
                  <c:v>0.221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C98-41F3-AB28-7D6B5BF04437}"/>
            </c:ext>
          </c:extLst>
        </c:ser>
        <c:ser>
          <c:idx val="3"/>
          <c:order val="3"/>
          <c:tx>
            <c:v>Глуб. 18м</c:v>
          </c:tx>
          <c:xVal>
            <c:numRef>
              <c:f>'Набухание + '!$B$50:$B$58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1440</c:v>
                </c:pt>
                <c:pt idx="6">
                  <c:v>2880</c:v>
                </c:pt>
                <c:pt idx="7">
                  <c:v>4320</c:v>
                </c:pt>
                <c:pt idx="8">
                  <c:v>5760</c:v>
                </c:pt>
              </c:numCache>
            </c:numRef>
          </c:xVal>
          <c:yVal>
            <c:numRef>
              <c:f>'Набухание + '!$E$50:$E$58</c:f>
              <c:numCache>
                <c:formatCode>General</c:formatCode>
                <c:ptCount val="9"/>
                <c:pt idx="0">
                  <c:v>0</c:v>
                </c:pt>
                <c:pt idx="1">
                  <c:v>9.6000000000000002E-2</c:v>
                </c:pt>
                <c:pt idx="2">
                  <c:v>0.13899999999999998</c:v>
                </c:pt>
                <c:pt idx="3">
                  <c:v>0.16799999999999998</c:v>
                </c:pt>
                <c:pt idx="4">
                  <c:v>0.182</c:v>
                </c:pt>
                <c:pt idx="5">
                  <c:v>0.19500000000000001</c:v>
                </c:pt>
                <c:pt idx="6">
                  <c:v>0.19700000000000001</c:v>
                </c:pt>
                <c:pt idx="7">
                  <c:v>0.19700000000000001</c:v>
                </c:pt>
                <c:pt idx="8">
                  <c:v>0.19700000000000001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C98-41F3-AB28-7D6B5BF04437}"/>
            </c:ext>
          </c:extLst>
        </c:ser>
        <c:ser>
          <c:idx val="4"/>
          <c:order val="4"/>
          <c:tx>
            <c:v>Глуб. 19</c:v>
          </c:tx>
          <c:xVal>
            <c:numRef>
              <c:f>'Набухание + '!$B$65:$B$73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1440</c:v>
                </c:pt>
                <c:pt idx="6">
                  <c:v>2880</c:v>
                </c:pt>
                <c:pt idx="7">
                  <c:v>4320</c:v>
                </c:pt>
                <c:pt idx="8">
                  <c:v>5760</c:v>
                </c:pt>
              </c:numCache>
            </c:numRef>
          </c:xVal>
          <c:yVal>
            <c:numRef>
              <c:f>'Набухание + '!$E$65:$E$73</c:f>
              <c:numCache>
                <c:formatCode>General</c:formatCode>
                <c:ptCount val="9"/>
                <c:pt idx="0">
                  <c:v>0</c:v>
                </c:pt>
                <c:pt idx="1">
                  <c:v>7.3999999999999996E-2</c:v>
                </c:pt>
                <c:pt idx="2">
                  <c:v>9.2999999999999999E-2</c:v>
                </c:pt>
                <c:pt idx="3">
                  <c:v>0.11200000000000002</c:v>
                </c:pt>
                <c:pt idx="4">
                  <c:v>0.14399999999999999</c:v>
                </c:pt>
                <c:pt idx="5">
                  <c:v>0.16899999999999998</c:v>
                </c:pt>
                <c:pt idx="6">
                  <c:v>0.16999999999999998</c:v>
                </c:pt>
                <c:pt idx="7">
                  <c:v>0.16999999999999998</c:v>
                </c:pt>
                <c:pt idx="8">
                  <c:v>0.16999999999999998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C98-41F3-AB28-7D6B5BF0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4160"/>
        <c:axId val="203394720"/>
      </c:scatterChart>
      <c:valAx>
        <c:axId val="2033941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394720"/>
        <c:crosses val="autoZero"/>
        <c:crossBetween val="midCat"/>
      </c:valAx>
      <c:valAx>
        <c:axId val="2033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Относительня деф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39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степени набухания от содержания фракций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Песчанных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'Набухание + '!$P$79:$P$83</c:f>
              <c:numCache>
                <c:formatCode>General</c:formatCode>
                <c:ptCount val="5"/>
                <c:pt idx="0">
                  <c:v>25.7</c:v>
                </c:pt>
                <c:pt idx="1">
                  <c:v>15.1</c:v>
                </c:pt>
                <c:pt idx="2">
                  <c:v>17.100000000000001</c:v>
                </c:pt>
                <c:pt idx="3">
                  <c:v>21</c:v>
                </c:pt>
                <c:pt idx="4">
                  <c:v>31.3</c:v>
                </c:pt>
              </c:numCache>
            </c:numRef>
          </c:xVal>
          <c:yVal>
            <c:numRef>
              <c:f>'Набухание + '!$N$79:$N$83</c:f>
              <c:numCache>
                <c:formatCode>General</c:formatCode>
                <c:ptCount val="5"/>
                <c:pt idx="0">
                  <c:v>17</c:v>
                </c:pt>
                <c:pt idx="1">
                  <c:v>19.7</c:v>
                </c:pt>
                <c:pt idx="2">
                  <c:v>24</c:v>
                </c:pt>
                <c:pt idx="3">
                  <c:v>26</c:v>
                </c:pt>
                <c:pt idx="4">
                  <c:v>18.3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07-47C6-847A-C0F612C30AE0}"/>
            </c:ext>
          </c:extLst>
        </c:ser>
        <c:ser>
          <c:idx val="1"/>
          <c:order val="1"/>
          <c:tx>
            <c:v>Пылеватых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'Набухание + '!$Q$79:$Q$83</c:f>
              <c:numCache>
                <c:formatCode>General</c:formatCode>
                <c:ptCount val="5"/>
                <c:pt idx="0">
                  <c:v>70.599999999999994</c:v>
                </c:pt>
                <c:pt idx="1">
                  <c:v>73.099999999999994</c:v>
                </c:pt>
                <c:pt idx="2">
                  <c:v>73.7</c:v>
                </c:pt>
                <c:pt idx="3">
                  <c:v>69.400000000000006</c:v>
                </c:pt>
                <c:pt idx="4">
                  <c:v>65.5</c:v>
                </c:pt>
              </c:numCache>
            </c:numRef>
          </c:xVal>
          <c:yVal>
            <c:numRef>
              <c:f>'Набухание + '!$N$79:$N$83</c:f>
              <c:numCache>
                <c:formatCode>General</c:formatCode>
                <c:ptCount val="5"/>
                <c:pt idx="0">
                  <c:v>17</c:v>
                </c:pt>
                <c:pt idx="1">
                  <c:v>19.7</c:v>
                </c:pt>
                <c:pt idx="2">
                  <c:v>24</c:v>
                </c:pt>
                <c:pt idx="3">
                  <c:v>26</c:v>
                </c:pt>
                <c:pt idx="4">
                  <c:v>18.3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07-47C6-847A-C0F612C30AE0}"/>
            </c:ext>
          </c:extLst>
        </c:ser>
        <c:ser>
          <c:idx val="2"/>
          <c:order val="2"/>
          <c:tx>
            <c:v>Глинистых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'Набухание + '!$R$79:$R$83</c:f>
              <c:numCache>
                <c:formatCode>General</c:formatCode>
                <c:ptCount val="5"/>
                <c:pt idx="0">
                  <c:v>3.7</c:v>
                </c:pt>
                <c:pt idx="1">
                  <c:v>11.8</c:v>
                </c:pt>
                <c:pt idx="2">
                  <c:v>9.1999999999999993</c:v>
                </c:pt>
                <c:pt idx="3">
                  <c:v>9.6</c:v>
                </c:pt>
                <c:pt idx="4">
                  <c:v>3.2</c:v>
                </c:pt>
              </c:numCache>
            </c:numRef>
          </c:xVal>
          <c:yVal>
            <c:numRef>
              <c:f>'Набухание + '!$N$79:$N$83</c:f>
              <c:numCache>
                <c:formatCode>General</c:formatCode>
                <c:ptCount val="5"/>
                <c:pt idx="0">
                  <c:v>17</c:v>
                </c:pt>
                <c:pt idx="1">
                  <c:v>19.7</c:v>
                </c:pt>
                <c:pt idx="2">
                  <c:v>24</c:v>
                </c:pt>
                <c:pt idx="3">
                  <c:v>26</c:v>
                </c:pt>
                <c:pt idx="4">
                  <c:v>18.3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07-47C6-847A-C0F612C30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61104"/>
        <c:axId val="203161664"/>
      </c:scatterChart>
      <c:valAx>
        <c:axId val="2031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Содержание</a:t>
                </a:r>
                <a:r>
                  <a:rPr lang="ru-RU" baseline="0"/>
                  <a:t> фракции (%)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61664"/>
        <c:crosses val="autoZero"/>
        <c:crossBetween val="midCat"/>
      </c:valAx>
      <c:valAx>
        <c:axId val="2031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Степень</a:t>
                </a:r>
                <a:r>
                  <a:rPr lang="ru-RU" baseline="0"/>
                  <a:t> набухания (%)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6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влажности</a:t>
            </a:r>
            <a:r>
              <a:rPr lang="ru-RU" baseline="0"/>
              <a:t> грунта от объема  (</a:t>
            </a:r>
            <a:r>
              <a:rPr lang="ru-RU"/>
              <a:t>13</a:t>
            </a:r>
            <a:r>
              <a:rPr lang="ru-RU" baseline="0"/>
              <a:t> м)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'Усадочность + '!$G$5:$G$8</c:f>
              <c:numCache>
                <c:formatCode>0.0</c:formatCode>
                <c:ptCount val="4"/>
                <c:pt idx="0">
                  <c:v>9.4218415417558692</c:v>
                </c:pt>
                <c:pt idx="1">
                  <c:v>8.2053996823716258</c:v>
                </c:pt>
                <c:pt idx="2">
                  <c:v>1.1241970021413092</c:v>
                </c:pt>
                <c:pt idx="3">
                  <c:v>0</c:v>
                </c:pt>
              </c:numCache>
            </c:numRef>
          </c:xVal>
          <c:yVal>
            <c:numRef>
              <c:f>'Усадочность + '!$E$5:$E$8</c:f>
              <c:numCache>
                <c:formatCode>0.0</c:formatCode>
                <c:ptCount val="4"/>
                <c:pt idx="0">
                  <c:v>148.54162499999998</c:v>
                </c:pt>
                <c:pt idx="1">
                  <c:v>143.90237312500003</c:v>
                </c:pt>
                <c:pt idx="2">
                  <c:v>140.96558999999999</c:v>
                </c:pt>
                <c:pt idx="3">
                  <c:v>140.96558999999999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30A-42D4-975E-4F5C16A85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64464"/>
        <c:axId val="203165024"/>
      </c:scatterChart>
      <c:valAx>
        <c:axId val="20316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Влажность,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65024"/>
        <c:crosses val="autoZero"/>
        <c:crossBetween val="midCat"/>
      </c:valAx>
      <c:valAx>
        <c:axId val="2031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Объем, г/см3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4</xdr:row>
      <xdr:rowOff>9525</xdr:rowOff>
    </xdr:from>
    <xdr:to>
      <xdr:col>5</xdr:col>
      <xdr:colOff>9525</xdr:colOff>
      <xdr:row>4</xdr:row>
      <xdr:rowOff>2114550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1" y="7391400"/>
          <a:ext cx="2676524" cy="21050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5</xdr:col>
      <xdr:colOff>0</xdr:colOff>
      <xdr:row>5</xdr:row>
      <xdr:rowOff>1562100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0" y="9496425"/>
          <a:ext cx="2667000" cy="15621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</xdr:row>
      <xdr:rowOff>20609</xdr:rowOff>
    </xdr:from>
    <xdr:to>
      <xdr:col>5</xdr:col>
      <xdr:colOff>0</xdr:colOff>
      <xdr:row>1</xdr:row>
      <xdr:rowOff>1838325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1335059"/>
          <a:ext cx="2657475" cy="181771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2</xdr:row>
      <xdr:rowOff>19049</xdr:rowOff>
    </xdr:from>
    <xdr:to>
      <xdr:col>4</xdr:col>
      <xdr:colOff>2659856</xdr:colOff>
      <xdr:row>2</xdr:row>
      <xdr:rowOff>2000250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171824"/>
          <a:ext cx="2650331" cy="1981201"/>
        </a:xfrm>
        <a:prstGeom prst="rect">
          <a:avLst/>
        </a:prstGeom>
      </xdr:spPr>
    </xdr:pic>
    <xdr:clientData/>
  </xdr:twoCellAnchor>
  <xdr:twoCellAnchor editAs="oneCell">
    <xdr:from>
      <xdr:col>4</xdr:col>
      <xdr:colOff>11906</xdr:colOff>
      <xdr:row>3</xdr:row>
      <xdr:rowOff>0</xdr:rowOff>
    </xdr:from>
    <xdr:to>
      <xdr:col>5</xdr:col>
      <xdr:colOff>19050</xdr:colOff>
      <xdr:row>3</xdr:row>
      <xdr:rowOff>2238375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9356" y="5143500"/>
          <a:ext cx="2674144" cy="2238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18</xdr:row>
      <xdr:rowOff>171450</xdr:rowOff>
    </xdr:from>
    <xdr:to>
      <xdr:col>23</xdr:col>
      <xdr:colOff>421397</xdr:colOff>
      <xdr:row>35</xdr:row>
      <xdr:rowOff>141835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119062</xdr:colOff>
      <xdr:row>47</xdr:row>
      <xdr:rowOff>119062</xdr:rowOff>
    </xdr:from>
    <xdr:to>
      <xdr:col>21</xdr:col>
      <xdr:colOff>586604</xdr:colOff>
      <xdr:row>62</xdr:row>
      <xdr:rowOff>175091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50" y="14978062"/>
          <a:ext cx="7658918" cy="5857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471148</xdr:colOff>
      <xdr:row>2</xdr:row>
      <xdr:rowOff>79687</xdr:rowOff>
    </xdr:from>
    <xdr:to>
      <xdr:col>17</xdr:col>
      <xdr:colOff>194185</xdr:colOff>
      <xdr:row>12</xdr:row>
      <xdr:rowOff>94371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428909</xdr:colOff>
      <xdr:row>17</xdr:row>
      <xdr:rowOff>114243</xdr:rowOff>
    </xdr:from>
    <xdr:to>
      <xdr:col>17</xdr:col>
      <xdr:colOff>159033</xdr:colOff>
      <xdr:row>29</xdr:row>
      <xdr:rowOff>19787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421254</xdr:colOff>
      <xdr:row>32</xdr:row>
      <xdr:rowOff>166120</xdr:rowOff>
    </xdr:from>
    <xdr:to>
      <xdr:col>17</xdr:col>
      <xdr:colOff>144291</xdr:colOff>
      <xdr:row>44</xdr:row>
      <xdr:rowOff>71664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435429</xdr:colOff>
      <xdr:row>47</xdr:row>
      <xdr:rowOff>163285</xdr:rowOff>
    </xdr:from>
    <xdr:to>
      <xdr:col>17</xdr:col>
      <xdr:colOff>158466</xdr:colOff>
      <xdr:row>59</xdr:row>
      <xdr:rowOff>53237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367393</xdr:colOff>
      <xdr:row>62</xdr:row>
      <xdr:rowOff>108857</xdr:rowOff>
    </xdr:from>
    <xdr:to>
      <xdr:col>17</xdr:col>
      <xdr:colOff>90430</xdr:colOff>
      <xdr:row>73</xdr:row>
      <xdr:rowOff>202916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40819</xdr:colOff>
      <xdr:row>8</xdr:row>
      <xdr:rowOff>166310</xdr:rowOff>
    </xdr:from>
    <xdr:to>
      <xdr:col>34</xdr:col>
      <xdr:colOff>302380</xdr:colOff>
      <xdr:row>30</xdr:row>
      <xdr:rowOff>176894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76</xdr:row>
      <xdr:rowOff>169785</xdr:rowOff>
    </xdr:from>
    <xdr:to>
      <xdr:col>11</xdr:col>
      <xdr:colOff>166308</xdr:colOff>
      <xdr:row>104</xdr:row>
      <xdr:rowOff>105832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549088</xdr:colOff>
      <xdr:row>18</xdr:row>
      <xdr:rowOff>23532</xdr:rowOff>
    </xdr:from>
    <xdr:to>
      <xdr:col>21</xdr:col>
      <xdr:colOff>280146</xdr:colOff>
      <xdr:row>34</xdr:row>
      <xdr:rowOff>33618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437027</xdr:colOff>
      <xdr:row>18</xdr:row>
      <xdr:rowOff>112059</xdr:rowOff>
    </xdr:from>
    <xdr:to>
      <xdr:col>25</xdr:col>
      <xdr:colOff>280145</xdr:colOff>
      <xdr:row>34</xdr:row>
      <xdr:rowOff>122145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228600</xdr:colOff>
      <xdr:row>18</xdr:row>
      <xdr:rowOff>0</xdr:rowOff>
    </xdr:from>
    <xdr:to>
      <xdr:col>38</xdr:col>
      <xdr:colOff>495300</xdr:colOff>
      <xdr:row>36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21</xdr:col>
      <xdr:colOff>336176</xdr:colOff>
      <xdr:row>55</xdr:row>
      <xdr:rowOff>43704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495300</xdr:colOff>
      <xdr:row>38</xdr:row>
      <xdr:rowOff>152400</xdr:rowOff>
    </xdr:from>
    <xdr:to>
      <xdr:col>25</xdr:col>
      <xdr:colOff>188259</xdr:colOff>
      <xdr:row>54</xdr:row>
      <xdr:rowOff>152400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612321</xdr:colOff>
      <xdr:row>37</xdr:row>
      <xdr:rowOff>149679</xdr:rowOff>
    </xdr:from>
    <xdr:to>
      <xdr:col>40</xdr:col>
      <xdr:colOff>258535</xdr:colOff>
      <xdr:row>55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1102179</xdr:colOff>
      <xdr:row>28</xdr:row>
      <xdr:rowOff>27215</xdr:rowOff>
    </xdr:from>
    <xdr:to>
      <xdr:col>10</xdr:col>
      <xdr:colOff>1792140</xdr:colOff>
      <xdr:row>44</xdr:row>
      <xdr:rowOff>70920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57150</xdr:rowOff>
    </xdr:from>
    <xdr:to>
      <xdr:col>13</xdr:col>
      <xdr:colOff>0</xdr:colOff>
      <xdr:row>12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371474</xdr:colOff>
      <xdr:row>17</xdr:row>
      <xdr:rowOff>166687</xdr:rowOff>
    </xdr:from>
    <xdr:to>
      <xdr:col>12</xdr:col>
      <xdr:colOff>590550</xdr:colOff>
      <xdr:row>28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609599</xdr:colOff>
      <xdr:row>33</xdr:row>
      <xdr:rowOff>90487</xdr:rowOff>
    </xdr:from>
    <xdr:to>
      <xdr:col>13</xdr:col>
      <xdr:colOff>28574</xdr:colOff>
      <xdr:row>45</xdr:row>
      <xdr:rowOff>166687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571499</xdr:colOff>
      <xdr:row>49</xdr:row>
      <xdr:rowOff>309562</xdr:rowOff>
    </xdr:from>
    <xdr:to>
      <xdr:col>13</xdr:col>
      <xdr:colOff>9524</xdr:colOff>
      <xdr:row>63</xdr:row>
      <xdr:rowOff>4762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600074</xdr:colOff>
      <xdr:row>68</xdr:row>
      <xdr:rowOff>23812</xdr:rowOff>
    </xdr:from>
    <xdr:to>
      <xdr:col>12</xdr:col>
      <xdr:colOff>590549</xdr:colOff>
      <xdr:row>84</xdr:row>
      <xdr:rowOff>19050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537883</xdr:colOff>
      <xdr:row>7</xdr:row>
      <xdr:rowOff>123265</xdr:rowOff>
    </xdr:from>
    <xdr:to>
      <xdr:col>17</xdr:col>
      <xdr:colOff>937933</xdr:colOff>
      <xdr:row>19</xdr:row>
      <xdr:rowOff>150159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1131794</xdr:colOff>
      <xdr:row>7</xdr:row>
      <xdr:rowOff>179295</xdr:rowOff>
    </xdr:from>
    <xdr:to>
      <xdr:col>21</xdr:col>
      <xdr:colOff>949139</xdr:colOff>
      <xdr:row>20</xdr:row>
      <xdr:rowOff>4483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582707</xdr:colOff>
      <xdr:row>21</xdr:row>
      <xdr:rowOff>22412</xdr:rowOff>
    </xdr:from>
    <xdr:to>
      <xdr:col>17</xdr:col>
      <xdr:colOff>982757</xdr:colOff>
      <xdr:row>35</xdr:row>
      <xdr:rowOff>49306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22</xdr:col>
      <xdr:colOff>30257</xdr:colOff>
      <xdr:row>35</xdr:row>
      <xdr:rowOff>26894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190500</xdr:colOff>
      <xdr:row>20</xdr:row>
      <xdr:rowOff>190499</xdr:rowOff>
    </xdr:from>
    <xdr:to>
      <xdr:col>30</xdr:col>
      <xdr:colOff>433667</xdr:colOff>
      <xdr:row>35</xdr:row>
      <xdr:rowOff>15688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39" zoomScaleNormal="39" workbookViewId="0">
      <selection activeCell="B17" sqref="B17:C28"/>
    </sheetView>
  </sheetViews>
  <sheetFormatPr defaultRowHeight="15" x14ac:dyDescent="0.25"/>
  <cols>
    <col min="1" max="1" width="9.140625" style="1"/>
    <col min="2" max="2" width="26" style="1" customWidth="1"/>
    <col min="3" max="3" width="22.140625" style="1" customWidth="1"/>
    <col min="4" max="4" width="38.5703125" style="1" customWidth="1"/>
    <col min="5" max="5" width="40" style="1" customWidth="1"/>
  </cols>
  <sheetData>
    <row r="1" spans="1:5" ht="103.5" customHeight="1" thickBot="1" x14ac:dyDescent="0.3">
      <c r="A1" s="10" t="s">
        <v>0</v>
      </c>
      <c r="B1" s="11" t="s">
        <v>9</v>
      </c>
      <c r="C1" s="11" t="s">
        <v>1</v>
      </c>
      <c r="D1" s="11" t="s">
        <v>182</v>
      </c>
      <c r="E1" s="12" t="s">
        <v>2</v>
      </c>
    </row>
    <row r="2" spans="1:5" ht="204" customHeight="1" thickBot="1" x14ac:dyDescent="0.3">
      <c r="A2" s="2">
        <v>1</v>
      </c>
      <c r="B2" s="3">
        <v>13</v>
      </c>
      <c r="C2" s="3" t="s">
        <v>3</v>
      </c>
      <c r="D2" s="5" t="s">
        <v>181</v>
      </c>
      <c r="E2" s="4"/>
    </row>
    <row r="3" spans="1:5" ht="200.25" customHeight="1" thickBot="1" x14ac:dyDescent="0.3">
      <c r="A3" s="6">
        <v>2</v>
      </c>
      <c r="B3" s="7">
        <v>15</v>
      </c>
      <c r="C3" s="7" t="s">
        <v>4</v>
      </c>
      <c r="D3" s="8" t="s">
        <v>156</v>
      </c>
      <c r="E3" s="9"/>
    </row>
    <row r="4" spans="1:5" ht="192" customHeight="1" thickBot="1" x14ac:dyDescent="0.3">
      <c r="A4" s="2">
        <v>3</v>
      </c>
      <c r="B4" s="3">
        <v>16.5</v>
      </c>
      <c r="C4" s="3" t="s">
        <v>5</v>
      </c>
      <c r="D4" s="5" t="s">
        <v>183</v>
      </c>
      <c r="E4" s="4"/>
    </row>
    <row r="5" spans="1:5" ht="188.25" customHeight="1" thickBot="1" x14ac:dyDescent="0.3">
      <c r="A5" s="2">
        <v>4</v>
      </c>
      <c r="B5" s="3">
        <v>18</v>
      </c>
      <c r="C5" s="3" t="s">
        <v>6</v>
      </c>
      <c r="D5" s="5" t="s">
        <v>184</v>
      </c>
      <c r="E5" s="4"/>
    </row>
    <row r="6" spans="1:5" ht="180" customHeight="1" thickBot="1" x14ac:dyDescent="0.3">
      <c r="A6" s="2">
        <v>5</v>
      </c>
      <c r="B6" s="3">
        <v>19</v>
      </c>
      <c r="C6" s="3" t="s">
        <v>7</v>
      </c>
      <c r="D6" s="5" t="s">
        <v>185</v>
      </c>
      <c r="E6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14" zoomScale="44" zoomScaleNormal="44" workbookViewId="0">
      <selection activeCell="L56" sqref="L56"/>
    </sheetView>
  </sheetViews>
  <sheetFormatPr defaultColWidth="9.140625" defaultRowHeight="15.75" x14ac:dyDescent="0.25"/>
  <cols>
    <col min="1" max="1" width="15.85546875" style="17" customWidth="1"/>
    <col min="2" max="2" width="24.140625" style="17" customWidth="1"/>
    <col min="3" max="3" width="22.140625" style="17" customWidth="1"/>
    <col min="4" max="4" width="9.140625" style="17"/>
    <col min="5" max="5" width="19.42578125" style="17" customWidth="1"/>
    <col min="6" max="6" width="12.85546875" style="17" customWidth="1"/>
    <col min="7" max="7" width="15.140625" style="17" customWidth="1"/>
    <col min="8" max="8" width="9.140625" style="17" customWidth="1"/>
    <col min="9" max="9" width="9.140625" style="17"/>
    <col min="10" max="10" width="18.140625" style="17" customWidth="1"/>
    <col min="11" max="11" width="30.28515625" style="17" customWidth="1"/>
    <col min="12" max="16384" width="9.140625" style="17"/>
  </cols>
  <sheetData>
    <row r="1" spans="1:15" s="14" customFormat="1" ht="33" customHeight="1" x14ac:dyDescent="0.25">
      <c r="A1" s="243" t="s">
        <v>8</v>
      </c>
      <c r="B1" s="246" t="s">
        <v>9</v>
      </c>
      <c r="C1" s="289" t="s">
        <v>10</v>
      </c>
      <c r="D1" s="249" t="s">
        <v>11</v>
      </c>
      <c r="E1" s="249"/>
      <c r="F1" s="249"/>
      <c r="G1" s="249"/>
      <c r="H1" s="249"/>
      <c r="I1" s="249" t="s">
        <v>15</v>
      </c>
      <c r="J1" s="249"/>
      <c r="K1" s="258" t="s">
        <v>109</v>
      </c>
    </row>
    <row r="2" spans="1:15" s="16" customFormat="1" ht="21.75" customHeight="1" x14ac:dyDescent="0.25">
      <c r="A2" s="244"/>
      <c r="B2" s="247"/>
      <c r="C2" s="290"/>
      <c r="D2" s="287" t="s">
        <v>12</v>
      </c>
      <c r="E2" s="288" t="s">
        <v>13</v>
      </c>
      <c r="F2" s="24" t="s">
        <v>14</v>
      </c>
      <c r="G2" s="24"/>
      <c r="H2" s="24"/>
      <c r="I2" s="250"/>
      <c r="J2" s="250"/>
      <c r="K2" s="259"/>
    </row>
    <row r="3" spans="1:15" x14ac:dyDescent="0.25">
      <c r="A3" s="244"/>
      <c r="B3" s="247"/>
      <c r="C3" s="290"/>
      <c r="D3" s="287"/>
      <c r="E3" s="288"/>
      <c r="F3" s="25">
        <v>1</v>
      </c>
      <c r="G3" s="25">
        <v>2</v>
      </c>
      <c r="H3" s="25"/>
      <c r="I3" s="250"/>
      <c r="J3" s="250"/>
      <c r="K3" s="259"/>
    </row>
    <row r="4" spans="1:15" ht="18" thickBot="1" x14ac:dyDescent="0.35">
      <c r="A4" s="245"/>
      <c r="B4" s="248"/>
      <c r="C4" s="291"/>
      <c r="D4" s="35" t="s">
        <v>157</v>
      </c>
      <c r="E4" s="35" t="s">
        <v>158</v>
      </c>
      <c r="F4" s="35" t="s">
        <v>159</v>
      </c>
      <c r="G4" s="35" t="s">
        <v>160</v>
      </c>
      <c r="H4" s="35"/>
      <c r="I4" s="251"/>
      <c r="J4" s="251"/>
      <c r="K4" s="260"/>
    </row>
    <row r="5" spans="1:15" x14ac:dyDescent="0.25">
      <c r="A5" s="30">
        <v>1</v>
      </c>
      <c r="B5" s="31">
        <v>13</v>
      </c>
      <c r="C5" s="31">
        <v>8</v>
      </c>
      <c r="D5" s="31">
        <v>25.1</v>
      </c>
      <c r="E5" s="31">
        <v>44.91</v>
      </c>
      <c r="F5" s="31">
        <v>43.24</v>
      </c>
      <c r="G5" s="31">
        <v>43.03</v>
      </c>
      <c r="H5" s="31"/>
      <c r="I5" s="240">
        <f>((E5-F5)/(F5-D5))*100</f>
        <v>9.2061742006614917</v>
      </c>
      <c r="J5" s="242"/>
      <c r="K5" s="27">
        <f>((F5-G5)/(G5-D5))*100</f>
        <v>1.1712214166201944</v>
      </c>
    </row>
    <row r="6" spans="1:15" x14ac:dyDescent="0.25">
      <c r="A6" s="32">
        <v>2</v>
      </c>
      <c r="B6" s="22">
        <v>15</v>
      </c>
      <c r="C6" s="22">
        <v>52</v>
      </c>
      <c r="D6" s="22">
        <v>25.22</v>
      </c>
      <c r="E6" s="22">
        <v>42.15</v>
      </c>
      <c r="F6" s="22">
        <v>40.86</v>
      </c>
      <c r="G6" s="22">
        <v>40.72</v>
      </c>
      <c r="H6" s="22"/>
      <c r="I6" s="234">
        <f t="shared" ref="I6:I9" si="0">((E6-F6)/(F6-D6))*100</f>
        <v>8.2480818414322208</v>
      </c>
      <c r="J6" s="236"/>
      <c r="K6" s="28">
        <f t="shared" ref="K6:K9" si="1">((F6-G6)/(G6-D6))*100</f>
        <v>0.90322580645161665</v>
      </c>
    </row>
    <row r="7" spans="1:15" x14ac:dyDescent="0.25">
      <c r="A7" s="32">
        <v>3</v>
      </c>
      <c r="B7" s="22">
        <v>16.5</v>
      </c>
      <c r="C7" s="22">
        <v>94</v>
      </c>
      <c r="D7" s="22">
        <v>16.760000000000002</v>
      </c>
      <c r="E7" s="22">
        <v>33.950000000000003</v>
      </c>
      <c r="F7" s="22">
        <v>33.39</v>
      </c>
      <c r="G7" s="22">
        <v>33.15</v>
      </c>
      <c r="H7" s="22"/>
      <c r="I7" s="234">
        <f t="shared" si="0"/>
        <v>3.3674082982561777</v>
      </c>
      <c r="J7" s="236"/>
      <c r="K7" s="28">
        <f t="shared" si="1"/>
        <v>1.4643075045759733</v>
      </c>
    </row>
    <row r="8" spans="1:15" x14ac:dyDescent="0.25">
      <c r="A8" s="32">
        <v>4</v>
      </c>
      <c r="B8" s="22">
        <v>18</v>
      </c>
      <c r="C8" s="22">
        <v>17</v>
      </c>
      <c r="D8" s="22">
        <v>25.16</v>
      </c>
      <c r="E8" s="22">
        <v>51.43</v>
      </c>
      <c r="F8" s="22">
        <v>50</v>
      </c>
      <c r="G8" s="22">
        <v>49.81</v>
      </c>
      <c r="H8" s="22"/>
      <c r="I8" s="234">
        <f t="shared" si="0"/>
        <v>5.7568438003220601</v>
      </c>
      <c r="J8" s="236"/>
      <c r="K8" s="28">
        <f t="shared" si="1"/>
        <v>0.77079107505070066</v>
      </c>
    </row>
    <row r="9" spans="1:15" ht="16.5" thickBot="1" x14ac:dyDescent="0.3">
      <c r="A9" s="33">
        <v>5</v>
      </c>
      <c r="B9" s="34">
        <v>19</v>
      </c>
      <c r="C9" s="34">
        <v>61</v>
      </c>
      <c r="D9" s="34">
        <v>25.01</v>
      </c>
      <c r="E9" s="34">
        <v>42.47</v>
      </c>
      <c r="F9" s="34">
        <v>41.28</v>
      </c>
      <c r="G9" s="34">
        <v>41.02</v>
      </c>
      <c r="H9" s="34"/>
      <c r="I9" s="237">
        <f t="shared" si="0"/>
        <v>7.3140749846342823</v>
      </c>
      <c r="J9" s="239"/>
      <c r="K9" s="29">
        <f t="shared" si="1"/>
        <v>1.6239850093691319</v>
      </c>
    </row>
    <row r="10" spans="1:15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ht="16.5" thickBo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ht="16.5" thickBot="1" x14ac:dyDescent="0.3">
      <c r="A12" s="284" t="s">
        <v>17</v>
      </c>
      <c r="B12" s="285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5"/>
      <c r="N12" s="285"/>
      <c r="O12" s="286"/>
    </row>
    <row r="13" spans="1:15" ht="18" customHeight="1" x14ac:dyDescent="0.25">
      <c r="A13" s="243" t="s">
        <v>8</v>
      </c>
      <c r="B13" s="246" t="s">
        <v>9</v>
      </c>
      <c r="C13" s="249" t="s">
        <v>10</v>
      </c>
      <c r="D13" s="249" t="s">
        <v>161</v>
      </c>
      <c r="E13" s="249"/>
      <c r="F13" s="252" t="s">
        <v>162</v>
      </c>
      <c r="G13" s="252"/>
      <c r="H13" s="252"/>
      <c r="I13" s="249" t="s">
        <v>163</v>
      </c>
      <c r="J13" s="249"/>
      <c r="K13" s="249"/>
      <c r="L13" s="252" t="s">
        <v>16</v>
      </c>
      <c r="M13" s="252"/>
      <c r="N13" s="252"/>
      <c r="O13" s="258"/>
    </row>
    <row r="14" spans="1:15" x14ac:dyDescent="0.25">
      <c r="A14" s="244"/>
      <c r="B14" s="247"/>
      <c r="C14" s="250"/>
      <c r="D14" s="250"/>
      <c r="E14" s="250"/>
      <c r="F14" s="253"/>
      <c r="G14" s="253"/>
      <c r="H14" s="253"/>
      <c r="I14" s="250"/>
      <c r="J14" s="250"/>
      <c r="K14" s="250"/>
      <c r="L14" s="253"/>
      <c r="M14" s="253"/>
      <c r="N14" s="253"/>
      <c r="O14" s="259"/>
    </row>
    <row r="15" spans="1:15" x14ac:dyDescent="0.25">
      <c r="A15" s="244"/>
      <c r="B15" s="247"/>
      <c r="C15" s="250"/>
      <c r="D15" s="250"/>
      <c r="E15" s="250"/>
      <c r="F15" s="253"/>
      <c r="G15" s="253"/>
      <c r="H15" s="253"/>
      <c r="I15" s="250"/>
      <c r="J15" s="250"/>
      <c r="K15" s="250"/>
      <c r="L15" s="253"/>
      <c r="M15" s="253"/>
      <c r="N15" s="253"/>
      <c r="O15" s="259"/>
    </row>
    <row r="16" spans="1:15" ht="16.5" thickBot="1" x14ac:dyDescent="0.3">
      <c r="A16" s="245"/>
      <c r="B16" s="248"/>
      <c r="C16" s="251"/>
      <c r="D16" s="251"/>
      <c r="E16" s="251"/>
      <c r="F16" s="254"/>
      <c r="G16" s="254"/>
      <c r="H16" s="254"/>
      <c r="I16" s="251"/>
      <c r="J16" s="251"/>
      <c r="K16" s="251"/>
      <c r="L16" s="254"/>
      <c r="M16" s="254"/>
      <c r="N16" s="254"/>
      <c r="O16" s="260"/>
    </row>
    <row r="17" spans="1:15" x14ac:dyDescent="0.25">
      <c r="A17" s="38">
        <v>1</v>
      </c>
      <c r="B17" s="39">
        <v>13</v>
      </c>
      <c r="C17" s="39">
        <v>20</v>
      </c>
      <c r="D17" s="277">
        <v>24.83</v>
      </c>
      <c r="E17" s="279"/>
      <c r="F17" s="277">
        <v>39.840000000000003</v>
      </c>
      <c r="G17" s="278"/>
      <c r="H17" s="279"/>
      <c r="I17" s="277">
        <v>37.119999999999997</v>
      </c>
      <c r="J17" s="278"/>
      <c r="K17" s="279"/>
      <c r="L17" s="281">
        <f>((F17-I17)/(I17-D17))*100</f>
        <v>22.131814483319822</v>
      </c>
      <c r="M17" s="282"/>
      <c r="N17" s="282"/>
      <c r="O17" s="283"/>
    </row>
    <row r="18" spans="1:15" x14ac:dyDescent="0.25">
      <c r="A18" s="32">
        <v>2</v>
      </c>
      <c r="B18" s="22">
        <v>15</v>
      </c>
      <c r="C18" s="22">
        <v>41</v>
      </c>
      <c r="D18" s="225">
        <v>24.92</v>
      </c>
      <c r="E18" s="226"/>
      <c r="F18" s="225">
        <v>41.38</v>
      </c>
      <c r="G18" s="280"/>
      <c r="H18" s="226"/>
      <c r="I18" s="225">
        <v>38.64</v>
      </c>
      <c r="J18" s="280"/>
      <c r="K18" s="226"/>
      <c r="L18" s="234">
        <f>((F18-I18)/(I18-D18))*100</f>
        <v>19.970845481049579</v>
      </c>
      <c r="M18" s="235"/>
      <c r="N18" s="235"/>
      <c r="O18" s="275"/>
    </row>
    <row r="19" spans="1:15" x14ac:dyDescent="0.25">
      <c r="A19" s="32">
        <v>3</v>
      </c>
      <c r="B19" s="22">
        <v>16.5</v>
      </c>
      <c r="C19" s="22">
        <v>42</v>
      </c>
      <c r="D19" s="225">
        <v>24.91</v>
      </c>
      <c r="E19" s="226"/>
      <c r="F19" s="225">
        <v>39.54</v>
      </c>
      <c r="G19" s="280"/>
      <c r="H19" s="226"/>
      <c r="I19" s="225">
        <v>36.76</v>
      </c>
      <c r="J19" s="280"/>
      <c r="K19" s="226"/>
      <c r="L19" s="234">
        <f t="shared" ref="L19:L21" si="2">((F19-I19)/(I19-D19))*100</f>
        <v>23.45991561181436</v>
      </c>
      <c r="M19" s="235"/>
      <c r="N19" s="235"/>
      <c r="O19" s="275"/>
    </row>
    <row r="20" spans="1:15" x14ac:dyDescent="0.25">
      <c r="A20" s="32">
        <v>4</v>
      </c>
      <c r="B20" s="22">
        <v>18</v>
      </c>
      <c r="C20" s="22">
        <v>92</v>
      </c>
      <c r="D20" s="225">
        <v>24.9</v>
      </c>
      <c r="E20" s="226"/>
      <c r="F20" s="225">
        <v>42.67</v>
      </c>
      <c r="G20" s="280"/>
      <c r="H20" s="226"/>
      <c r="I20" s="225">
        <v>39.24</v>
      </c>
      <c r="J20" s="280"/>
      <c r="K20" s="226"/>
      <c r="L20" s="234">
        <f t="shared" si="2"/>
        <v>23.919107391910732</v>
      </c>
      <c r="M20" s="235"/>
      <c r="N20" s="235"/>
      <c r="O20" s="275"/>
    </row>
    <row r="21" spans="1:15" ht="16.5" thickBot="1" x14ac:dyDescent="0.3">
      <c r="A21" s="33">
        <v>5</v>
      </c>
      <c r="B21" s="34">
        <v>19</v>
      </c>
      <c r="C21" s="34">
        <v>10</v>
      </c>
      <c r="D21" s="227">
        <v>24.55</v>
      </c>
      <c r="E21" s="228"/>
      <c r="F21" s="227">
        <v>41.96</v>
      </c>
      <c r="G21" s="274"/>
      <c r="H21" s="228"/>
      <c r="I21" s="227">
        <v>38.61</v>
      </c>
      <c r="J21" s="274"/>
      <c r="K21" s="228"/>
      <c r="L21" s="237">
        <f t="shared" si="2"/>
        <v>23.826458036984366</v>
      </c>
      <c r="M21" s="238"/>
      <c r="N21" s="238"/>
      <c r="O21" s="276"/>
    </row>
    <row r="23" spans="1:15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spans="1:15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r="25" spans="1:15" ht="16.5" thickBot="1" x14ac:dyDescent="0.3"/>
    <row r="26" spans="1:15" ht="19.5" customHeight="1" thickBot="1" x14ac:dyDescent="0.3">
      <c r="A26" s="271" t="s">
        <v>23</v>
      </c>
      <c r="B26" s="272"/>
      <c r="C26" s="272"/>
      <c r="D26" s="272"/>
      <c r="E26" s="272"/>
      <c r="F26" s="272"/>
      <c r="G26" s="272"/>
      <c r="H26" s="272"/>
      <c r="I26" s="272"/>
      <c r="J26" s="273"/>
    </row>
    <row r="27" spans="1:15" ht="15" customHeight="1" x14ac:dyDescent="0.25">
      <c r="A27" s="243" t="s">
        <v>8</v>
      </c>
      <c r="B27" s="246" t="s">
        <v>9</v>
      </c>
      <c r="C27" s="249" t="s">
        <v>10</v>
      </c>
      <c r="D27" s="249" t="s">
        <v>161</v>
      </c>
      <c r="E27" s="249"/>
      <c r="F27" s="249" t="s">
        <v>18</v>
      </c>
      <c r="G27" s="249"/>
      <c r="H27" s="261" t="s">
        <v>22</v>
      </c>
      <c r="I27" s="262"/>
      <c r="J27" s="263"/>
      <c r="K27" s="21"/>
      <c r="L27" s="21"/>
    </row>
    <row r="28" spans="1:15" x14ac:dyDescent="0.25">
      <c r="A28" s="244"/>
      <c r="B28" s="247"/>
      <c r="C28" s="250"/>
      <c r="D28" s="250"/>
      <c r="E28" s="250"/>
      <c r="F28" s="250"/>
      <c r="G28" s="250"/>
      <c r="H28" s="264"/>
      <c r="I28" s="265"/>
      <c r="J28" s="266"/>
      <c r="K28" s="21"/>
      <c r="L28" s="21"/>
    </row>
    <row r="29" spans="1:15" x14ac:dyDescent="0.25">
      <c r="A29" s="244"/>
      <c r="B29" s="247"/>
      <c r="C29" s="250"/>
      <c r="D29" s="250"/>
      <c r="E29" s="250"/>
      <c r="F29" s="36" t="s">
        <v>19</v>
      </c>
      <c r="G29" s="36" t="s">
        <v>164</v>
      </c>
      <c r="H29" s="264"/>
      <c r="I29" s="265"/>
      <c r="J29" s="266"/>
      <c r="K29" s="21"/>
      <c r="L29" s="21"/>
    </row>
    <row r="30" spans="1:15" ht="16.5" thickBot="1" x14ac:dyDescent="0.3">
      <c r="A30" s="245"/>
      <c r="B30" s="248"/>
      <c r="C30" s="251"/>
      <c r="D30" s="251"/>
      <c r="E30" s="251"/>
      <c r="F30" s="35" t="s">
        <v>20</v>
      </c>
      <c r="G30" s="35" t="s">
        <v>21</v>
      </c>
      <c r="H30" s="267"/>
      <c r="I30" s="268"/>
      <c r="J30" s="269"/>
      <c r="K30" s="21"/>
      <c r="L30" s="21"/>
    </row>
    <row r="31" spans="1:15" x14ac:dyDescent="0.25">
      <c r="A31" s="30">
        <v>1</v>
      </c>
      <c r="B31" s="31">
        <v>13</v>
      </c>
      <c r="C31" s="31">
        <v>73</v>
      </c>
      <c r="D31" s="232">
        <v>24.74</v>
      </c>
      <c r="E31" s="233"/>
      <c r="F31" s="31">
        <v>72.23</v>
      </c>
      <c r="G31" s="31">
        <v>61.03</v>
      </c>
      <c r="H31" s="240">
        <f>((F31-G31)/(G31-D31))*100</f>
        <v>30.862496555524942</v>
      </c>
      <c r="I31" s="241"/>
      <c r="J31" s="270"/>
      <c r="K31" s="23"/>
      <c r="L31" s="23"/>
    </row>
    <row r="32" spans="1:15" x14ac:dyDescent="0.25">
      <c r="A32" s="32">
        <v>2</v>
      </c>
      <c r="B32" s="22">
        <v>15</v>
      </c>
      <c r="C32" s="22">
        <v>100</v>
      </c>
      <c r="D32" s="225">
        <v>24.9</v>
      </c>
      <c r="E32" s="226"/>
      <c r="F32" s="22">
        <v>65.95</v>
      </c>
      <c r="G32" s="22">
        <v>56.17</v>
      </c>
      <c r="H32" s="234">
        <f t="shared" ref="H32:H35" si="3">((F32-G32)/(G32-D32))*100</f>
        <v>31.275983370642791</v>
      </c>
      <c r="I32" s="235"/>
      <c r="J32" s="275"/>
      <c r="K32" s="23"/>
      <c r="L32" s="23"/>
    </row>
    <row r="33" spans="1:17" x14ac:dyDescent="0.25">
      <c r="A33" s="32">
        <v>3</v>
      </c>
      <c r="B33" s="22">
        <v>16.5</v>
      </c>
      <c r="C33" s="22">
        <v>45</v>
      </c>
      <c r="D33" s="225">
        <v>24.45</v>
      </c>
      <c r="E33" s="226"/>
      <c r="F33" s="22">
        <v>68.489999999999995</v>
      </c>
      <c r="G33" s="22">
        <v>57.24</v>
      </c>
      <c r="H33" s="234">
        <f t="shared" si="3"/>
        <v>34.309240622140869</v>
      </c>
      <c r="I33" s="235"/>
      <c r="J33" s="275"/>
      <c r="K33" s="23"/>
      <c r="L33" s="23"/>
    </row>
    <row r="34" spans="1:17" x14ac:dyDescent="0.25">
      <c r="A34" s="32">
        <v>4</v>
      </c>
      <c r="B34" s="22">
        <v>18</v>
      </c>
      <c r="C34" s="22">
        <v>7</v>
      </c>
      <c r="D34" s="225">
        <v>24.86</v>
      </c>
      <c r="E34" s="226"/>
      <c r="F34" s="22">
        <v>77.17</v>
      </c>
      <c r="G34" s="22">
        <v>63.84</v>
      </c>
      <c r="H34" s="234">
        <f t="shared" si="3"/>
        <v>34.197024114930727</v>
      </c>
      <c r="I34" s="235"/>
      <c r="J34" s="275"/>
      <c r="K34" s="23"/>
      <c r="L34" s="23"/>
    </row>
    <row r="35" spans="1:17" ht="16.5" thickBot="1" x14ac:dyDescent="0.3">
      <c r="A35" s="33">
        <v>5</v>
      </c>
      <c r="B35" s="34">
        <v>19</v>
      </c>
      <c r="C35" s="34">
        <v>91</v>
      </c>
      <c r="D35" s="227">
        <v>24.66</v>
      </c>
      <c r="E35" s="228"/>
      <c r="F35" s="34">
        <v>68.739999999999995</v>
      </c>
      <c r="G35" s="34">
        <v>58.1</v>
      </c>
      <c r="H35" s="237">
        <f t="shared" si="3"/>
        <v>31.818181818181802</v>
      </c>
      <c r="I35" s="238"/>
      <c r="J35" s="276"/>
      <c r="K35" s="23"/>
      <c r="L35" s="23"/>
    </row>
    <row r="37" spans="1:17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39" spans="1:17" ht="16.5" thickBot="1" x14ac:dyDescent="0.3"/>
    <row r="40" spans="1:17" ht="16.5" thickBot="1" x14ac:dyDescent="0.3">
      <c r="A40" s="255" t="s">
        <v>64</v>
      </c>
      <c r="B40" s="256"/>
      <c r="C40" s="256"/>
      <c r="D40" s="256"/>
      <c r="E40" s="256"/>
      <c r="F40" s="256"/>
      <c r="G40" s="256"/>
      <c r="H40" s="256"/>
      <c r="I40" s="256"/>
      <c r="J40" s="256"/>
      <c r="K40" s="256"/>
      <c r="L40" s="256"/>
      <c r="M40" s="256"/>
      <c r="N40" s="256"/>
      <c r="O40" s="256"/>
      <c r="P40" s="256"/>
      <c r="Q40" s="257"/>
    </row>
    <row r="41" spans="1:17" ht="15" customHeight="1" x14ac:dyDescent="0.25">
      <c r="A41" s="243" t="s">
        <v>8</v>
      </c>
      <c r="B41" s="246" t="s">
        <v>9</v>
      </c>
      <c r="C41" s="249" t="s">
        <v>65</v>
      </c>
      <c r="D41" s="252" t="s">
        <v>68</v>
      </c>
      <c r="E41" s="252"/>
      <c r="F41" s="252" t="s">
        <v>69</v>
      </c>
      <c r="G41" s="252"/>
      <c r="H41" s="252" t="s">
        <v>70</v>
      </c>
      <c r="I41" s="252"/>
      <c r="J41" s="249" t="s">
        <v>63</v>
      </c>
      <c r="K41" s="249"/>
      <c r="L41" s="252" t="s">
        <v>67</v>
      </c>
      <c r="M41" s="252"/>
      <c r="N41" s="252"/>
      <c r="O41" s="252" t="s">
        <v>66</v>
      </c>
      <c r="P41" s="252"/>
      <c r="Q41" s="258"/>
    </row>
    <row r="42" spans="1:17" ht="18" customHeight="1" x14ac:dyDescent="0.25">
      <c r="A42" s="244"/>
      <c r="B42" s="247"/>
      <c r="C42" s="250"/>
      <c r="D42" s="253"/>
      <c r="E42" s="253"/>
      <c r="F42" s="253"/>
      <c r="G42" s="253"/>
      <c r="H42" s="253"/>
      <c r="I42" s="253"/>
      <c r="J42" s="250"/>
      <c r="K42" s="250"/>
      <c r="L42" s="253"/>
      <c r="M42" s="253"/>
      <c r="N42" s="253"/>
      <c r="O42" s="253"/>
      <c r="P42" s="253"/>
      <c r="Q42" s="259"/>
    </row>
    <row r="43" spans="1:17" x14ac:dyDescent="0.25">
      <c r="A43" s="244"/>
      <c r="B43" s="247"/>
      <c r="C43" s="250"/>
      <c r="D43" s="253"/>
      <c r="E43" s="253"/>
      <c r="F43" s="253"/>
      <c r="G43" s="253"/>
      <c r="H43" s="253"/>
      <c r="I43" s="253"/>
      <c r="J43" s="250"/>
      <c r="K43" s="250"/>
      <c r="L43" s="253"/>
      <c r="M43" s="253"/>
      <c r="N43" s="253"/>
      <c r="O43" s="253"/>
      <c r="P43" s="253"/>
      <c r="Q43" s="259"/>
    </row>
    <row r="44" spans="1:17" ht="16.5" thickBot="1" x14ac:dyDescent="0.3">
      <c r="A44" s="245"/>
      <c r="B44" s="248"/>
      <c r="C44" s="251"/>
      <c r="D44" s="254"/>
      <c r="E44" s="254"/>
      <c r="F44" s="254"/>
      <c r="G44" s="254"/>
      <c r="H44" s="254"/>
      <c r="I44" s="254"/>
      <c r="J44" s="251"/>
      <c r="K44" s="251"/>
      <c r="L44" s="254"/>
      <c r="M44" s="254"/>
      <c r="N44" s="254"/>
      <c r="O44" s="254"/>
      <c r="P44" s="254"/>
      <c r="Q44" s="260"/>
    </row>
    <row r="45" spans="1:17" x14ac:dyDescent="0.25">
      <c r="A45" s="30">
        <v>1</v>
      </c>
      <c r="B45" s="31">
        <v>13</v>
      </c>
      <c r="C45" s="31">
        <v>9.1999999999999993</v>
      </c>
      <c r="D45" s="232">
        <v>22.1</v>
      </c>
      <c r="E45" s="233"/>
      <c r="F45" s="232">
        <v>30.9</v>
      </c>
      <c r="G45" s="233"/>
      <c r="H45" s="232">
        <f>F45-D45</f>
        <v>8.7999999999999972</v>
      </c>
      <c r="I45" s="233"/>
      <c r="J45" s="229" t="s">
        <v>211</v>
      </c>
      <c r="K45" s="229"/>
      <c r="L45" s="240">
        <f>((C45-D45))/H45</f>
        <v>-1.4659090909090917</v>
      </c>
      <c r="M45" s="241"/>
      <c r="N45" s="242"/>
      <c r="O45" s="219" t="s">
        <v>165</v>
      </c>
      <c r="P45" s="219"/>
      <c r="Q45" s="220"/>
    </row>
    <row r="46" spans="1:17" x14ac:dyDescent="0.25">
      <c r="A46" s="32">
        <v>2</v>
      </c>
      <c r="B46" s="22">
        <v>15</v>
      </c>
      <c r="C46" s="22">
        <v>8.1999999999999993</v>
      </c>
      <c r="D46" s="225">
        <v>20</v>
      </c>
      <c r="E46" s="226"/>
      <c r="F46" s="225">
        <v>31.3</v>
      </c>
      <c r="G46" s="226"/>
      <c r="H46" s="225">
        <f t="shared" ref="H46:H49" si="4">F46-D46</f>
        <v>11.3</v>
      </c>
      <c r="I46" s="226"/>
      <c r="J46" s="230" t="s">
        <v>211</v>
      </c>
      <c r="K46" s="230"/>
      <c r="L46" s="234">
        <f t="shared" ref="L46:L49" si="5">((C46-D46))/H46</f>
        <v>-1.0442477876106195</v>
      </c>
      <c r="M46" s="235"/>
      <c r="N46" s="236"/>
      <c r="O46" s="221" t="s">
        <v>165</v>
      </c>
      <c r="P46" s="221"/>
      <c r="Q46" s="222"/>
    </row>
    <row r="47" spans="1:17" x14ac:dyDescent="0.25">
      <c r="A47" s="32">
        <v>3</v>
      </c>
      <c r="B47" s="22">
        <v>16.5</v>
      </c>
      <c r="C47" s="22">
        <v>3.4</v>
      </c>
      <c r="D47" s="225">
        <v>23.5</v>
      </c>
      <c r="E47" s="226"/>
      <c r="F47" s="225">
        <v>34.299999999999997</v>
      </c>
      <c r="G47" s="226"/>
      <c r="H47" s="225">
        <f t="shared" si="4"/>
        <v>10.799999999999997</v>
      </c>
      <c r="I47" s="226"/>
      <c r="J47" s="230" t="s">
        <v>211</v>
      </c>
      <c r="K47" s="230"/>
      <c r="L47" s="234">
        <f t="shared" si="5"/>
        <v>-1.8611111111111118</v>
      </c>
      <c r="M47" s="235"/>
      <c r="N47" s="236"/>
      <c r="O47" s="221" t="s">
        <v>165</v>
      </c>
      <c r="P47" s="221"/>
      <c r="Q47" s="222"/>
    </row>
    <row r="48" spans="1:17" ht="15" customHeight="1" x14ac:dyDescent="0.25">
      <c r="A48" s="32">
        <v>4</v>
      </c>
      <c r="B48" s="22">
        <v>18</v>
      </c>
      <c r="C48" s="22">
        <v>5.8</v>
      </c>
      <c r="D48" s="225">
        <v>23.9</v>
      </c>
      <c r="E48" s="226"/>
      <c r="F48" s="225">
        <v>34.200000000000003</v>
      </c>
      <c r="G48" s="226"/>
      <c r="H48" s="225">
        <f t="shared" si="4"/>
        <v>10.300000000000004</v>
      </c>
      <c r="I48" s="226"/>
      <c r="J48" s="230" t="s">
        <v>211</v>
      </c>
      <c r="K48" s="230"/>
      <c r="L48" s="234">
        <f t="shared" si="5"/>
        <v>-1.7572815533980572</v>
      </c>
      <c r="M48" s="235"/>
      <c r="N48" s="236"/>
      <c r="O48" s="221" t="s">
        <v>165</v>
      </c>
      <c r="P48" s="221"/>
      <c r="Q48" s="222"/>
    </row>
    <row r="49" spans="1:17" ht="16.5" thickBot="1" x14ac:dyDescent="0.3">
      <c r="A49" s="33">
        <v>5</v>
      </c>
      <c r="B49" s="34">
        <v>19</v>
      </c>
      <c r="C49" s="34">
        <v>7.3</v>
      </c>
      <c r="D49" s="227">
        <v>23.8</v>
      </c>
      <c r="E49" s="228"/>
      <c r="F49" s="227">
        <v>31.8</v>
      </c>
      <c r="G49" s="228"/>
      <c r="H49" s="227">
        <f t="shared" si="4"/>
        <v>8</v>
      </c>
      <c r="I49" s="228"/>
      <c r="J49" s="231" t="s">
        <v>211</v>
      </c>
      <c r="K49" s="231"/>
      <c r="L49" s="237">
        <f t="shared" si="5"/>
        <v>-2.0625</v>
      </c>
      <c r="M49" s="238"/>
      <c r="N49" s="239"/>
      <c r="O49" s="223" t="s">
        <v>165</v>
      </c>
      <c r="P49" s="223"/>
      <c r="Q49" s="224"/>
    </row>
    <row r="51" spans="1:17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6.5" thickBot="1" x14ac:dyDescent="0.3"/>
    <row r="54" spans="1:17" ht="15" customHeight="1" x14ac:dyDescent="0.25">
      <c r="A54" s="243" t="s">
        <v>8</v>
      </c>
      <c r="B54" s="246" t="s">
        <v>9</v>
      </c>
      <c r="C54" s="289" t="s">
        <v>10</v>
      </c>
      <c r="D54" s="249" t="s">
        <v>11</v>
      </c>
      <c r="E54" s="249"/>
      <c r="F54" s="249"/>
      <c r="G54" s="249"/>
      <c r="H54" s="249"/>
      <c r="I54" s="261" t="s">
        <v>155</v>
      </c>
      <c r="J54" s="263"/>
    </row>
    <row r="55" spans="1:17" x14ac:dyDescent="0.25">
      <c r="A55" s="244"/>
      <c r="B55" s="247"/>
      <c r="C55" s="290"/>
      <c r="D55" s="292" t="s">
        <v>12</v>
      </c>
      <c r="E55" s="294" t="s">
        <v>13</v>
      </c>
      <c r="F55" s="24" t="s">
        <v>14</v>
      </c>
      <c r="G55" s="24"/>
      <c r="H55" s="24"/>
      <c r="I55" s="264"/>
      <c r="J55" s="266"/>
    </row>
    <row r="56" spans="1:17" x14ac:dyDescent="0.25">
      <c r="A56" s="244"/>
      <c r="B56" s="247"/>
      <c r="C56" s="290"/>
      <c r="D56" s="293"/>
      <c r="E56" s="295"/>
      <c r="F56" s="36">
        <v>1</v>
      </c>
      <c r="G56" s="36">
        <v>2</v>
      </c>
      <c r="H56" s="36"/>
      <c r="I56" s="264"/>
      <c r="J56" s="266"/>
    </row>
    <row r="57" spans="1:17" ht="18" thickBot="1" x14ac:dyDescent="0.35">
      <c r="A57" s="245"/>
      <c r="B57" s="248"/>
      <c r="C57" s="291"/>
      <c r="D57" s="40" t="s">
        <v>157</v>
      </c>
      <c r="E57" s="40" t="s">
        <v>158</v>
      </c>
      <c r="F57" s="40" t="s">
        <v>159</v>
      </c>
      <c r="G57" s="40" t="s">
        <v>160</v>
      </c>
      <c r="H57" s="40"/>
      <c r="I57" s="267"/>
      <c r="J57" s="269"/>
    </row>
    <row r="58" spans="1:17" x14ac:dyDescent="0.25">
      <c r="A58" s="30">
        <v>1</v>
      </c>
      <c r="B58" s="31">
        <v>13</v>
      </c>
      <c r="C58" s="31">
        <v>54</v>
      </c>
      <c r="D58" s="31">
        <v>24.63</v>
      </c>
      <c r="E58" s="31">
        <v>54.27</v>
      </c>
      <c r="F58" s="31">
        <v>46.24</v>
      </c>
      <c r="G58" s="31"/>
      <c r="H58" s="31"/>
      <c r="I58" s="240">
        <f>((E58-F58)/(F58-D58))*100</f>
        <v>37.158722813512263</v>
      </c>
      <c r="J58" s="270"/>
    </row>
    <row r="59" spans="1:17" x14ac:dyDescent="0.25">
      <c r="A59" s="32">
        <v>2</v>
      </c>
      <c r="B59" s="22">
        <v>15</v>
      </c>
      <c r="C59" s="22">
        <v>48</v>
      </c>
      <c r="D59" s="22">
        <v>25.2</v>
      </c>
      <c r="E59" s="22">
        <v>52.16</v>
      </c>
      <c r="F59" s="22">
        <v>45.26</v>
      </c>
      <c r="G59" s="22"/>
      <c r="H59" s="22"/>
      <c r="I59" s="234">
        <f t="shared" ref="I59:I62" si="6">((E59-F59)/(F59-D59))*100</f>
        <v>34.396809571286134</v>
      </c>
      <c r="J59" s="275"/>
    </row>
    <row r="60" spans="1:17" x14ac:dyDescent="0.25">
      <c r="A60" s="32">
        <v>3</v>
      </c>
      <c r="B60" s="22">
        <v>16.5</v>
      </c>
      <c r="C60" s="22">
        <v>1</v>
      </c>
      <c r="D60" s="22">
        <v>24.76</v>
      </c>
      <c r="E60" s="22">
        <v>53.67</v>
      </c>
      <c r="F60" s="22">
        <v>46.51</v>
      </c>
      <c r="G60" s="22"/>
      <c r="H60" s="22"/>
      <c r="I60" s="234">
        <f t="shared" si="6"/>
        <v>32.919540229885079</v>
      </c>
      <c r="J60" s="275"/>
    </row>
    <row r="61" spans="1:17" x14ac:dyDescent="0.25">
      <c r="A61" s="32">
        <v>4</v>
      </c>
      <c r="B61" s="22">
        <v>18</v>
      </c>
      <c r="C61" s="22">
        <v>17</v>
      </c>
      <c r="D61" s="22">
        <v>25.16</v>
      </c>
      <c r="E61" s="22">
        <v>51.43</v>
      </c>
      <c r="F61" s="22">
        <v>44.65</v>
      </c>
      <c r="G61" s="22"/>
      <c r="H61" s="22"/>
      <c r="I61" s="234">
        <f t="shared" si="6"/>
        <v>34.787070292457678</v>
      </c>
      <c r="J61" s="275"/>
    </row>
    <row r="62" spans="1:17" ht="16.5" thickBot="1" x14ac:dyDescent="0.3">
      <c r="A62" s="33">
        <v>5</v>
      </c>
      <c r="B62" s="34">
        <v>19</v>
      </c>
      <c r="C62" s="34">
        <v>75</v>
      </c>
      <c r="D62" s="34">
        <v>25.12</v>
      </c>
      <c r="E62" s="34">
        <v>52.47</v>
      </c>
      <c r="F62" s="34">
        <v>45.28</v>
      </c>
      <c r="G62" s="34"/>
      <c r="H62" s="34"/>
      <c r="I62" s="237">
        <f t="shared" si="6"/>
        <v>35.664682539682531</v>
      </c>
      <c r="J62" s="276"/>
    </row>
  </sheetData>
  <mergeCells count="110">
    <mergeCell ref="I54:J57"/>
    <mergeCell ref="I58:J58"/>
    <mergeCell ref="I59:J59"/>
    <mergeCell ref="I60:J60"/>
    <mergeCell ref="I61:J61"/>
    <mergeCell ref="I62:J62"/>
    <mergeCell ref="A54:A57"/>
    <mergeCell ref="B54:B57"/>
    <mergeCell ref="C54:C57"/>
    <mergeCell ref="D54:H54"/>
    <mergeCell ref="D55:D56"/>
    <mergeCell ref="E55:E56"/>
    <mergeCell ref="A1:A4"/>
    <mergeCell ref="B1:B4"/>
    <mergeCell ref="D1:H1"/>
    <mergeCell ref="I9:J9"/>
    <mergeCell ref="A13:A16"/>
    <mergeCell ref="B13:B16"/>
    <mergeCell ref="C13:C16"/>
    <mergeCell ref="D13:E16"/>
    <mergeCell ref="F13:H16"/>
    <mergeCell ref="I13:K16"/>
    <mergeCell ref="A12:O12"/>
    <mergeCell ref="L13:O16"/>
    <mergeCell ref="I5:J5"/>
    <mergeCell ref="I6:J6"/>
    <mergeCell ref="I7:J7"/>
    <mergeCell ref="I8:J8"/>
    <mergeCell ref="D2:D3"/>
    <mergeCell ref="E2:E3"/>
    <mergeCell ref="I1:J4"/>
    <mergeCell ref="K1:K4"/>
    <mergeCell ref="C1:C4"/>
    <mergeCell ref="L21:O21"/>
    <mergeCell ref="I17:K17"/>
    <mergeCell ref="I18:K18"/>
    <mergeCell ref="A27:A30"/>
    <mergeCell ref="B27:B30"/>
    <mergeCell ref="C27:C30"/>
    <mergeCell ref="D17:E17"/>
    <mergeCell ref="D18:E18"/>
    <mergeCell ref="D19:E19"/>
    <mergeCell ref="D20:E20"/>
    <mergeCell ref="D21:E21"/>
    <mergeCell ref="F27:G28"/>
    <mergeCell ref="F17:H17"/>
    <mergeCell ref="F18:H18"/>
    <mergeCell ref="F19:H19"/>
    <mergeCell ref="F20:H20"/>
    <mergeCell ref="L17:O17"/>
    <mergeCell ref="L18:O18"/>
    <mergeCell ref="L19:O19"/>
    <mergeCell ref="L20:O20"/>
    <mergeCell ref="I19:K19"/>
    <mergeCell ref="I20:K20"/>
    <mergeCell ref="I21:K21"/>
    <mergeCell ref="D27:E30"/>
    <mergeCell ref="D31:E31"/>
    <mergeCell ref="H27:J30"/>
    <mergeCell ref="H31:J31"/>
    <mergeCell ref="A26:J26"/>
    <mergeCell ref="F21:H21"/>
    <mergeCell ref="H32:J32"/>
    <mergeCell ref="H33:J33"/>
    <mergeCell ref="H34:J34"/>
    <mergeCell ref="H35:J35"/>
    <mergeCell ref="A41:A44"/>
    <mergeCell ref="B41:B44"/>
    <mergeCell ref="C41:C44"/>
    <mergeCell ref="D41:E44"/>
    <mergeCell ref="F41:G44"/>
    <mergeCell ref="H41:I44"/>
    <mergeCell ref="J41:K44"/>
    <mergeCell ref="D32:E32"/>
    <mergeCell ref="D33:E33"/>
    <mergeCell ref="D34:E34"/>
    <mergeCell ref="D35:E35"/>
    <mergeCell ref="A40:Q40"/>
    <mergeCell ref="O41:Q44"/>
    <mergeCell ref="L41:N44"/>
    <mergeCell ref="D48:E48"/>
    <mergeCell ref="D49:E49"/>
    <mergeCell ref="F45:G45"/>
    <mergeCell ref="F46:G46"/>
    <mergeCell ref="F47:G47"/>
    <mergeCell ref="F48:G48"/>
    <mergeCell ref="F49:G49"/>
    <mergeCell ref="L48:N48"/>
    <mergeCell ref="L49:N49"/>
    <mergeCell ref="D45:E45"/>
    <mergeCell ref="D46:E46"/>
    <mergeCell ref="D47:E47"/>
    <mergeCell ref="H45:I45"/>
    <mergeCell ref="H46:I46"/>
    <mergeCell ref="H47:I47"/>
    <mergeCell ref="L45:N45"/>
    <mergeCell ref="L46:N46"/>
    <mergeCell ref="L47:N47"/>
    <mergeCell ref="O45:Q45"/>
    <mergeCell ref="O46:Q46"/>
    <mergeCell ref="O47:Q47"/>
    <mergeCell ref="O48:Q48"/>
    <mergeCell ref="O49:Q49"/>
    <mergeCell ref="H48:I48"/>
    <mergeCell ref="H49:I49"/>
    <mergeCell ref="J45:K45"/>
    <mergeCell ref="J46:K46"/>
    <mergeCell ref="J47:K47"/>
    <mergeCell ref="J48:K48"/>
    <mergeCell ref="J49:K4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28" zoomScale="51" zoomScaleNormal="51" workbookViewId="0">
      <selection activeCell="G29" sqref="F29:G67"/>
    </sheetView>
  </sheetViews>
  <sheetFormatPr defaultColWidth="9.140625" defaultRowHeight="15.75" x14ac:dyDescent="0.25"/>
  <cols>
    <col min="1" max="1" width="29.7109375" style="17" customWidth="1"/>
    <col min="2" max="2" width="24.42578125" style="17" customWidth="1"/>
    <col min="3" max="3" width="13.42578125" style="17" customWidth="1"/>
    <col min="4" max="4" width="18.140625" style="17" customWidth="1"/>
    <col min="5" max="5" width="58.28515625" style="17" customWidth="1"/>
    <col min="6" max="6" width="22.28515625" style="17" customWidth="1"/>
    <col min="7" max="7" width="18.42578125" style="17" customWidth="1"/>
    <col min="8" max="8" width="15" style="17" customWidth="1"/>
    <col min="9" max="9" width="15.5703125" style="17" customWidth="1"/>
    <col min="10" max="10" width="12.140625" style="17" customWidth="1"/>
    <col min="11" max="11" width="13.28515625" style="17" customWidth="1"/>
    <col min="12" max="12" width="16.140625" style="17" customWidth="1"/>
    <col min="13" max="13" width="15.140625" style="17" customWidth="1"/>
    <col min="14" max="16384" width="9.140625" style="17"/>
  </cols>
  <sheetData>
    <row r="1" spans="1:13" ht="19.5" thickBot="1" x14ac:dyDescent="0.3">
      <c r="A1" s="284" t="s">
        <v>186</v>
      </c>
      <c r="B1" s="285"/>
      <c r="C1" s="285"/>
      <c r="D1" s="285"/>
      <c r="E1" s="285"/>
      <c r="F1" s="285"/>
      <c r="G1" s="285"/>
      <c r="H1" s="285"/>
      <c r="I1" s="286"/>
    </row>
    <row r="2" spans="1:13" s="14" customFormat="1" ht="21" customHeight="1" x14ac:dyDescent="0.25">
      <c r="A2" s="296" t="s">
        <v>8</v>
      </c>
      <c r="B2" s="249" t="s">
        <v>24</v>
      </c>
      <c r="C2" s="249" t="s">
        <v>25</v>
      </c>
      <c r="D2" s="249"/>
      <c r="E2" s="249"/>
      <c r="F2" s="249"/>
      <c r="G2" s="249"/>
      <c r="H2" s="249" t="s">
        <v>166</v>
      </c>
      <c r="I2" s="299"/>
    </row>
    <row r="3" spans="1:13" x14ac:dyDescent="0.25">
      <c r="A3" s="297"/>
      <c r="B3" s="250"/>
      <c r="C3" s="253" t="s">
        <v>167</v>
      </c>
      <c r="D3" s="253" t="s">
        <v>26</v>
      </c>
      <c r="E3" s="250" t="s">
        <v>169</v>
      </c>
      <c r="F3" s="253" t="s">
        <v>27</v>
      </c>
      <c r="G3" s="253" t="s">
        <v>28</v>
      </c>
      <c r="H3" s="24" t="s">
        <v>29</v>
      </c>
      <c r="I3" s="44" t="s">
        <v>30</v>
      </c>
    </row>
    <row r="4" spans="1:13" ht="38.25" customHeight="1" thickBot="1" x14ac:dyDescent="0.3">
      <c r="A4" s="298"/>
      <c r="B4" s="251"/>
      <c r="C4" s="254"/>
      <c r="D4" s="254"/>
      <c r="E4" s="251"/>
      <c r="F4" s="254"/>
      <c r="G4" s="254"/>
      <c r="H4" s="251" t="s">
        <v>168</v>
      </c>
      <c r="I4" s="300"/>
    </row>
    <row r="5" spans="1:13" s="14" customFormat="1" x14ac:dyDescent="0.25">
      <c r="A5" s="45">
        <v>1</v>
      </c>
      <c r="B5" s="46">
        <v>86</v>
      </c>
      <c r="C5" s="46">
        <v>40.229999999999997</v>
      </c>
      <c r="D5" s="46">
        <v>55.23</v>
      </c>
      <c r="E5" s="47">
        <f>D5-C5</f>
        <v>15</v>
      </c>
      <c r="F5" s="46">
        <v>128.4</v>
      </c>
      <c r="G5" s="46">
        <v>117.71</v>
      </c>
      <c r="H5" s="48">
        <f>(0.78*E5)/(E5+G5-F5)</f>
        <v>2.7146171693735668</v>
      </c>
      <c r="I5" s="49"/>
    </row>
    <row r="6" spans="1:13" s="14" customFormat="1" x14ac:dyDescent="0.25">
      <c r="A6" s="50">
        <v>2</v>
      </c>
      <c r="B6" s="13">
        <v>6</v>
      </c>
      <c r="C6" s="13">
        <v>31.73</v>
      </c>
      <c r="D6" s="13">
        <v>46.73</v>
      </c>
      <c r="E6" s="19">
        <f>D6-C6</f>
        <v>14.999999999999996</v>
      </c>
      <c r="F6" s="13">
        <v>120.45</v>
      </c>
      <c r="G6" s="13">
        <v>109.78</v>
      </c>
      <c r="H6" s="41">
        <f t="shared" ref="H6:H8" si="0">(0.78*E6)/(E6+G6-F6)</f>
        <v>2.7020785219399541</v>
      </c>
      <c r="I6" s="51"/>
    </row>
    <row r="7" spans="1:13" s="14" customFormat="1" x14ac:dyDescent="0.25">
      <c r="A7" s="50">
        <v>3</v>
      </c>
      <c r="B7" s="13">
        <v>2</v>
      </c>
      <c r="C7" s="13">
        <v>15.71</v>
      </c>
      <c r="D7" s="13">
        <v>30.71</v>
      </c>
      <c r="E7" s="19">
        <f t="shared" ref="E7:E9" si="1">D7-C7</f>
        <v>15</v>
      </c>
      <c r="F7" s="13">
        <v>73.260000000000005</v>
      </c>
      <c r="G7" s="13">
        <v>62.61</v>
      </c>
      <c r="H7" s="41">
        <f t="shared" si="0"/>
        <v>2.6896551724137967</v>
      </c>
      <c r="I7" s="51"/>
    </row>
    <row r="8" spans="1:13" s="14" customFormat="1" x14ac:dyDescent="0.25">
      <c r="A8" s="50">
        <v>4</v>
      </c>
      <c r="B8" s="13">
        <v>1</v>
      </c>
      <c r="C8" s="13">
        <v>45.24</v>
      </c>
      <c r="D8" s="13">
        <v>60.24</v>
      </c>
      <c r="E8" s="19">
        <f t="shared" si="1"/>
        <v>15</v>
      </c>
      <c r="F8" s="13">
        <v>133.28</v>
      </c>
      <c r="G8" s="13">
        <v>122.58</v>
      </c>
      <c r="H8" s="41">
        <f t="shared" si="0"/>
        <v>2.7209302325581506</v>
      </c>
      <c r="I8" s="51"/>
    </row>
    <row r="9" spans="1:13" s="14" customFormat="1" ht="18" customHeight="1" thickBot="1" x14ac:dyDescent="0.3">
      <c r="A9" s="52">
        <v>5</v>
      </c>
      <c r="B9" s="53">
        <v>24</v>
      </c>
      <c r="C9" s="53">
        <v>71.28</v>
      </c>
      <c r="D9" s="53">
        <v>86.28</v>
      </c>
      <c r="E9" s="54">
        <f t="shared" si="1"/>
        <v>15</v>
      </c>
      <c r="F9" s="53">
        <v>165.27</v>
      </c>
      <c r="G9" s="53">
        <v>154.59</v>
      </c>
      <c r="H9" s="55">
        <f>(0.78*E9)/(E9+G9-F9)</f>
        <v>2.7083333333333379</v>
      </c>
      <c r="I9" s="56"/>
    </row>
    <row r="13" spans="1:13" ht="16.5" thickBot="1" x14ac:dyDescent="0.3"/>
    <row r="14" spans="1:13" x14ac:dyDescent="0.25">
      <c r="A14" s="301" t="s">
        <v>62</v>
      </c>
      <c r="B14" s="252" t="s">
        <v>48</v>
      </c>
      <c r="C14" s="252" t="s">
        <v>49</v>
      </c>
      <c r="D14" s="252" t="s">
        <v>147</v>
      </c>
      <c r="E14" s="303" t="s">
        <v>50</v>
      </c>
      <c r="F14" s="303"/>
      <c r="G14" s="60"/>
      <c r="H14" s="60"/>
      <c r="I14" s="252" t="s">
        <v>55</v>
      </c>
      <c r="J14" s="252" t="s">
        <v>56</v>
      </c>
      <c r="K14" s="252" t="s">
        <v>148</v>
      </c>
      <c r="L14" s="249" t="s">
        <v>149</v>
      </c>
      <c r="M14" s="258" t="s">
        <v>150</v>
      </c>
    </row>
    <row r="15" spans="1:13" s="42" customFormat="1" ht="74.25" customHeight="1" thickBot="1" x14ac:dyDescent="0.3">
      <c r="A15" s="302"/>
      <c r="B15" s="254"/>
      <c r="C15" s="254"/>
      <c r="D15" s="254"/>
      <c r="E15" s="61" t="s">
        <v>51</v>
      </c>
      <c r="F15" s="61" t="s">
        <v>52</v>
      </c>
      <c r="G15" s="61" t="s">
        <v>53</v>
      </c>
      <c r="H15" s="61" t="s">
        <v>54</v>
      </c>
      <c r="I15" s="254"/>
      <c r="J15" s="254"/>
      <c r="K15" s="254"/>
      <c r="L15" s="251"/>
      <c r="M15" s="260"/>
    </row>
    <row r="16" spans="1:13" ht="18" thickBot="1" x14ac:dyDescent="0.35">
      <c r="A16" s="64"/>
      <c r="B16" s="65" t="s">
        <v>57</v>
      </c>
      <c r="C16" s="65" t="s">
        <v>58</v>
      </c>
      <c r="D16" s="65" t="s">
        <v>59</v>
      </c>
      <c r="E16" s="65" t="s">
        <v>170</v>
      </c>
      <c r="F16" s="65" t="s">
        <v>171</v>
      </c>
      <c r="G16" s="65" t="s">
        <v>172</v>
      </c>
      <c r="H16" s="65" t="s">
        <v>60</v>
      </c>
      <c r="I16" s="65" t="s">
        <v>151</v>
      </c>
      <c r="J16" s="65" t="s">
        <v>61</v>
      </c>
      <c r="K16" s="65" t="s">
        <v>152</v>
      </c>
      <c r="L16" s="65" t="s">
        <v>153</v>
      </c>
      <c r="M16" s="66" t="s">
        <v>154</v>
      </c>
    </row>
    <row r="17" spans="1:13" s="14" customFormat="1" x14ac:dyDescent="0.25">
      <c r="A17" s="62">
        <v>1</v>
      </c>
      <c r="B17" s="18">
        <v>3.5</v>
      </c>
      <c r="C17" s="18">
        <v>7.15</v>
      </c>
      <c r="D17" s="43">
        <f>(B17*3.14*C17*C17)/4</f>
        <v>140.45906875000003</v>
      </c>
      <c r="E17" s="18">
        <v>78.91</v>
      </c>
      <c r="F17" s="18"/>
      <c r="G17" s="18">
        <v>312.91000000000003</v>
      </c>
      <c r="H17" s="43">
        <f>G17-E17</f>
        <v>234.00000000000003</v>
      </c>
      <c r="I17" s="43">
        <f>H17/D17</f>
        <v>1.6659657655604383</v>
      </c>
      <c r="J17" s="18">
        <v>9.1999999999999993</v>
      </c>
      <c r="K17" s="43">
        <f>I17/(1+(0.01*J17))</f>
        <v>1.5256096754216466</v>
      </c>
      <c r="L17" s="26">
        <f>((H5-K17)/H5)*100</f>
        <v>43.80019058916875</v>
      </c>
      <c r="M17" s="63">
        <f>((H5-K17)/K17)</f>
        <v>0.77936546490720393</v>
      </c>
    </row>
    <row r="18" spans="1:13" s="14" customFormat="1" x14ac:dyDescent="0.25">
      <c r="A18" s="50">
        <v>2</v>
      </c>
      <c r="B18" s="13">
        <v>2.5</v>
      </c>
      <c r="C18" s="13">
        <v>8.6999999999999993</v>
      </c>
      <c r="D18" s="41">
        <f t="shared" ref="D18:D21" si="2">(B18*3.14*C18*C18)/4</f>
        <v>148.54162499999998</v>
      </c>
      <c r="E18" s="13">
        <v>102.3</v>
      </c>
      <c r="F18" s="13"/>
      <c r="G18" s="13">
        <v>352.52</v>
      </c>
      <c r="H18" s="41">
        <f t="shared" ref="H18:H21" si="3">G18-E18</f>
        <v>250.21999999999997</v>
      </c>
      <c r="I18" s="41">
        <f t="shared" ref="I18:I21" si="4">H18/D18</f>
        <v>1.6845109914476835</v>
      </c>
      <c r="J18" s="13">
        <v>8.1999999999999993</v>
      </c>
      <c r="K18" s="41">
        <f t="shared" ref="K18:K21" si="5">I18/(1+(0.01*J18))</f>
        <v>1.5568493451457333</v>
      </c>
      <c r="L18" s="19">
        <f t="shared" ref="L18:L21" si="6">((H6-K18)/H6)*100</f>
        <v>42.383267824948511</v>
      </c>
      <c r="M18" s="57">
        <f t="shared" ref="M18:M21" si="7">((H6-K18)/K18)</f>
        <v>0.73560693612715522</v>
      </c>
    </row>
    <row r="19" spans="1:13" s="14" customFormat="1" x14ac:dyDescent="0.25">
      <c r="A19" s="50">
        <v>3</v>
      </c>
      <c r="B19" s="13">
        <v>3.5</v>
      </c>
      <c r="C19" s="13">
        <v>7.15</v>
      </c>
      <c r="D19" s="41">
        <f t="shared" si="2"/>
        <v>140.45906875000003</v>
      </c>
      <c r="E19" s="13">
        <v>78.62</v>
      </c>
      <c r="F19" s="13"/>
      <c r="G19" s="13">
        <v>321.47000000000003</v>
      </c>
      <c r="H19" s="41">
        <f t="shared" si="3"/>
        <v>242.85000000000002</v>
      </c>
      <c r="I19" s="41">
        <f t="shared" si="4"/>
        <v>1.7289734451553522</v>
      </c>
      <c r="J19" s="13">
        <v>3.4</v>
      </c>
      <c r="K19" s="41">
        <f t="shared" si="5"/>
        <v>1.6721213202662981</v>
      </c>
      <c r="L19" s="19">
        <f t="shared" si="6"/>
        <v>37.831386810612081</v>
      </c>
      <c r="M19" s="57">
        <f t="shared" si="7"/>
        <v>0.60852872325403307</v>
      </c>
    </row>
    <row r="20" spans="1:13" s="14" customFormat="1" x14ac:dyDescent="0.25">
      <c r="A20" s="50">
        <v>4</v>
      </c>
      <c r="B20" s="13">
        <v>2.5</v>
      </c>
      <c r="C20" s="13">
        <v>8.6999999999999993</v>
      </c>
      <c r="D20" s="41">
        <f t="shared" si="2"/>
        <v>148.54162499999998</v>
      </c>
      <c r="E20" s="13">
        <v>102.4</v>
      </c>
      <c r="F20" s="13"/>
      <c r="G20" s="13">
        <v>362.4</v>
      </c>
      <c r="H20" s="41">
        <f t="shared" si="3"/>
        <v>260</v>
      </c>
      <c r="I20" s="41">
        <f t="shared" si="4"/>
        <v>1.7503511221181269</v>
      </c>
      <c r="J20" s="13">
        <v>5.8</v>
      </c>
      <c r="K20" s="41">
        <f t="shared" si="5"/>
        <v>1.654396145669307</v>
      </c>
      <c r="L20" s="19">
        <f t="shared" si="6"/>
        <v>39.19740661215392</v>
      </c>
      <c r="M20" s="57">
        <f t="shared" si="7"/>
        <v>0.64466668982558806</v>
      </c>
    </row>
    <row r="21" spans="1:13" s="14" customFormat="1" ht="16.5" thickBot="1" x14ac:dyDescent="0.3">
      <c r="A21" s="52">
        <v>5</v>
      </c>
      <c r="B21" s="53">
        <v>3.5</v>
      </c>
      <c r="C21" s="53">
        <v>7.15</v>
      </c>
      <c r="D21" s="55">
        <f t="shared" si="2"/>
        <v>140.45906875000003</v>
      </c>
      <c r="E21" s="53">
        <v>80</v>
      </c>
      <c r="F21" s="53"/>
      <c r="G21" s="53">
        <v>345.08</v>
      </c>
      <c r="H21" s="55">
        <f t="shared" si="3"/>
        <v>265.08</v>
      </c>
      <c r="I21" s="55">
        <f t="shared" si="4"/>
        <v>1.8872401928835936</v>
      </c>
      <c r="J21" s="53">
        <v>7.3</v>
      </c>
      <c r="K21" s="55">
        <f t="shared" si="5"/>
        <v>1.7588445413640201</v>
      </c>
      <c r="L21" s="54">
        <f t="shared" si="6"/>
        <v>35.058047703482444</v>
      </c>
      <c r="M21" s="58">
        <f t="shared" si="7"/>
        <v>0.53983667665873969</v>
      </c>
    </row>
  </sheetData>
  <mergeCells count="21">
    <mergeCell ref="K14:K15"/>
    <mergeCell ref="L14:L15"/>
    <mergeCell ref="M14:M15"/>
    <mergeCell ref="J14:J15"/>
    <mergeCell ref="A14:A15"/>
    <mergeCell ref="B14:B15"/>
    <mergeCell ref="C14:C15"/>
    <mergeCell ref="D14:D15"/>
    <mergeCell ref="E14:F14"/>
    <mergeCell ref="I14:I15"/>
    <mergeCell ref="A2:A4"/>
    <mergeCell ref="B2:B4"/>
    <mergeCell ref="C3:C4"/>
    <mergeCell ref="D3:D4"/>
    <mergeCell ref="A1:I1"/>
    <mergeCell ref="E3:E4"/>
    <mergeCell ref="F3:F4"/>
    <mergeCell ref="G3:G4"/>
    <mergeCell ref="C2:G2"/>
    <mergeCell ref="H2:I2"/>
    <mergeCell ref="H4:I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topLeftCell="G2" zoomScale="64" zoomScaleNormal="64" workbookViewId="0">
      <selection activeCell="M76" sqref="M76"/>
    </sheetView>
  </sheetViews>
  <sheetFormatPr defaultColWidth="9.140625" defaultRowHeight="15.75" x14ac:dyDescent="0.25"/>
  <cols>
    <col min="1" max="1" width="16.85546875" style="17" customWidth="1"/>
    <col min="2" max="2" width="11.85546875" style="17" customWidth="1"/>
    <col min="3" max="3" width="16.140625" style="17" customWidth="1"/>
    <col min="4" max="4" width="19.85546875" style="17" customWidth="1"/>
    <col min="5" max="5" width="25.85546875" style="17" customWidth="1"/>
    <col min="6" max="6" width="28.5703125" style="17" customWidth="1"/>
    <col min="7" max="7" width="20.42578125" style="17" customWidth="1"/>
    <col min="8" max="8" width="39.5703125" style="17" customWidth="1"/>
    <col min="9" max="9" width="9.140625" style="17"/>
    <col min="10" max="10" width="18.140625" style="17" customWidth="1"/>
    <col min="11" max="11" width="22.42578125" style="17" customWidth="1"/>
    <col min="12" max="12" width="17.85546875" style="17" customWidth="1"/>
    <col min="13" max="13" width="16.140625" style="17" customWidth="1"/>
    <col min="14" max="14" width="17.5703125" style="17" customWidth="1"/>
    <col min="15" max="15" width="18.42578125" style="17" customWidth="1"/>
    <col min="16" max="16384" width="9.140625" style="17"/>
  </cols>
  <sheetData>
    <row r="1" spans="1:22" ht="16.5" thickBot="1" x14ac:dyDescent="0.3">
      <c r="A1" s="312" t="s">
        <v>105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104"/>
      <c r="Q1" s="104"/>
      <c r="R1" s="104"/>
      <c r="S1" s="104"/>
      <c r="T1" s="104"/>
    </row>
    <row r="2" spans="1:22" ht="63.75" thickBot="1" x14ac:dyDescent="0.3">
      <c r="A2" s="126" t="s">
        <v>8</v>
      </c>
      <c r="B2" s="126" t="s">
        <v>106</v>
      </c>
      <c r="C2" s="126" t="s">
        <v>107</v>
      </c>
      <c r="D2" s="126" t="s">
        <v>108</v>
      </c>
      <c r="E2" s="126" t="s">
        <v>109</v>
      </c>
      <c r="F2" s="126" t="s">
        <v>110</v>
      </c>
      <c r="G2" s="126" t="s">
        <v>111</v>
      </c>
      <c r="H2" s="126" t="s">
        <v>112</v>
      </c>
      <c r="I2" s="126" t="s">
        <v>113</v>
      </c>
      <c r="J2" s="313" t="s">
        <v>114</v>
      </c>
      <c r="K2" s="314"/>
      <c r="L2" s="315"/>
      <c r="M2" s="313" t="s">
        <v>115</v>
      </c>
      <c r="N2" s="314"/>
      <c r="O2" s="315"/>
      <c r="P2" s="104"/>
      <c r="Q2" s="104"/>
      <c r="R2" s="104"/>
      <c r="S2" s="104"/>
      <c r="T2" s="104"/>
    </row>
    <row r="3" spans="1:22" ht="16.5" thickBot="1" x14ac:dyDescent="0.3">
      <c r="A3" s="106"/>
      <c r="B3" s="106"/>
      <c r="C3" s="106"/>
      <c r="D3" s="106"/>
      <c r="E3" s="106"/>
      <c r="F3" s="106"/>
      <c r="G3" s="106"/>
      <c r="H3" s="106"/>
      <c r="I3" s="106"/>
      <c r="J3" s="106" t="s">
        <v>116</v>
      </c>
      <c r="K3" s="106" t="s">
        <v>117</v>
      </c>
      <c r="L3" s="106" t="s">
        <v>118</v>
      </c>
      <c r="M3" s="106" t="s">
        <v>116</v>
      </c>
      <c r="N3" s="106" t="s">
        <v>117</v>
      </c>
      <c r="O3" s="167" t="s">
        <v>118</v>
      </c>
      <c r="P3" s="104"/>
      <c r="Q3" s="104"/>
      <c r="R3" s="104"/>
      <c r="S3" s="104"/>
      <c r="T3" s="104"/>
    </row>
    <row r="4" spans="1:22" x14ac:dyDescent="0.25">
      <c r="A4" s="168">
        <v>1</v>
      </c>
      <c r="B4" s="169">
        <v>13</v>
      </c>
      <c r="C4" s="316">
        <v>972</v>
      </c>
      <c r="D4" s="169">
        <v>30</v>
      </c>
      <c r="E4" s="169">
        <v>1.2</v>
      </c>
      <c r="F4" s="169">
        <f>D4/(1+0.01*E4)</f>
        <v>29.644268774703558</v>
      </c>
      <c r="G4" s="170">
        <v>2.71</v>
      </c>
      <c r="H4" s="319">
        <v>-1</v>
      </c>
      <c r="I4" s="319">
        <v>-0.5</v>
      </c>
      <c r="J4" s="169">
        <v>0</v>
      </c>
      <c r="K4" s="169">
        <v>1.1000000000000001</v>
      </c>
      <c r="L4" s="169">
        <v>0.7</v>
      </c>
      <c r="M4" s="169">
        <f>(J4*100)/D4</f>
        <v>0</v>
      </c>
      <c r="N4" s="169">
        <f>(K4*100)/F4</f>
        <v>3.710666666666667</v>
      </c>
      <c r="O4" s="177">
        <f>(L4*100)/F4</f>
        <v>2.3613333333333331</v>
      </c>
      <c r="P4" s="104"/>
      <c r="Q4" s="104"/>
      <c r="R4" s="104"/>
      <c r="S4" s="104"/>
    </row>
    <row r="5" spans="1:22" x14ac:dyDescent="0.25">
      <c r="A5" s="172">
        <v>2</v>
      </c>
      <c r="B5" s="171">
        <v>15</v>
      </c>
      <c r="C5" s="317"/>
      <c r="D5" s="171">
        <v>30</v>
      </c>
      <c r="E5" s="171">
        <v>0.9</v>
      </c>
      <c r="F5" s="171">
        <f t="shared" ref="F5:F8" si="0">D5/(1+0.01*E5)</f>
        <v>29.732408325074335</v>
      </c>
      <c r="G5" s="173">
        <v>2.7</v>
      </c>
      <c r="H5" s="320"/>
      <c r="I5" s="320"/>
      <c r="J5" s="171">
        <v>0</v>
      </c>
      <c r="K5" s="171">
        <v>0.9</v>
      </c>
      <c r="L5" s="171">
        <v>0.6</v>
      </c>
      <c r="M5" s="171">
        <f t="shared" ref="M5:M8" si="1">(J5*100)/D5</f>
        <v>0</v>
      </c>
      <c r="N5" s="171">
        <f t="shared" ref="N5:N8" si="2">(K5*100)/F5</f>
        <v>3.0269999999999997</v>
      </c>
      <c r="O5" s="178">
        <f t="shared" ref="O5:O8" si="3">(L5*100)/F5</f>
        <v>2.0179999999999998</v>
      </c>
      <c r="P5" s="104"/>
      <c r="Q5" s="104"/>
      <c r="R5" s="104"/>
      <c r="S5" s="104"/>
      <c r="T5" s="104"/>
    </row>
    <row r="6" spans="1:22" x14ac:dyDescent="0.25">
      <c r="A6" s="172">
        <v>3</v>
      </c>
      <c r="B6" s="171">
        <v>16.5</v>
      </c>
      <c r="C6" s="317"/>
      <c r="D6" s="171">
        <v>30</v>
      </c>
      <c r="E6" s="171">
        <v>1.5</v>
      </c>
      <c r="F6" s="171">
        <f t="shared" si="0"/>
        <v>29.55665024630542</v>
      </c>
      <c r="G6" s="173">
        <v>2.69</v>
      </c>
      <c r="H6" s="320"/>
      <c r="I6" s="320"/>
      <c r="J6" s="171">
        <v>0</v>
      </c>
      <c r="K6" s="171">
        <v>1</v>
      </c>
      <c r="L6" s="171">
        <v>0.7</v>
      </c>
      <c r="M6" s="171">
        <f t="shared" si="1"/>
        <v>0</v>
      </c>
      <c r="N6" s="171">
        <f>(K6*100)/F6</f>
        <v>3.3833333333333333</v>
      </c>
      <c r="O6" s="178">
        <f t="shared" si="3"/>
        <v>2.3683333333333332</v>
      </c>
      <c r="P6" s="104"/>
      <c r="Q6" s="104"/>
      <c r="R6" s="104"/>
      <c r="S6" s="104"/>
      <c r="T6" s="104"/>
    </row>
    <row r="7" spans="1:22" x14ac:dyDescent="0.25">
      <c r="A7" s="172">
        <v>4</v>
      </c>
      <c r="B7" s="171">
        <v>18</v>
      </c>
      <c r="C7" s="317"/>
      <c r="D7" s="171">
        <v>30</v>
      </c>
      <c r="E7" s="171">
        <v>0.8</v>
      </c>
      <c r="F7" s="171">
        <f t="shared" si="0"/>
        <v>29.761904761904763</v>
      </c>
      <c r="G7" s="173">
        <v>2.72</v>
      </c>
      <c r="H7" s="320"/>
      <c r="I7" s="320"/>
      <c r="J7" s="171">
        <v>0</v>
      </c>
      <c r="K7" s="171">
        <v>0.4</v>
      </c>
      <c r="L7" s="171">
        <v>0.8</v>
      </c>
      <c r="M7" s="171">
        <f t="shared" si="1"/>
        <v>0</v>
      </c>
      <c r="N7" s="171">
        <f t="shared" si="2"/>
        <v>1.3439999999999999</v>
      </c>
      <c r="O7" s="178">
        <f t="shared" si="3"/>
        <v>2.6879999999999997</v>
      </c>
      <c r="P7" s="104"/>
      <c r="Q7" s="104"/>
      <c r="R7" s="104"/>
      <c r="S7" s="104"/>
      <c r="T7" s="104"/>
    </row>
    <row r="8" spans="1:22" ht="16.5" thickBot="1" x14ac:dyDescent="0.3">
      <c r="A8" s="174">
        <v>5</v>
      </c>
      <c r="B8" s="175">
        <v>19</v>
      </c>
      <c r="C8" s="318"/>
      <c r="D8" s="175">
        <v>30</v>
      </c>
      <c r="E8" s="175">
        <v>1.6</v>
      </c>
      <c r="F8" s="175">
        <f t="shared" si="0"/>
        <v>29.527559055118111</v>
      </c>
      <c r="G8" s="176">
        <v>2.71</v>
      </c>
      <c r="H8" s="321"/>
      <c r="I8" s="321"/>
      <c r="J8" s="175">
        <v>0</v>
      </c>
      <c r="K8" s="175">
        <v>0.2</v>
      </c>
      <c r="L8" s="175">
        <v>0.3</v>
      </c>
      <c r="M8" s="175">
        <f t="shared" si="1"/>
        <v>0</v>
      </c>
      <c r="N8" s="175">
        <f t="shared" si="2"/>
        <v>0.67733333333333334</v>
      </c>
      <c r="O8" s="179">
        <f t="shared" si="3"/>
        <v>1.016</v>
      </c>
      <c r="P8" s="104"/>
      <c r="Q8" s="104"/>
      <c r="R8" s="104"/>
      <c r="S8" s="104"/>
      <c r="T8" s="104"/>
    </row>
    <row r="10" spans="1:22" ht="16.5" thickBot="1" x14ac:dyDescent="0.3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</row>
    <row r="11" spans="1:22" ht="16.5" thickBot="1" x14ac:dyDescent="0.3">
      <c r="A11" s="322" t="s">
        <v>136</v>
      </c>
      <c r="B11" s="323"/>
      <c r="C11" s="323"/>
      <c r="D11" s="323"/>
      <c r="E11" s="323"/>
      <c r="F11" s="323"/>
      <c r="G11" s="323"/>
      <c r="H11" s="32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</row>
    <row r="12" spans="1:22" ht="63.75" thickBot="1" x14ac:dyDescent="0.3">
      <c r="A12" s="105" t="s">
        <v>119</v>
      </c>
      <c r="B12" s="105" t="s">
        <v>120</v>
      </c>
      <c r="C12" s="105" t="s">
        <v>121</v>
      </c>
      <c r="D12" s="105" t="s">
        <v>180</v>
      </c>
      <c r="E12" s="105" t="s">
        <v>122</v>
      </c>
      <c r="F12" s="105" t="s">
        <v>123</v>
      </c>
      <c r="G12" s="105" t="s">
        <v>124</v>
      </c>
      <c r="H12" s="105" t="s">
        <v>125</v>
      </c>
      <c r="I12" s="104"/>
      <c r="J12" s="104"/>
      <c r="K12" s="126" t="s">
        <v>8</v>
      </c>
      <c r="L12" s="126" t="s">
        <v>106</v>
      </c>
      <c r="M12" s="115">
        <v>1</v>
      </c>
      <c r="N12" s="115">
        <v>0.5</v>
      </c>
      <c r="O12" s="115">
        <v>0.25</v>
      </c>
      <c r="P12" s="115">
        <v>0.1</v>
      </c>
      <c r="Q12" s="115">
        <v>0.05</v>
      </c>
      <c r="R12" s="115">
        <v>0.01</v>
      </c>
      <c r="S12" s="115">
        <v>5.0000000000000001E-3</v>
      </c>
      <c r="T12" s="115">
        <v>2E-3</v>
      </c>
    </row>
    <row r="13" spans="1:22" x14ac:dyDescent="0.25">
      <c r="A13" s="116">
        <v>1</v>
      </c>
      <c r="B13" s="117" t="s">
        <v>104</v>
      </c>
      <c r="C13" s="117">
        <v>12</v>
      </c>
      <c r="D13" s="117">
        <v>22</v>
      </c>
      <c r="E13" s="117">
        <v>0.4</v>
      </c>
      <c r="F13" s="117">
        <v>1.5</v>
      </c>
      <c r="G13" s="117">
        <f>C13+F13+E13</f>
        <v>13.9</v>
      </c>
      <c r="H13" s="110">
        <f>(G$4*G13)/((G$4-1)*F$4)*100</f>
        <v>74.309996101364518</v>
      </c>
      <c r="I13" s="104"/>
      <c r="J13" s="104"/>
      <c r="K13" s="108">
        <v>1</v>
      </c>
      <c r="L13" s="109">
        <v>13</v>
      </c>
      <c r="M13" s="118">
        <v>100</v>
      </c>
      <c r="N13" s="109">
        <f>O13+D58</f>
        <v>100.00000000000001</v>
      </c>
      <c r="O13" s="187">
        <f>P13+E58</f>
        <v>96.300000000000011</v>
      </c>
      <c r="P13" s="187">
        <f>F58+Q13</f>
        <v>93.9</v>
      </c>
      <c r="Q13" s="109">
        <f>42.8+31.5</f>
        <v>74.3</v>
      </c>
      <c r="R13" s="109">
        <f>11.7+19.8</f>
        <v>31.5</v>
      </c>
      <c r="S13" s="109">
        <f>16.1+3.7</f>
        <v>19.8</v>
      </c>
      <c r="T13" s="130">
        <v>3.7</v>
      </c>
      <c r="V13" s="23"/>
    </row>
    <row r="14" spans="1:22" x14ac:dyDescent="0.25">
      <c r="A14" s="119">
        <v>30</v>
      </c>
      <c r="B14" s="107" t="s">
        <v>71</v>
      </c>
      <c r="C14" s="107">
        <v>4</v>
      </c>
      <c r="D14" s="107">
        <v>22</v>
      </c>
      <c r="E14" s="107">
        <v>0.4</v>
      </c>
      <c r="F14" s="117">
        <v>1.5</v>
      </c>
      <c r="G14" s="117">
        <f t="shared" ref="G14:G16" si="4">C14+F14+E14</f>
        <v>5.9</v>
      </c>
      <c r="H14" s="110">
        <f t="shared" ref="H14:H16" si="5">(G$4*G14)/((G$4-1)*F$4)*100</f>
        <v>31.541653021442496</v>
      </c>
      <c r="I14" s="104"/>
      <c r="J14" s="104"/>
      <c r="K14" s="111">
        <v>2</v>
      </c>
      <c r="L14" s="112">
        <v>15</v>
      </c>
      <c r="M14" s="107">
        <v>100</v>
      </c>
      <c r="N14" s="112">
        <f t="shared" ref="N14:N16" si="6">O14+D59</f>
        <v>100</v>
      </c>
      <c r="O14" s="188">
        <f t="shared" ref="O14:O17" si="7">P14+E59</f>
        <v>97</v>
      </c>
      <c r="P14" s="188">
        <f t="shared" ref="P14:P16" si="8">F59+Q14</f>
        <v>95</v>
      </c>
      <c r="Q14" s="112">
        <f>37.4+47.5</f>
        <v>84.9</v>
      </c>
      <c r="R14" s="112">
        <f>17.1+30.4</f>
        <v>47.5</v>
      </c>
      <c r="S14" s="112">
        <f>18.6+11.8</f>
        <v>30.400000000000002</v>
      </c>
      <c r="T14" s="131">
        <v>11.8</v>
      </c>
      <c r="V14" s="120"/>
    </row>
    <row r="15" spans="1:22" x14ac:dyDescent="0.25">
      <c r="A15" s="119" t="s">
        <v>137</v>
      </c>
      <c r="B15" s="107" t="s">
        <v>72</v>
      </c>
      <c r="C15" s="107">
        <v>2</v>
      </c>
      <c r="D15" s="107">
        <v>21</v>
      </c>
      <c r="E15" s="107">
        <v>0.2</v>
      </c>
      <c r="F15" s="117">
        <v>1.5</v>
      </c>
      <c r="G15" s="117">
        <f t="shared" si="4"/>
        <v>3.7</v>
      </c>
      <c r="H15" s="110">
        <f t="shared" si="5"/>
        <v>19.780358674463937</v>
      </c>
      <c r="I15" s="104"/>
      <c r="J15" s="104"/>
      <c r="K15" s="111">
        <v>3</v>
      </c>
      <c r="L15" s="112">
        <v>16.5</v>
      </c>
      <c r="M15" s="107">
        <v>100</v>
      </c>
      <c r="N15" s="112">
        <f t="shared" si="6"/>
        <v>100.00000000000003</v>
      </c>
      <c r="O15" s="188">
        <f t="shared" si="7"/>
        <v>96.600000000000023</v>
      </c>
      <c r="P15" s="188">
        <f t="shared" si="8"/>
        <v>94.200000000000017</v>
      </c>
      <c r="Q15" s="112">
        <f>40.4+42.5</f>
        <v>82.9</v>
      </c>
      <c r="R15" s="112">
        <f>17.2+25.3</f>
        <v>42.5</v>
      </c>
      <c r="S15" s="112">
        <f>16.1+9.2</f>
        <v>25.3</v>
      </c>
      <c r="T15" s="131">
        <v>9.1999999999999993</v>
      </c>
      <c r="V15" s="120"/>
    </row>
    <row r="16" spans="1:22" ht="16.5" thickBot="1" x14ac:dyDescent="0.3">
      <c r="A16" s="121" t="s">
        <v>138</v>
      </c>
      <c r="B16" s="122" t="s">
        <v>73</v>
      </c>
      <c r="C16" s="122">
        <v>-1</v>
      </c>
      <c r="D16" s="122">
        <v>21</v>
      </c>
      <c r="E16" s="122">
        <v>0.2</v>
      </c>
      <c r="F16" s="127">
        <v>1.5</v>
      </c>
      <c r="G16" s="127">
        <f t="shared" si="4"/>
        <v>0.7</v>
      </c>
      <c r="H16" s="128">
        <f t="shared" si="5"/>
        <v>3.742230019493177</v>
      </c>
      <c r="I16" s="104"/>
      <c r="J16" s="104"/>
      <c r="K16" s="111">
        <v>4</v>
      </c>
      <c r="L16" s="112">
        <v>18</v>
      </c>
      <c r="M16" s="107">
        <v>100</v>
      </c>
      <c r="N16" s="112">
        <f t="shared" si="6"/>
        <v>100.02027906976744</v>
      </c>
      <c r="O16" s="188">
        <f t="shared" si="7"/>
        <v>98.720279069767443</v>
      </c>
      <c r="P16" s="188">
        <f t="shared" si="8"/>
        <v>96.02027906976744</v>
      </c>
      <c r="Q16" s="112">
        <f>41.8+37.2</f>
        <v>79</v>
      </c>
      <c r="R16" s="112">
        <f>20+21.8</f>
        <v>41.8</v>
      </c>
      <c r="S16" s="112">
        <f>10.4+9.6</f>
        <v>20</v>
      </c>
      <c r="T16" s="131">
        <v>9.6</v>
      </c>
      <c r="V16" s="120"/>
    </row>
    <row r="17" spans="1:22" ht="16.5" thickBot="1" x14ac:dyDescent="0.3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25">
        <v>5</v>
      </c>
      <c r="L17" s="114">
        <v>19</v>
      </c>
      <c r="M17" s="122">
        <v>100</v>
      </c>
      <c r="N17" s="114">
        <v>100</v>
      </c>
      <c r="O17" s="189">
        <f t="shared" si="7"/>
        <v>99.420483430799209</v>
      </c>
      <c r="P17" s="189">
        <f>F62+Q17</f>
        <v>98.420483430799209</v>
      </c>
      <c r="Q17" s="114">
        <f>28.5+40.3</f>
        <v>68.8</v>
      </c>
      <c r="R17" s="114">
        <f>19.3+9.2</f>
        <v>28.5</v>
      </c>
      <c r="S17" s="114">
        <f>3.2+16.1</f>
        <v>19.3</v>
      </c>
      <c r="T17" s="132">
        <v>3.2</v>
      </c>
      <c r="U17" s="104"/>
      <c r="V17" s="120"/>
    </row>
    <row r="18" spans="1:22" x14ac:dyDescent="0.25">
      <c r="V18" s="120"/>
    </row>
    <row r="19" spans="1:22" ht="16.5" thickBot="1" x14ac:dyDescent="0.3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T19" s="104"/>
      <c r="U19" s="104"/>
      <c r="V19" s="23"/>
    </row>
    <row r="20" spans="1:22" ht="16.5" thickBot="1" x14ac:dyDescent="0.3">
      <c r="A20" s="322" t="s">
        <v>139</v>
      </c>
      <c r="B20" s="323"/>
      <c r="C20" s="323"/>
      <c r="D20" s="323"/>
      <c r="E20" s="323"/>
      <c r="F20" s="323"/>
      <c r="G20" s="323"/>
      <c r="H20" s="324"/>
      <c r="I20" s="104"/>
      <c r="J20" s="123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</row>
    <row r="21" spans="1:22" ht="63.75" thickBot="1" x14ac:dyDescent="0.3">
      <c r="A21" s="105" t="s">
        <v>119</v>
      </c>
      <c r="B21" s="105" t="s">
        <v>120</v>
      </c>
      <c r="C21" s="105" t="s">
        <v>121</v>
      </c>
      <c r="D21" s="105" t="s">
        <v>180</v>
      </c>
      <c r="E21" s="105" t="s">
        <v>122</v>
      </c>
      <c r="F21" s="105" t="s">
        <v>123</v>
      </c>
      <c r="G21" s="105" t="s">
        <v>124</v>
      </c>
      <c r="H21" s="105" t="s">
        <v>125</v>
      </c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</row>
    <row r="22" spans="1:22" x14ac:dyDescent="0.25">
      <c r="A22" s="129">
        <v>1</v>
      </c>
      <c r="B22" s="118" t="s">
        <v>104</v>
      </c>
      <c r="C22" s="118">
        <v>14</v>
      </c>
      <c r="D22" s="118">
        <v>22</v>
      </c>
      <c r="E22" s="118">
        <v>0.4</v>
      </c>
      <c r="F22" s="118">
        <v>1.5</v>
      </c>
      <c r="G22" s="118">
        <f>C22+E22+F22</f>
        <v>15.9</v>
      </c>
      <c r="H22" s="113">
        <f>(G$5*G22)/((G$5-1)*F$5)*100</f>
        <v>84.934058823529398</v>
      </c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</row>
    <row r="23" spans="1:22" x14ac:dyDescent="0.25">
      <c r="A23" s="119">
        <v>30</v>
      </c>
      <c r="B23" s="107" t="s">
        <v>71</v>
      </c>
      <c r="C23" s="107">
        <v>7</v>
      </c>
      <c r="D23" s="107">
        <v>22</v>
      </c>
      <c r="E23" s="107">
        <v>0.4</v>
      </c>
      <c r="F23" s="117">
        <v>1.5</v>
      </c>
      <c r="G23" s="117">
        <f t="shared" ref="G23:G25" si="9">C23+E23+F23</f>
        <v>8.9</v>
      </c>
      <c r="H23" s="110">
        <f t="shared" ref="H23:H25" si="10">(G$5*G23)/((G$5-1)*F$5)*100</f>
        <v>47.541705882352929</v>
      </c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23"/>
    </row>
    <row r="24" spans="1:22" x14ac:dyDescent="0.25">
      <c r="A24" s="119" t="s">
        <v>137</v>
      </c>
      <c r="B24" s="107" t="s">
        <v>72</v>
      </c>
      <c r="C24" s="107">
        <v>4</v>
      </c>
      <c r="D24" s="107">
        <v>21</v>
      </c>
      <c r="E24" s="107">
        <v>0.2</v>
      </c>
      <c r="F24" s="117">
        <v>1.5</v>
      </c>
      <c r="G24" s="117">
        <f t="shared" si="9"/>
        <v>5.7</v>
      </c>
      <c r="H24" s="110">
        <f t="shared" si="10"/>
        <v>30.448058823529404</v>
      </c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23"/>
    </row>
    <row r="25" spans="1:22" ht="16.5" thickBot="1" x14ac:dyDescent="0.3">
      <c r="A25" s="121" t="s">
        <v>138</v>
      </c>
      <c r="B25" s="122" t="s">
        <v>73</v>
      </c>
      <c r="C25" s="122">
        <v>0.5</v>
      </c>
      <c r="D25" s="122">
        <v>21</v>
      </c>
      <c r="E25" s="122">
        <v>0.2</v>
      </c>
      <c r="F25" s="127">
        <v>1.5</v>
      </c>
      <c r="G25" s="127">
        <f t="shared" si="9"/>
        <v>2.2000000000000002</v>
      </c>
      <c r="H25" s="128">
        <f t="shared" si="10"/>
        <v>11.751882352941175</v>
      </c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23"/>
    </row>
    <row r="26" spans="1:22" x14ac:dyDescent="0.25">
      <c r="K26" s="104"/>
      <c r="L26" s="104"/>
    </row>
    <row r="27" spans="1:22" x14ac:dyDescent="0.25">
      <c r="K27" s="104"/>
    </row>
    <row r="28" spans="1:22" ht="16.5" thickBot="1" x14ac:dyDescent="0.3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M28" s="104"/>
      <c r="N28" s="104"/>
      <c r="O28" s="104"/>
      <c r="P28" s="104"/>
      <c r="Q28" s="104"/>
      <c r="R28" s="104"/>
      <c r="S28" s="104"/>
      <c r="T28" s="104"/>
      <c r="U28" s="104"/>
    </row>
    <row r="29" spans="1:22" ht="16.5" thickBot="1" x14ac:dyDescent="0.3">
      <c r="A29" s="322" t="s">
        <v>140</v>
      </c>
      <c r="B29" s="323"/>
      <c r="C29" s="323"/>
      <c r="D29" s="323"/>
      <c r="E29" s="323"/>
      <c r="F29" s="323"/>
      <c r="G29" s="323"/>
      <c r="H29" s="324"/>
      <c r="I29" s="104"/>
      <c r="J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</row>
    <row r="30" spans="1:22" ht="63.75" thickBot="1" x14ac:dyDescent="0.3">
      <c r="A30" s="105" t="s">
        <v>119</v>
      </c>
      <c r="B30" s="105" t="s">
        <v>120</v>
      </c>
      <c r="C30" s="105" t="s">
        <v>121</v>
      </c>
      <c r="D30" s="105" t="s">
        <v>180</v>
      </c>
      <c r="E30" s="105" t="s">
        <v>122</v>
      </c>
      <c r="F30" s="105" t="s">
        <v>123</v>
      </c>
      <c r="G30" s="105" t="s">
        <v>124</v>
      </c>
      <c r="H30" s="105" t="s">
        <v>125</v>
      </c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</row>
    <row r="31" spans="1:22" x14ac:dyDescent="0.25">
      <c r="A31" s="129">
        <v>1</v>
      </c>
      <c r="B31" s="118" t="s">
        <v>104</v>
      </c>
      <c r="C31" s="118">
        <v>13.5</v>
      </c>
      <c r="D31" s="118">
        <v>22</v>
      </c>
      <c r="E31" s="118">
        <v>0.4</v>
      </c>
      <c r="F31" s="118">
        <v>1.5</v>
      </c>
      <c r="G31" s="118">
        <f>C31+E31+F31</f>
        <v>15.4</v>
      </c>
      <c r="H31" s="113">
        <f>(G$6*G31)/((G$6-1)*F$6)*100</f>
        <v>82.933708086785018</v>
      </c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</row>
    <row r="32" spans="1:22" x14ac:dyDescent="0.25">
      <c r="A32" s="119">
        <v>30</v>
      </c>
      <c r="B32" s="107" t="s">
        <v>71</v>
      </c>
      <c r="C32" s="107">
        <v>6</v>
      </c>
      <c r="D32" s="107">
        <v>22</v>
      </c>
      <c r="E32" s="107">
        <v>0.4</v>
      </c>
      <c r="F32" s="117">
        <v>1.5</v>
      </c>
      <c r="G32" s="117">
        <f t="shared" ref="G32:G34" si="11">C32+E32+F32</f>
        <v>7.9</v>
      </c>
      <c r="H32" s="110">
        <f t="shared" ref="H32:H34" si="12">(G$6*G32)/((G$6-1)*F$6)*100</f>
        <v>42.543915187376733</v>
      </c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</row>
    <row r="33" spans="1:15" x14ac:dyDescent="0.25">
      <c r="A33" s="119" t="s">
        <v>137</v>
      </c>
      <c r="B33" s="107" t="s">
        <v>72</v>
      </c>
      <c r="C33" s="107">
        <v>3</v>
      </c>
      <c r="D33" s="107">
        <v>21</v>
      </c>
      <c r="E33" s="107">
        <v>0.2</v>
      </c>
      <c r="F33" s="117">
        <v>1.5</v>
      </c>
      <c r="G33" s="117">
        <f t="shared" si="11"/>
        <v>4.7</v>
      </c>
      <c r="H33" s="110">
        <f t="shared" si="12"/>
        <v>25.310936883629193</v>
      </c>
      <c r="I33" s="104"/>
      <c r="J33" s="104"/>
      <c r="K33" s="104"/>
      <c r="L33" s="104"/>
      <c r="M33" s="104"/>
      <c r="N33" s="104"/>
      <c r="O33" s="104"/>
    </row>
    <row r="34" spans="1:15" ht="16.5" thickBot="1" x14ac:dyDescent="0.3">
      <c r="A34" s="121" t="s">
        <v>138</v>
      </c>
      <c r="B34" s="122" t="s">
        <v>73</v>
      </c>
      <c r="C34" s="122">
        <v>0</v>
      </c>
      <c r="D34" s="122">
        <v>21</v>
      </c>
      <c r="E34" s="122">
        <v>0.2</v>
      </c>
      <c r="F34" s="127">
        <v>1.5</v>
      </c>
      <c r="G34" s="127">
        <f t="shared" si="11"/>
        <v>1.7</v>
      </c>
      <c r="H34" s="128">
        <f t="shared" si="12"/>
        <v>9.1550197238658768</v>
      </c>
      <c r="I34" s="104"/>
      <c r="J34" s="104"/>
      <c r="K34" s="104"/>
      <c r="L34" s="104"/>
      <c r="M34" s="104"/>
      <c r="N34" s="104"/>
      <c r="O34" s="104"/>
    </row>
    <row r="35" spans="1:15" x14ac:dyDescent="0.25">
      <c r="K35" s="104"/>
      <c r="L35" s="104"/>
    </row>
    <row r="36" spans="1:15" x14ac:dyDescent="0.25">
      <c r="K36" s="104"/>
    </row>
    <row r="37" spans="1:15" ht="16.5" thickBot="1" x14ac:dyDescent="0.3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M37" s="104"/>
      <c r="N37" s="104"/>
      <c r="O37" s="104"/>
    </row>
    <row r="38" spans="1:15" ht="16.5" thickBot="1" x14ac:dyDescent="0.3">
      <c r="A38" s="322" t="s">
        <v>141</v>
      </c>
      <c r="B38" s="323"/>
      <c r="C38" s="323"/>
      <c r="D38" s="323"/>
      <c r="E38" s="323"/>
      <c r="F38" s="323"/>
      <c r="G38" s="323"/>
      <c r="H38" s="324"/>
      <c r="I38" s="104"/>
      <c r="J38" s="104"/>
      <c r="L38" s="104"/>
      <c r="M38" s="104"/>
      <c r="N38" s="104"/>
      <c r="O38" s="104"/>
    </row>
    <row r="39" spans="1:15" ht="63.75" thickBot="1" x14ac:dyDescent="0.3">
      <c r="A39" s="105" t="s">
        <v>119</v>
      </c>
      <c r="B39" s="105" t="s">
        <v>120</v>
      </c>
      <c r="C39" s="105" t="s">
        <v>121</v>
      </c>
      <c r="D39" s="105" t="s">
        <v>180</v>
      </c>
      <c r="E39" s="105" t="s">
        <v>122</v>
      </c>
      <c r="F39" s="105" t="s">
        <v>123</v>
      </c>
      <c r="G39" s="105" t="s">
        <v>124</v>
      </c>
      <c r="H39" s="105" t="s">
        <v>125</v>
      </c>
      <c r="I39" s="104"/>
      <c r="J39" s="104"/>
      <c r="K39" s="105" t="s">
        <v>8</v>
      </c>
      <c r="L39" s="105" t="s">
        <v>106</v>
      </c>
      <c r="M39" s="105" t="s">
        <v>126</v>
      </c>
      <c r="N39" s="105" t="s">
        <v>127</v>
      </c>
      <c r="O39" s="105" t="s">
        <v>128</v>
      </c>
    </row>
    <row r="40" spans="1:15" ht="16.5" thickBot="1" x14ac:dyDescent="0.3">
      <c r="A40" s="129">
        <v>1</v>
      </c>
      <c r="B40" s="118" t="s">
        <v>104</v>
      </c>
      <c r="C40" s="118">
        <v>13</v>
      </c>
      <c r="D40" s="118">
        <v>22</v>
      </c>
      <c r="E40" s="118">
        <v>0.4</v>
      </c>
      <c r="F40" s="118">
        <v>1.5</v>
      </c>
      <c r="G40" s="118">
        <f>C40+E40+F40</f>
        <v>14.9</v>
      </c>
      <c r="H40" s="113">
        <f>(G$7*G40)/((G$7-1)*F$7)*100</f>
        <v>79.170976744186049</v>
      </c>
      <c r="I40" s="104"/>
      <c r="J40" s="104"/>
      <c r="K40" s="106"/>
      <c r="L40" s="106"/>
      <c r="M40" s="106" t="s">
        <v>129</v>
      </c>
      <c r="N40" s="106" t="s">
        <v>130</v>
      </c>
      <c r="O40" s="106" t="s">
        <v>131</v>
      </c>
    </row>
    <row r="41" spans="1:15" x14ac:dyDescent="0.25">
      <c r="A41" s="119">
        <v>30</v>
      </c>
      <c r="B41" s="107" t="s">
        <v>71</v>
      </c>
      <c r="C41" s="107">
        <v>6</v>
      </c>
      <c r="D41" s="107">
        <v>22</v>
      </c>
      <c r="E41" s="107">
        <v>0.4</v>
      </c>
      <c r="F41" s="117">
        <v>1.5</v>
      </c>
      <c r="G41" s="117">
        <f t="shared" ref="G41:G42" si="13">C41+E41+F41</f>
        <v>7.9</v>
      </c>
      <c r="H41" s="110">
        <f t="shared" ref="H41:H43" si="14">(G$7*G41)/((G$7-1)*F$7)*100</f>
        <v>41.976558139534887</v>
      </c>
      <c r="I41" s="104"/>
      <c r="J41" s="104"/>
      <c r="K41" s="108">
        <v>1</v>
      </c>
      <c r="L41" s="109">
        <v>13</v>
      </c>
      <c r="M41" s="109">
        <f>SUM(C58:F58)</f>
        <v>25.700000000000003</v>
      </c>
      <c r="N41" s="109">
        <f>SUM(G58:I58)</f>
        <v>70.599999999999994</v>
      </c>
      <c r="O41" s="130">
        <v>3.7</v>
      </c>
    </row>
    <row r="42" spans="1:15" x14ac:dyDescent="0.25">
      <c r="A42" s="119" t="s">
        <v>137</v>
      </c>
      <c r="B42" s="107" t="s">
        <v>72</v>
      </c>
      <c r="C42" s="107">
        <v>2</v>
      </c>
      <c r="D42" s="107">
        <v>21.5</v>
      </c>
      <c r="E42" s="107">
        <v>0.3</v>
      </c>
      <c r="F42" s="117">
        <v>1.5</v>
      </c>
      <c r="G42" s="117">
        <f t="shared" si="13"/>
        <v>3.8</v>
      </c>
      <c r="H42" s="110">
        <f t="shared" si="14"/>
        <v>20.191255813953486</v>
      </c>
      <c r="I42" s="104"/>
      <c r="J42" s="104"/>
      <c r="K42" s="111">
        <v>2</v>
      </c>
      <c r="L42" s="112">
        <v>15</v>
      </c>
      <c r="M42" s="112">
        <f t="shared" ref="M42:M44" si="15">SUM(C59:F59)</f>
        <v>15.099999999999998</v>
      </c>
      <c r="N42" s="112">
        <f t="shared" ref="N42:N45" si="16">SUM(G59:I59)</f>
        <v>73.099999999999994</v>
      </c>
      <c r="O42" s="131">
        <v>11.8</v>
      </c>
    </row>
    <row r="43" spans="1:15" ht="16.5" thickBot="1" x14ac:dyDescent="0.3">
      <c r="A43" s="121" t="s">
        <v>138</v>
      </c>
      <c r="B43" s="122" t="s">
        <v>73</v>
      </c>
      <c r="C43" s="122">
        <v>0</v>
      </c>
      <c r="D43" s="122">
        <v>21.5</v>
      </c>
      <c r="E43" s="122">
        <v>0.3</v>
      </c>
      <c r="F43" s="127">
        <v>1.5</v>
      </c>
      <c r="G43" s="127">
        <f>C43+E43+F43</f>
        <v>1.8</v>
      </c>
      <c r="H43" s="128">
        <f t="shared" si="14"/>
        <v>9.5642790697674425</v>
      </c>
      <c r="I43" s="104"/>
      <c r="J43" s="104"/>
      <c r="K43" s="111">
        <v>3</v>
      </c>
      <c r="L43" s="112">
        <v>16.5</v>
      </c>
      <c r="M43" s="112">
        <f t="shared" si="15"/>
        <v>17.100000000000005</v>
      </c>
      <c r="N43" s="112">
        <f t="shared" si="16"/>
        <v>73.699999999999989</v>
      </c>
      <c r="O43" s="131">
        <v>9.1999999999999993</v>
      </c>
    </row>
    <row r="44" spans="1:15" x14ac:dyDescent="0.25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11">
        <v>4</v>
      </c>
      <c r="L44" s="112">
        <v>18</v>
      </c>
      <c r="M44" s="112">
        <f t="shared" si="15"/>
        <v>21.02027906976744</v>
      </c>
      <c r="N44" s="112">
        <f t="shared" si="16"/>
        <v>69.379720930232565</v>
      </c>
      <c r="O44" s="131">
        <v>9.6</v>
      </c>
    </row>
    <row r="45" spans="1:15" ht="16.5" thickBot="1" x14ac:dyDescent="0.3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25">
        <v>5</v>
      </c>
      <c r="L45" s="114">
        <v>19</v>
      </c>
      <c r="M45" s="114">
        <f>SUM(C62:F62)</f>
        <v>31.320483430799214</v>
      </c>
      <c r="N45" s="114">
        <f t="shared" si="16"/>
        <v>65.479516569200783</v>
      </c>
      <c r="O45" s="132">
        <v>3.2</v>
      </c>
    </row>
    <row r="46" spans="1:15" ht="16.5" thickBot="1" x14ac:dyDescent="0.3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M46" s="104"/>
      <c r="N46" s="104"/>
      <c r="O46" s="104"/>
    </row>
    <row r="47" spans="1:15" ht="16.5" thickBot="1" x14ac:dyDescent="0.3">
      <c r="A47" s="322" t="s">
        <v>142</v>
      </c>
      <c r="B47" s="323"/>
      <c r="C47" s="323"/>
      <c r="D47" s="323"/>
      <c r="E47" s="323"/>
      <c r="F47" s="323"/>
      <c r="G47" s="323"/>
      <c r="H47" s="324"/>
      <c r="I47" s="104"/>
      <c r="J47" s="104"/>
      <c r="M47" s="104"/>
      <c r="N47" s="104"/>
      <c r="O47" s="104"/>
    </row>
    <row r="48" spans="1:15" ht="63.75" thickBot="1" x14ac:dyDescent="0.3">
      <c r="A48" s="105" t="s">
        <v>119</v>
      </c>
      <c r="B48" s="105" t="s">
        <v>120</v>
      </c>
      <c r="C48" s="105" t="s">
        <v>121</v>
      </c>
      <c r="D48" s="105" t="s">
        <v>180</v>
      </c>
      <c r="E48" s="105" t="s">
        <v>122</v>
      </c>
      <c r="F48" s="105" t="s">
        <v>123</v>
      </c>
      <c r="G48" s="105" t="s">
        <v>124</v>
      </c>
      <c r="H48" s="105" t="s">
        <v>125</v>
      </c>
      <c r="I48" s="104"/>
      <c r="J48" s="104"/>
      <c r="L48" s="104"/>
      <c r="M48" s="104"/>
      <c r="N48" s="104"/>
      <c r="O48" s="104"/>
    </row>
    <row r="49" spans="1:14" x14ac:dyDescent="0.25">
      <c r="A49" s="129">
        <v>1</v>
      </c>
      <c r="B49" s="118" t="s">
        <v>104</v>
      </c>
      <c r="C49" s="118">
        <v>11</v>
      </c>
      <c r="D49" s="118">
        <v>21.5</v>
      </c>
      <c r="E49" s="118">
        <v>0.3</v>
      </c>
      <c r="F49" s="118">
        <v>1.5</v>
      </c>
      <c r="G49" s="118">
        <f>C49+E49+F49</f>
        <v>12.8</v>
      </c>
      <c r="H49" s="113">
        <f>(G$8*G49)/((G$8-1)*F$8)*100</f>
        <v>68.699820662768033</v>
      </c>
      <c r="I49" s="104"/>
      <c r="J49" s="104"/>
      <c r="K49" s="104"/>
      <c r="L49" s="104"/>
    </row>
    <row r="50" spans="1:14" x14ac:dyDescent="0.25">
      <c r="A50" s="119">
        <v>30</v>
      </c>
      <c r="B50" s="107" t="s">
        <v>71</v>
      </c>
      <c r="C50" s="107">
        <v>3.5</v>
      </c>
      <c r="D50" s="107">
        <v>21.5</v>
      </c>
      <c r="E50" s="107">
        <v>0.3</v>
      </c>
      <c r="F50" s="117">
        <v>1.5</v>
      </c>
      <c r="G50" s="117">
        <f t="shared" ref="G50:G52" si="17">C50+E50+F50</f>
        <v>5.3</v>
      </c>
      <c r="H50" s="110">
        <f t="shared" ref="H50:H52" si="18">(G$8*G50)/((G$8-1)*F$8)*100</f>
        <v>28.446019493177388</v>
      </c>
      <c r="I50" s="104"/>
      <c r="J50" s="123"/>
      <c r="K50" s="104"/>
      <c r="L50" s="104"/>
    </row>
    <row r="51" spans="1:14" x14ac:dyDescent="0.25">
      <c r="A51" s="119" t="s">
        <v>137</v>
      </c>
      <c r="B51" s="107" t="s">
        <v>72</v>
      </c>
      <c r="C51" s="107">
        <v>2</v>
      </c>
      <c r="D51" s="107">
        <v>20.5</v>
      </c>
      <c r="E51" s="107">
        <v>0.1</v>
      </c>
      <c r="F51" s="117">
        <v>1.5</v>
      </c>
      <c r="G51" s="117">
        <f t="shared" si="17"/>
        <v>3.6</v>
      </c>
      <c r="H51" s="110">
        <f t="shared" si="18"/>
        <v>19.32182456140351</v>
      </c>
      <c r="I51" s="104"/>
      <c r="J51" s="104"/>
      <c r="K51" s="104"/>
      <c r="L51" s="104"/>
    </row>
    <row r="52" spans="1:14" ht="16.5" thickBot="1" x14ac:dyDescent="0.3">
      <c r="A52" s="121" t="s">
        <v>138</v>
      </c>
      <c r="B52" s="122" t="s">
        <v>73</v>
      </c>
      <c r="C52" s="122">
        <v>-1</v>
      </c>
      <c r="D52" s="122">
        <v>20.5</v>
      </c>
      <c r="E52" s="122">
        <v>0.1</v>
      </c>
      <c r="F52" s="127">
        <v>1.5</v>
      </c>
      <c r="G52" s="127">
        <f t="shared" si="17"/>
        <v>0.6</v>
      </c>
      <c r="H52" s="128">
        <f t="shared" si="18"/>
        <v>3.2203040935672513</v>
      </c>
      <c r="I52" s="104"/>
      <c r="J52" s="104"/>
      <c r="K52" s="104"/>
      <c r="L52" s="104"/>
    </row>
    <row r="53" spans="1:14" x14ac:dyDescent="0.25">
      <c r="K53" s="104"/>
      <c r="L53" s="104"/>
    </row>
    <row r="54" spans="1:14" x14ac:dyDescent="0.25">
      <c r="K54" s="104"/>
    </row>
    <row r="55" spans="1:14" ht="16.5" thickBot="1" x14ac:dyDescent="0.3">
      <c r="A55" s="104"/>
      <c r="B55" s="104"/>
      <c r="C55" s="104"/>
      <c r="D55" s="104"/>
      <c r="E55" s="104"/>
      <c r="F55" s="104"/>
      <c r="G55" s="104"/>
      <c r="H55" s="104"/>
      <c r="I55" s="104"/>
      <c r="J55" s="104"/>
    </row>
    <row r="56" spans="1:14" ht="111" thickBot="1" x14ac:dyDescent="0.3">
      <c r="A56" s="105" t="s">
        <v>8</v>
      </c>
      <c r="B56" s="105" t="s">
        <v>106</v>
      </c>
      <c r="C56" s="309" t="s">
        <v>132</v>
      </c>
      <c r="D56" s="310"/>
      <c r="E56" s="310"/>
      <c r="F56" s="310"/>
      <c r="G56" s="310"/>
      <c r="H56" s="310"/>
      <c r="I56" s="310"/>
      <c r="J56" s="311"/>
      <c r="K56" s="105" t="s">
        <v>133</v>
      </c>
      <c r="L56" s="105" t="s">
        <v>143</v>
      </c>
    </row>
    <row r="57" spans="1:14" ht="32.25" thickBot="1" x14ac:dyDescent="0.3">
      <c r="A57" s="126"/>
      <c r="B57" s="126"/>
      <c r="C57" s="126" t="s">
        <v>103</v>
      </c>
      <c r="D57" s="126" t="s">
        <v>102</v>
      </c>
      <c r="E57" s="126" t="s">
        <v>101</v>
      </c>
      <c r="F57" s="126" t="s">
        <v>100</v>
      </c>
      <c r="G57" s="126" t="s">
        <v>99</v>
      </c>
      <c r="H57" s="126" t="s">
        <v>98</v>
      </c>
      <c r="I57" s="126" t="s">
        <v>134</v>
      </c>
      <c r="J57" s="126" t="s">
        <v>135</v>
      </c>
      <c r="K57" s="126"/>
      <c r="L57" s="126"/>
    </row>
    <row r="58" spans="1:14" ht="30" customHeight="1" x14ac:dyDescent="0.25">
      <c r="A58" s="108">
        <v>1</v>
      </c>
      <c r="B58" s="109">
        <v>13</v>
      </c>
      <c r="C58" s="118">
        <v>0</v>
      </c>
      <c r="D58" s="181">
        <v>3.7</v>
      </c>
      <c r="E58" s="181">
        <v>2.4</v>
      </c>
      <c r="F58" s="169">
        <f>100-G58-H58-I58-J58-E58-D58-C58</f>
        <v>19.600000000000001</v>
      </c>
      <c r="G58" s="109">
        <v>42.8</v>
      </c>
      <c r="H58" s="109">
        <v>11.7</v>
      </c>
      <c r="I58" s="109">
        <v>16.100000000000001</v>
      </c>
      <c r="J58" s="118">
        <v>3.7</v>
      </c>
      <c r="K58" s="133" t="s">
        <v>144</v>
      </c>
      <c r="L58" s="306" t="s">
        <v>146</v>
      </c>
    </row>
    <row r="59" spans="1:14" ht="15.75" customHeight="1" x14ac:dyDescent="0.25">
      <c r="A59" s="111">
        <v>2</v>
      </c>
      <c r="B59" s="112">
        <v>15</v>
      </c>
      <c r="C59" s="107">
        <v>0</v>
      </c>
      <c r="D59" s="180">
        <v>3</v>
      </c>
      <c r="E59" s="180">
        <v>2</v>
      </c>
      <c r="F59" s="171">
        <f>100-G59-H59-I59-J59-E59-D59</f>
        <v>10.099999999999998</v>
      </c>
      <c r="G59" s="112">
        <v>37.4</v>
      </c>
      <c r="H59" s="112">
        <v>17.100000000000001</v>
      </c>
      <c r="I59" s="112">
        <v>18.600000000000001</v>
      </c>
      <c r="J59" s="107">
        <v>11.8</v>
      </c>
      <c r="K59" s="134" t="s">
        <v>145</v>
      </c>
      <c r="L59" s="307"/>
      <c r="N59" s="104"/>
    </row>
    <row r="60" spans="1:14" ht="31.5" x14ac:dyDescent="0.25">
      <c r="A60" s="111">
        <v>3</v>
      </c>
      <c r="B60" s="112">
        <v>16.5</v>
      </c>
      <c r="C60" s="107">
        <v>0</v>
      </c>
      <c r="D60" s="180">
        <v>3.4</v>
      </c>
      <c r="E60" s="180">
        <v>2.4</v>
      </c>
      <c r="F60" s="171">
        <f>100-G60-H60-I60-J60-E60-D60-C60</f>
        <v>11.300000000000004</v>
      </c>
      <c r="G60" s="112">
        <v>40.4</v>
      </c>
      <c r="H60" s="112">
        <v>17.2</v>
      </c>
      <c r="I60" s="112">
        <v>16.100000000000001</v>
      </c>
      <c r="J60" s="107">
        <v>9.1999999999999993</v>
      </c>
      <c r="K60" s="134" t="s">
        <v>187</v>
      </c>
      <c r="L60" s="307"/>
      <c r="N60" s="104"/>
    </row>
    <row r="61" spans="1:14" ht="31.5" x14ac:dyDescent="0.25">
      <c r="A61" s="111">
        <v>4</v>
      </c>
      <c r="B61" s="112">
        <v>18</v>
      </c>
      <c r="C61" s="124">
        <v>0</v>
      </c>
      <c r="D61" s="180">
        <v>1.3</v>
      </c>
      <c r="E61" s="180">
        <v>2.7</v>
      </c>
      <c r="F61" s="171">
        <f>100-G61-H61-I61-J61-D61-C61-2.7</f>
        <v>17.02027906976744</v>
      </c>
      <c r="G61" s="112">
        <f>H40-H41</f>
        <v>37.194418604651162</v>
      </c>
      <c r="H61" s="112">
        <f>H41-H42</f>
        <v>21.785302325581402</v>
      </c>
      <c r="I61" s="112">
        <f>20-9.6</f>
        <v>10.4</v>
      </c>
      <c r="J61" s="107">
        <v>9.6</v>
      </c>
      <c r="K61" s="134" t="s">
        <v>145</v>
      </c>
      <c r="L61" s="307"/>
      <c r="N61" s="104"/>
    </row>
    <row r="62" spans="1:14" ht="32.25" thickBot="1" x14ac:dyDescent="0.3">
      <c r="A62" s="125">
        <v>5</v>
      </c>
      <c r="B62" s="114">
        <v>19</v>
      </c>
      <c r="C62" s="114">
        <v>0</v>
      </c>
      <c r="D62" s="182">
        <v>0.7</v>
      </c>
      <c r="E62" s="182">
        <v>1</v>
      </c>
      <c r="F62" s="175">
        <f>100-J62-I62-H62-G62-D62-C62-1</f>
        <v>29.620483430799215</v>
      </c>
      <c r="G62" s="114">
        <f>H49-H50</f>
        <v>40.253801169590645</v>
      </c>
      <c r="H62" s="114">
        <f>H50-H51</f>
        <v>9.1241949317738786</v>
      </c>
      <c r="I62" s="114">
        <f>H51-H52</f>
        <v>16.101520467836259</v>
      </c>
      <c r="J62" s="122">
        <v>3.2</v>
      </c>
      <c r="K62" s="135" t="s">
        <v>144</v>
      </c>
      <c r="L62" s="308"/>
      <c r="N62" s="104"/>
    </row>
    <row r="63" spans="1:14" ht="16.5" thickBot="1" x14ac:dyDescent="0.3"/>
    <row r="64" spans="1:14" s="16" customFormat="1" ht="48.75" customHeight="1" thickBot="1" x14ac:dyDescent="0.3">
      <c r="C64" s="10" t="s">
        <v>8</v>
      </c>
      <c r="D64" s="67" t="s">
        <v>188</v>
      </c>
      <c r="E64" s="11" t="s">
        <v>189</v>
      </c>
      <c r="F64" s="11" t="s">
        <v>190</v>
      </c>
      <c r="G64" s="11" t="s">
        <v>191</v>
      </c>
      <c r="H64" s="12" t="s">
        <v>192</v>
      </c>
    </row>
    <row r="65" spans="3:13" ht="16.5" thickBot="1" x14ac:dyDescent="0.3">
      <c r="C65" s="38">
        <v>1</v>
      </c>
      <c r="D65" s="39">
        <v>13</v>
      </c>
      <c r="E65" s="39">
        <v>2.5000000000000001E-3</v>
      </c>
      <c r="F65" s="39">
        <v>0.03</v>
      </c>
      <c r="G65" s="190">
        <f>F65/E65</f>
        <v>12</v>
      </c>
      <c r="H65" s="304" t="s">
        <v>193</v>
      </c>
    </row>
    <row r="66" spans="3:13" ht="16.5" thickBot="1" x14ac:dyDescent="0.3">
      <c r="C66" s="32">
        <v>3</v>
      </c>
      <c r="D66" s="155">
        <v>16.5</v>
      </c>
      <c r="E66" s="155">
        <v>2E-3</v>
      </c>
      <c r="F66" s="155">
        <v>0.02</v>
      </c>
      <c r="G66" s="74">
        <f t="shared" ref="G66:G68" si="19">F66/E66</f>
        <v>10</v>
      </c>
      <c r="H66" s="304"/>
      <c r="J66" s="184" t="s">
        <v>194</v>
      </c>
      <c r="K66" s="185"/>
      <c r="L66" s="186"/>
      <c r="M66" s="104"/>
    </row>
    <row r="67" spans="3:13" x14ac:dyDescent="0.25">
      <c r="C67" s="32">
        <v>4</v>
      </c>
      <c r="D67" s="155">
        <v>18</v>
      </c>
      <c r="E67" s="216">
        <v>2E-3</v>
      </c>
      <c r="F67" s="216">
        <v>2.1999999999999999E-2</v>
      </c>
      <c r="G67" s="188">
        <f>F67/E67</f>
        <v>11</v>
      </c>
      <c r="H67" s="304"/>
      <c r="J67" s="104"/>
      <c r="M67" s="104"/>
    </row>
    <row r="68" spans="3:13" ht="16.5" thickBot="1" x14ac:dyDescent="0.3">
      <c r="C68" s="33">
        <v>5</v>
      </c>
      <c r="D68" s="156">
        <v>19</v>
      </c>
      <c r="E68" s="217">
        <v>2.8999999999999998E-3</v>
      </c>
      <c r="F68" s="217">
        <v>3.5000000000000003E-2</v>
      </c>
      <c r="G68" s="189">
        <f t="shared" si="19"/>
        <v>12.068965517241381</v>
      </c>
      <c r="H68" s="305"/>
      <c r="J68" s="104"/>
      <c r="K68" s="104"/>
      <c r="M68" s="104"/>
    </row>
    <row r="69" spans="3:13" x14ac:dyDescent="0.25">
      <c r="E69" s="218"/>
      <c r="J69" s="104"/>
      <c r="K69" s="104"/>
    </row>
    <row r="70" spans="3:13" x14ac:dyDescent="0.25">
      <c r="K70" s="104"/>
    </row>
    <row r="71" spans="3:13" x14ac:dyDescent="0.25">
      <c r="K71" s="104"/>
    </row>
  </sheetData>
  <mergeCells count="14">
    <mergeCell ref="H65:H68"/>
    <mergeCell ref="L58:L62"/>
    <mergeCell ref="C56:J56"/>
    <mergeCell ref="A1:O1"/>
    <mergeCell ref="J2:L2"/>
    <mergeCell ref="M2:O2"/>
    <mergeCell ref="C4:C8"/>
    <mergeCell ref="H4:H8"/>
    <mergeCell ref="I4:I8"/>
    <mergeCell ref="A11:H11"/>
    <mergeCell ref="A20:H20"/>
    <mergeCell ref="A29:H29"/>
    <mergeCell ref="A38:H38"/>
    <mergeCell ref="A47:H4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"/>
  <sheetViews>
    <sheetView topLeftCell="B19" zoomScale="62" zoomScaleNormal="62" workbookViewId="0">
      <selection activeCell="U34" sqref="U34"/>
    </sheetView>
  </sheetViews>
  <sheetFormatPr defaultColWidth="9.140625" defaultRowHeight="15.75" x14ac:dyDescent="0.25"/>
  <cols>
    <col min="1" max="1" width="10.42578125" style="17" customWidth="1"/>
    <col min="2" max="2" width="15.5703125" style="17" customWidth="1"/>
    <col min="3" max="3" width="17.42578125" style="17" customWidth="1"/>
    <col min="4" max="4" width="16.42578125" style="17" customWidth="1"/>
    <col min="5" max="5" width="14.5703125" style="17" customWidth="1"/>
    <col min="6" max="6" width="12.5703125" style="17" customWidth="1"/>
    <col min="7" max="7" width="14.85546875" style="17" customWidth="1"/>
    <col min="8" max="8" width="25" style="17" customWidth="1"/>
    <col min="9" max="12" width="9.140625" style="17"/>
    <col min="13" max="13" width="18.5703125" style="17" customWidth="1"/>
    <col min="14" max="14" width="18.140625" style="17" customWidth="1"/>
    <col min="15" max="15" width="25.140625" style="17" customWidth="1"/>
    <col min="16" max="16" width="15.42578125" style="17" customWidth="1"/>
    <col min="17" max="17" width="16.140625" style="17" customWidth="1"/>
    <col min="18" max="18" width="14.85546875" style="17" customWidth="1"/>
    <col min="19" max="16384" width="9.140625" style="17"/>
  </cols>
  <sheetData>
    <row r="2" spans="1:17" ht="16.5" thickBot="1" x14ac:dyDescent="0.3">
      <c r="I2" s="23"/>
      <c r="J2" s="23"/>
    </row>
    <row r="3" spans="1:17" x14ac:dyDescent="0.25">
      <c r="A3" s="330" t="s">
        <v>89</v>
      </c>
      <c r="B3" s="331"/>
      <c r="C3" s="331"/>
      <c r="D3" s="331"/>
      <c r="E3" s="331"/>
      <c r="F3" s="331"/>
      <c r="G3" s="331"/>
      <c r="H3" s="332"/>
      <c r="I3" s="194"/>
      <c r="J3" s="23"/>
    </row>
    <row r="4" spans="1:17" ht="81" customHeight="1" x14ac:dyDescent="0.25">
      <c r="A4" s="160" t="s">
        <v>31</v>
      </c>
      <c r="B4" s="154" t="s">
        <v>32</v>
      </c>
      <c r="C4" s="154" t="s">
        <v>33</v>
      </c>
      <c r="D4" s="154" t="s">
        <v>34</v>
      </c>
      <c r="E4" s="154" t="s">
        <v>35</v>
      </c>
      <c r="F4" s="154" t="s">
        <v>36</v>
      </c>
      <c r="G4" s="154" t="s">
        <v>37</v>
      </c>
      <c r="H4" s="193" t="s">
        <v>63</v>
      </c>
      <c r="I4" s="21"/>
      <c r="J4" s="23"/>
    </row>
    <row r="5" spans="1:17" x14ac:dyDescent="0.25">
      <c r="A5" s="32">
        <v>1</v>
      </c>
      <c r="B5" s="155">
        <v>0</v>
      </c>
      <c r="C5" s="155">
        <v>0</v>
      </c>
      <c r="D5" s="155">
        <v>0</v>
      </c>
      <c r="E5" s="155">
        <v>0</v>
      </c>
      <c r="F5" s="155">
        <v>0</v>
      </c>
      <c r="G5" s="333">
        <v>37.200000000000003</v>
      </c>
      <c r="H5" s="325" t="s">
        <v>195</v>
      </c>
      <c r="I5" s="23"/>
      <c r="J5" s="23"/>
      <c r="Q5" s="17">
        <v>37.200000000000003</v>
      </c>
    </row>
    <row r="6" spans="1:17" x14ac:dyDescent="0.25">
      <c r="A6" s="32">
        <v>2</v>
      </c>
      <c r="B6" s="155">
        <v>5</v>
      </c>
      <c r="C6" s="155">
        <v>0.89</v>
      </c>
      <c r="D6" s="155">
        <v>0.89</v>
      </c>
      <c r="E6" s="155">
        <f>D6/10</f>
        <v>8.8999999999999996E-2</v>
      </c>
      <c r="F6" s="155">
        <f>E6*100</f>
        <v>8.9</v>
      </c>
      <c r="G6" s="333"/>
      <c r="H6" s="325"/>
      <c r="I6" s="23"/>
      <c r="J6" s="23"/>
      <c r="Q6" s="17">
        <v>34.4</v>
      </c>
    </row>
    <row r="7" spans="1:17" x14ac:dyDescent="0.25">
      <c r="A7" s="32">
        <v>3</v>
      </c>
      <c r="B7" s="155">
        <v>10</v>
      </c>
      <c r="C7" s="155">
        <v>1.08</v>
      </c>
      <c r="D7" s="155">
        <v>1.08</v>
      </c>
      <c r="E7" s="155">
        <f t="shared" ref="E7:E13" si="0">D7/10</f>
        <v>0.10800000000000001</v>
      </c>
      <c r="F7" s="155">
        <f t="shared" ref="F7:F13" si="1">E7*100</f>
        <v>10.8</v>
      </c>
      <c r="G7" s="333"/>
      <c r="H7" s="325"/>
      <c r="I7" s="23"/>
      <c r="J7" s="23"/>
      <c r="Q7" s="17">
        <v>32.9</v>
      </c>
    </row>
    <row r="8" spans="1:17" x14ac:dyDescent="0.25">
      <c r="A8" s="32">
        <v>4</v>
      </c>
      <c r="B8" s="155">
        <v>30</v>
      </c>
      <c r="C8" s="155">
        <v>1.35</v>
      </c>
      <c r="D8" s="155">
        <v>1.35</v>
      </c>
      <c r="E8" s="155">
        <f t="shared" si="0"/>
        <v>0.13500000000000001</v>
      </c>
      <c r="F8" s="155">
        <f t="shared" si="1"/>
        <v>13.5</v>
      </c>
      <c r="G8" s="333"/>
      <c r="H8" s="325"/>
      <c r="I8" s="23"/>
      <c r="J8" s="23"/>
      <c r="Q8" s="17">
        <v>34.799999999999997</v>
      </c>
    </row>
    <row r="9" spans="1:17" x14ac:dyDescent="0.25">
      <c r="A9" s="32">
        <v>5</v>
      </c>
      <c r="B9" s="155">
        <v>60</v>
      </c>
      <c r="C9" s="155">
        <v>1.47</v>
      </c>
      <c r="D9" s="155">
        <v>1.47</v>
      </c>
      <c r="E9" s="155">
        <f t="shared" si="0"/>
        <v>0.14699999999999999</v>
      </c>
      <c r="F9" s="155">
        <f t="shared" si="1"/>
        <v>14.7</v>
      </c>
      <c r="G9" s="333"/>
      <c r="H9" s="325"/>
      <c r="I9" s="23"/>
      <c r="J9" s="23"/>
      <c r="Q9" s="17">
        <v>35.700000000000003</v>
      </c>
    </row>
    <row r="10" spans="1:17" x14ac:dyDescent="0.25">
      <c r="A10" s="32">
        <v>6</v>
      </c>
      <c r="B10" s="155">
        <v>1440</v>
      </c>
      <c r="C10" s="155">
        <v>1.63</v>
      </c>
      <c r="D10" s="155">
        <v>1.63</v>
      </c>
      <c r="E10" s="155">
        <f t="shared" si="0"/>
        <v>0.16299999999999998</v>
      </c>
      <c r="F10" s="155">
        <f t="shared" si="1"/>
        <v>16.299999999999997</v>
      </c>
      <c r="G10" s="333"/>
      <c r="H10" s="325"/>
      <c r="I10" s="23"/>
      <c r="J10" s="23"/>
    </row>
    <row r="11" spans="1:17" x14ac:dyDescent="0.25">
      <c r="A11" s="32">
        <v>7</v>
      </c>
      <c r="B11" s="155">
        <v>2880</v>
      </c>
      <c r="C11" s="155">
        <v>1.82</v>
      </c>
      <c r="D11" s="155">
        <v>1.82</v>
      </c>
      <c r="E11" s="155">
        <f t="shared" si="0"/>
        <v>0.182</v>
      </c>
      <c r="F11" s="155">
        <f t="shared" si="1"/>
        <v>18.2</v>
      </c>
      <c r="G11" s="333"/>
      <c r="H11" s="325"/>
      <c r="I11" s="23"/>
      <c r="J11" s="23"/>
    </row>
    <row r="12" spans="1:17" x14ac:dyDescent="0.25">
      <c r="A12" s="32">
        <v>8</v>
      </c>
      <c r="B12" s="155">
        <v>4320</v>
      </c>
      <c r="C12" s="155">
        <v>1.83</v>
      </c>
      <c r="D12" s="155">
        <v>1.83</v>
      </c>
      <c r="E12" s="155">
        <f t="shared" si="0"/>
        <v>0.183</v>
      </c>
      <c r="F12" s="155">
        <f t="shared" si="1"/>
        <v>18.3</v>
      </c>
      <c r="G12" s="333"/>
      <c r="H12" s="325"/>
      <c r="I12" s="23"/>
      <c r="J12" s="23"/>
    </row>
    <row r="13" spans="1:17" ht="16.5" thickBot="1" x14ac:dyDescent="0.3">
      <c r="A13" s="33">
        <v>9</v>
      </c>
      <c r="B13" s="156">
        <v>5760</v>
      </c>
      <c r="C13" s="156">
        <v>1.83</v>
      </c>
      <c r="D13" s="156">
        <v>1.83</v>
      </c>
      <c r="E13" s="156">
        <f t="shared" si="0"/>
        <v>0.183</v>
      </c>
      <c r="F13" s="156">
        <f t="shared" si="1"/>
        <v>18.3</v>
      </c>
      <c r="G13" s="334"/>
      <c r="H13" s="326"/>
      <c r="I13" s="23"/>
      <c r="J13" s="23"/>
    </row>
    <row r="14" spans="1:17" x14ac:dyDescent="0.25">
      <c r="A14" s="328" t="s">
        <v>173</v>
      </c>
      <c r="B14" s="329"/>
      <c r="C14" s="329"/>
      <c r="D14" s="329"/>
      <c r="E14" s="329"/>
      <c r="F14" s="329"/>
      <c r="G14" s="329"/>
      <c r="H14" s="329"/>
      <c r="I14" s="183"/>
      <c r="J14" s="183"/>
    </row>
    <row r="16" spans="1:17" x14ac:dyDescent="0.25">
      <c r="I16" s="23"/>
    </row>
    <row r="17" spans="1:8" ht="16.5" thickBot="1" x14ac:dyDescent="0.3"/>
    <row r="18" spans="1:8" ht="16.5" thickBot="1" x14ac:dyDescent="0.3">
      <c r="A18" s="271" t="s">
        <v>90</v>
      </c>
      <c r="B18" s="272"/>
      <c r="C18" s="272"/>
      <c r="D18" s="272"/>
      <c r="E18" s="272"/>
      <c r="F18" s="272"/>
      <c r="G18" s="272"/>
      <c r="H18" s="273"/>
    </row>
    <row r="19" spans="1:8" ht="79.5" thickBot="1" x14ac:dyDescent="0.3">
      <c r="A19" s="69" t="s">
        <v>31</v>
      </c>
      <c r="B19" s="70" t="s">
        <v>32</v>
      </c>
      <c r="C19" s="70" t="s">
        <v>33</v>
      </c>
      <c r="D19" s="70" t="s">
        <v>34</v>
      </c>
      <c r="E19" s="70" t="s">
        <v>35</v>
      </c>
      <c r="F19" s="70" t="s">
        <v>36</v>
      </c>
      <c r="G19" s="71" t="s">
        <v>37</v>
      </c>
      <c r="H19" s="195" t="s">
        <v>63</v>
      </c>
    </row>
    <row r="20" spans="1:8" x14ac:dyDescent="0.25">
      <c r="A20" s="38">
        <v>1</v>
      </c>
      <c r="B20" s="39">
        <v>0</v>
      </c>
      <c r="C20" s="39">
        <v>0</v>
      </c>
      <c r="D20" s="39">
        <v>0</v>
      </c>
      <c r="E20" s="39">
        <v>0</v>
      </c>
      <c r="F20" s="39">
        <v>0</v>
      </c>
      <c r="G20" s="304">
        <v>34.4</v>
      </c>
      <c r="H20" s="325" t="s">
        <v>195</v>
      </c>
    </row>
    <row r="21" spans="1:8" x14ac:dyDescent="0.25">
      <c r="A21" s="32">
        <v>2</v>
      </c>
      <c r="B21" s="22">
        <v>5</v>
      </c>
      <c r="C21" s="22">
        <v>1.23</v>
      </c>
      <c r="D21" s="22">
        <v>1.23</v>
      </c>
      <c r="E21" s="22">
        <f>D21/10</f>
        <v>0.123</v>
      </c>
      <c r="F21" s="22">
        <f>E21*100</f>
        <v>12.3</v>
      </c>
      <c r="G21" s="304"/>
      <c r="H21" s="325"/>
    </row>
    <row r="22" spans="1:8" x14ac:dyDescent="0.25">
      <c r="A22" s="32">
        <v>3</v>
      </c>
      <c r="B22" s="22">
        <v>10</v>
      </c>
      <c r="C22" s="22">
        <v>1.96</v>
      </c>
      <c r="D22" s="22">
        <v>1.96</v>
      </c>
      <c r="E22" s="22">
        <f t="shared" ref="E22:E28" si="2">D22/10</f>
        <v>0.19600000000000001</v>
      </c>
      <c r="F22" s="22">
        <f t="shared" ref="F22:F28" si="3">E22*100</f>
        <v>19.600000000000001</v>
      </c>
      <c r="G22" s="304"/>
      <c r="H22" s="325"/>
    </row>
    <row r="23" spans="1:8" x14ac:dyDescent="0.25">
      <c r="A23" s="32">
        <v>4</v>
      </c>
      <c r="B23" s="22">
        <v>30</v>
      </c>
      <c r="C23" s="22">
        <v>2.2400000000000002</v>
      </c>
      <c r="D23" s="22">
        <v>2.2400000000000002</v>
      </c>
      <c r="E23" s="22">
        <f t="shared" si="2"/>
        <v>0.22400000000000003</v>
      </c>
      <c r="F23" s="22">
        <f t="shared" si="3"/>
        <v>22.400000000000002</v>
      </c>
      <c r="G23" s="304"/>
      <c r="H23" s="325"/>
    </row>
    <row r="24" spans="1:8" x14ac:dyDescent="0.25">
      <c r="A24" s="32">
        <v>5</v>
      </c>
      <c r="B24" s="22">
        <v>60</v>
      </c>
      <c r="C24" s="22">
        <v>2.4900000000000002</v>
      </c>
      <c r="D24" s="22">
        <v>2.4900000000000002</v>
      </c>
      <c r="E24" s="22">
        <f t="shared" si="2"/>
        <v>0.24900000000000003</v>
      </c>
      <c r="F24" s="22">
        <f t="shared" si="3"/>
        <v>24.900000000000002</v>
      </c>
      <c r="G24" s="304"/>
      <c r="H24" s="325"/>
    </row>
    <row r="25" spans="1:8" x14ac:dyDescent="0.25">
      <c r="A25" s="32">
        <v>6</v>
      </c>
      <c r="B25" s="22">
        <v>1440</v>
      </c>
      <c r="C25" s="22">
        <v>2.58</v>
      </c>
      <c r="D25" s="22">
        <v>2.58</v>
      </c>
      <c r="E25" s="22">
        <f t="shared" si="2"/>
        <v>0.25800000000000001</v>
      </c>
      <c r="F25" s="22">
        <f t="shared" si="3"/>
        <v>25.8</v>
      </c>
      <c r="G25" s="304"/>
      <c r="H25" s="325"/>
    </row>
    <row r="26" spans="1:8" x14ac:dyDescent="0.25">
      <c r="A26" s="32">
        <v>7</v>
      </c>
      <c r="B26" s="22">
        <v>2880</v>
      </c>
      <c r="C26" s="22">
        <v>2.59</v>
      </c>
      <c r="D26" s="22">
        <v>2.59</v>
      </c>
      <c r="E26" s="22">
        <f t="shared" si="2"/>
        <v>0.25900000000000001</v>
      </c>
      <c r="F26" s="22">
        <f t="shared" si="3"/>
        <v>25.900000000000002</v>
      </c>
      <c r="G26" s="304"/>
      <c r="H26" s="325"/>
    </row>
    <row r="27" spans="1:8" x14ac:dyDescent="0.25">
      <c r="A27" s="32">
        <v>8</v>
      </c>
      <c r="B27" s="22">
        <v>4320</v>
      </c>
      <c r="C27" s="22">
        <v>2.6</v>
      </c>
      <c r="D27" s="22">
        <v>2.6</v>
      </c>
      <c r="E27" s="22">
        <f t="shared" si="2"/>
        <v>0.26</v>
      </c>
      <c r="F27" s="22">
        <f t="shared" si="3"/>
        <v>26</v>
      </c>
      <c r="G27" s="304"/>
      <c r="H27" s="325"/>
    </row>
    <row r="28" spans="1:8" ht="16.5" thickBot="1" x14ac:dyDescent="0.3">
      <c r="A28" s="33">
        <v>9</v>
      </c>
      <c r="B28" s="34">
        <v>5760</v>
      </c>
      <c r="C28" s="34">
        <v>2.6</v>
      </c>
      <c r="D28" s="34">
        <v>2.6</v>
      </c>
      <c r="E28" s="34">
        <f t="shared" si="2"/>
        <v>0.26</v>
      </c>
      <c r="F28" s="34">
        <f t="shared" si="3"/>
        <v>26</v>
      </c>
      <c r="G28" s="305"/>
      <c r="H28" s="326"/>
    </row>
    <row r="29" spans="1:8" ht="16.5" thickBot="1" x14ac:dyDescent="0.3">
      <c r="A29" s="271" t="s">
        <v>94</v>
      </c>
      <c r="B29" s="272"/>
      <c r="C29" s="272"/>
      <c r="D29" s="272"/>
      <c r="E29" s="272"/>
      <c r="F29" s="272"/>
      <c r="G29" s="272"/>
      <c r="H29" s="273"/>
    </row>
    <row r="32" spans="1:8" ht="16.5" thickBot="1" x14ac:dyDescent="0.3"/>
    <row r="33" spans="1:21" ht="16.5" thickBot="1" x14ac:dyDescent="0.3">
      <c r="A33" s="271" t="s">
        <v>93</v>
      </c>
      <c r="B33" s="272"/>
      <c r="C33" s="272"/>
      <c r="D33" s="272"/>
      <c r="E33" s="272"/>
      <c r="F33" s="272"/>
      <c r="G33" s="272"/>
      <c r="H33" s="273"/>
    </row>
    <row r="34" spans="1:21" ht="79.5" thickBot="1" x14ac:dyDescent="0.3">
      <c r="A34" s="157" t="s">
        <v>31</v>
      </c>
      <c r="B34" s="159" t="s">
        <v>32</v>
      </c>
      <c r="C34" s="159" t="s">
        <v>33</v>
      </c>
      <c r="D34" s="159" t="s">
        <v>34</v>
      </c>
      <c r="E34" s="159" t="s">
        <v>35</v>
      </c>
      <c r="F34" s="159" t="s">
        <v>36</v>
      </c>
      <c r="G34" s="71" t="s">
        <v>37</v>
      </c>
      <c r="H34" s="195" t="s">
        <v>63</v>
      </c>
      <c r="U34" s="218"/>
    </row>
    <row r="35" spans="1:21" x14ac:dyDescent="0.25">
      <c r="A35" s="30">
        <v>1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27">
        <v>32.9</v>
      </c>
      <c r="H35" s="325" t="s">
        <v>195</v>
      </c>
    </row>
    <row r="36" spans="1:21" x14ac:dyDescent="0.25">
      <c r="A36" s="32">
        <v>2</v>
      </c>
      <c r="B36" s="22">
        <v>5</v>
      </c>
      <c r="C36" s="22">
        <v>1.1100000000000001</v>
      </c>
      <c r="D36" s="22">
        <v>1.1100000000000001</v>
      </c>
      <c r="E36" s="22">
        <f>D36/10</f>
        <v>0.11100000000000002</v>
      </c>
      <c r="F36" s="22">
        <f>E36*100</f>
        <v>11.100000000000001</v>
      </c>
      <c r="G36" s="304"/>
      <c r="H36" s="325"/>
    </row>
    <row r="37" spans="1:21" x14ac:dyDescent="0.25">
      <c r="A37" s="32">
        <v>3</v>
      </c>
      <c r="B37" s="22">
        <v>10</v>
      </c>
      <c r="C37" s="22">
        <v>1.69</v>
      </c>
      <c r="D37" s="22">
        <v>1.69</v>
      </c>
      <c r="E37" s="22">
        <f t="shared" ref="E37:E43" si="4">D37/10</f>
        <v>0.16899999999999998</v>
      </c>
      <c r="F37" s="22">
        <f t="shared" ref="F37:F43" si="5">E37*100</f>
        <v>16.899999999999999</v>
      </c>
      <c r="G37" s="304"/>
      <c r="H37" s="325"/>
    </row>
    <row r="38" spans="1:21" x14ac:dyDescent="0.25">
      <c r="A38" s="32">
        <v>4</v>
      </c>
      <c r="B38" s="22">
        <v>30</v>
      </c>
      <c r="C38" s="22">
        <v>1.85</v>
      </c>
      <c r="D38" s="22">
        <v>1.85</v>
      </c>
      <c r="E38" s="22">
        <f t="shared" si="4"/>
        <v>0.185</v>
      </c>
      <c r="F38" s="22">
        <f t="shared" si="5"/>
        <v>18.5</v>
      </c>
      <c r="G38" s="304"/>
      <c r="H38" s="325"/>
    </row>
    <row r="39" spans="1:21" x14ac:dyDescent="0.25">
      <c r="A39" s="32">
        <v>5</v>
      </c>
      <c r="B39" s="22">
        <v>60</v>
      </c>
      <c r="C39" s="22">
        <v>1.96</v>
      </c>
      <c r="D39" s="22">
        <v>1.96</v>
      </c>
      <c r="E39" s="22">
        <f t="shared" si="4"/>
        <v>0.19600000000000001</v>
      </c>
      <c r="F39" s="22">
        <f t="shared" si="5"/>
        <v>19.600000000000001</v>
      </c>
      <c r="G39" s="304"/>
      <c r="H39" s="325"/>
    </row>
    <row r="40" spans="1:21" x14ac:dyDescent="0.25">
      <c r="A40" s="32">
        <v>6</v>
      </c>
      <c r="B40" s="22">
        <v>1440</v>
      </c>
      <c r="C40" s="22">
        <v>2.21</v>
      </c>
      <c r="D40" s="22">
        <v>2.21</v>
      </c>
      <c r="E40" s="22">
        <f t="shared" si="4"/>
        <v>0.221</v>
      </c>
      <c r="F40" s="22">
        <f t="shared" si="5"/>
        <v>22.1</v>
      </c>
      <c r="G40" s="304"/>
      <c r="H40" s="325"/>
    </row>
    <row r="41" spans="1:21" x14ac:dyDescent="0.25">
      <c r="A41" s="32">
        <v>7</v>
      </c>
      <c r="B41" s="22">
        <v>2880</v>
      </c>
      <c r="C41" s="22">
        <v>2.4</v>
      </c>
      <c r="D41" s="22">
        <v>2.4</v>
      </c>
      <c r="E41" s="22">
        <f t="shared" si="4"/>
        <v>0.24</v>
      </c>
      <c r="F41" s="22">
        <f t="shared" si="5"/>
        <v>24</v>
      </c>
      <c r="G41" s="304"/>
      <c r="H41" s="325"/>
    </row>
    <row r="42" spans="1:21" x14ac:dyDescent="0.25">
      <c r="A42" s="32">
        <v>8</v>
      </c>
      <c r="B42" s="22">
        <v>4320</v>
      </c>
      <c r="C42" s="22">
        <v>2.4</v>
      </c>
      <c r="D42" s="22">
        <v>2.4</v>
      </c>
      <c r="E42" s="22">
        <f t="shared" si="4"/>
        <v>0.24</v>
      </c>
      <c r="F42" s="22">
        <f t="shared" si="5"/>
        <v>24</v>
      </c>
      <c r="G42" s="304"/>
      <c r="H42" s="325"/>
    </row>
    <row r="43" spans="1:21" ht="16.5" thickBot="1" x14ac:dyDescent="0.3">
      <c r="A43" s="33">
        <v>9</v>
      </c>
      <c r="B43" s="34">
        <v>5760</v>
      </c>
      <c r="C43" s="34">
        <v>2.4</v>
      </c>
      <c r="D43" s="34">
        <v>2.4</v>
      </c>
      <c r="E43" s="34">
        <f t="shared" si="4"/>
        <v>0.24</v>
      </c>
      <c r="F43" s="34">
        <f t="shared" si="5"/>
        <v>24</v>
      </c>
      <c r="G43" s="305"/>
      <c r="H43" s="326"/>
    </row>
    <row r="44" spans="1:21" ht="16.5" thickBot="1" x14ac:dyDescent="0.3">
      <c r="A44" s="271" t="s">
        <v>95</v>
      </c>
      <c r="B44" s="272"/>
      <c r="C44" s="272"/>
      <c r="D44" s="272"/>
      <c r="E44" s="272"/>
      <c r="F44" s="272"/>
      <c r="G44" s="272"/>
      <c r="H44" s="273"/>
    </row>
    <row r="47" spans="1:21" ht="16.5" thickBot="1" x14ac:dyDescent="0.3"/>
    <row r="48" spans="1:21" ht="16.5" thickBot="1" x14ac:dyDescent="0.3">
      <c r="A48" s="271" t="s">
        <v>92</v>
      </c>
      <c r="B48" s="272"/>
      <c r="C48" s="272"/>
      <c r="D48" s="272"/>
      <c r="E48" s="272"/>
      <c r="F48" s="272"/>
      <c r="G48" s="272"/>
      <c r="H48" s="273"/>
    </row>
    <row r="49" spans="1:8" ht="79.5" thickBot="1" x14ac:dyDescent="0.3">
      <c r="A49" s="157" t="s">
        <v>31</v>
      </c>
      <c r="B49" s="159" t="s">
        <v>32</v>
      </c>
      <c r="C49" s="159" t="s">
        <v>33</v>
      </c>
      <c r="D49" s="159" t="s">
        <v>34</v>
      </c>
      <c r="E49" s="159" t="s">
        <v>35</v>
      </c>
      <c r="F49" s="159" t="s">
        <v>36</v>
      </c>
      <c r="G49" s="71" t="s">
        <v>37</v>
      </c>
      <c r="H49" s="196" t="s">
        <v>63</v>
      </c>
    </row>
    <row r="50" spans="1:8" x14ac:dyDescent="0.25">
      <c r="A50" s="38">
        <v>1</v>
      </c>
      <c r="B50" s="39">
        <v>0</v>
      </c>
      <c r="C50" s="39">
        <v>0</v>
      </c>
      <c r="D50" s="39">
        <v>0</v>
      </c>
      <c r="E50" s="39">
        <v>0</v>
      </c>
      <c r="F50" s="39">
        <v>0</v>
      </c>
      <c r="G50" s="304">
        <v>34.799999999999997</v>
      </c>
      <c r="H50" s="325" t="s">
        <v>195</v>
      </c>
    </row>
    <row r="51" spans="1:8" x14ac:dyDescent="0.25">
      <c r="A51" s="32">
        <v>2</v>
      </c>
      <c r="B51" s="22">
        <v>5</v>
      </c>
      <c r="C51" s="22">
        <v>0.96</v>
      </c>
      <c r="D51" s="22">
        <v>0.96</v>
      </c>
      <c r="E51" s="22">
        <f>D51/10</f>
        <v>9.6000000000000002E-2</v>
      </c>
      <c r="F51" s="22">
        <f>E51*100</f>
        <v>9.6</v>
      </c>
      <c r="G51" s="304"/>
      <c r="H51" s="325"/>
    </row>
    <row r="52" spans="1:8" x14ac:dyDescent="0.25">
      <c r="A52" s="32">
        <v>3</v>
      </c>
      <c r="B52" s="22">
        <v>10</v>
      </c>
      <c r="C52" s="22">
        <v>1.39</v>
      </c>
      <c r="D52" s="22">
        <v>1.39</v>
      </c>
      <c r="E52" s="22">
        <f t="shared" ref="E52:E58" si="6">D52/10</f>
        <v>0.13899999999999998</v>
      </c>
      <c r="F52" s="22">
        <f t="shared" ref="F52:F58" si="7">E52*100</f>
        <v>13.899999999999999</v>
      </c>
      <c r="G52" s="304"/>
      <c r="H52" s="325"/>
    </row>
    <row r="53" spans="1:8" x14ac:dyDescent="0.25">
      <c r="A53" s="32">
        <v>4</v>
      </c>
      <c r="B53" s="22">
        <v>30</v>
      </c>
      <c r="C53" s="22">
        <v>1.68</v>
      </c>
      <c r="D53" s="22">
        <v>1.68</v>
      </c>
      <c r="E53" s="22">
        <f t="shared" si="6"/>
        <v>0.16799999999999998</v>
      </c>
      <c r="F53" s="22">
        <f t="shared" si="7"/>
        <v>16.799999999999997</v>
      </c>
      <c r="G53" s="304"/>
      <c r="H53" s="325"/>
    </row>
    <row r="54" spans="1:8" x14ac:dyDescent="0.25">
      <c r="A54" s="32">
        <v>5</v>
      </c>
      <c r="B54" s="22">
        <v>60</v>
      </c>
      <c r="C54" s="22">
        <v>1.82</v>
      </c>
      <c r="D54" s="22">
        <v>1.82</v>
      </c>
      <c r="E54" s="22">
        <f t="shared" si="6"/>
        <v>0.182</v>
      </c>
      <c r="F54" s="22">
        <f t="shared" si="7"/>
        <v>18.2</v>
      </c>
      <c r="G54" s="304"/>
      <c r="H54" s="325"/>
    </row>
    <row r="55" spans="1:8" x14ac:dyDescent="0.25">
      <c r="A55" s="32">
        <v>6</v>
      </c>
      <c r="B55" s="22">
        <v>1440</v>
      </c>
      <c r="C55" s="22">
        <v>1.95</v>
      </c>
      <c r="D55" s="22">
        <v>1.95</v>
      </c>
      <c r="E55" s="22">
        <f t="shared" si="6"/>
        <v>0.19500000000000001</v>
      </c>
      <c r="F55" s="22">
        <f t="shared" si="7"/>
        <v>19.5</v>
      </c>
      <c r="G55" s="304"/>
      <c r="H55" s="325"/>
    </row>
    <row r="56" spans="1:8" x14ac:dyDescent="0.25">
      <c r="A56" s="32">
        <v>7</v>
      </c>
      <c r="B56" s="22">
        <v>2880</v>
      </c>
      <c r="C56" s="22">
        <v>1.97</v>
      </c>
      <c r="D56" s="22">
        <v>1.97</v>
      </c>
      <c r="E56" s="22">
        <f t="shared" si="6"/>
        <v>0.19700000000000001</v>
      </c>
      <c r="F56" s="22">
        <f t="shared" si="7"/>
        <v>19.7</v>
      </c>
      <c r="G56" s="304"/>
      <c r="H56" s="325"/>
    </row>
    <row r="57" spans="1:8" x14ac:dyDescent="0.25">
      <c r="A57" s="32">
        <v>8</v>
      </c>
      <c r="B57" s="22">
        <v>4320</v>
      </c>
      <c r="C57" s="22">
        <v>1.97</v>
      </c>
      <c r="D57" s="22">
        <v>1.97</v>
      </c>
      <c r="E57" s="22">
        <f t="shared" si="6"/>
        <v>0.19700000000000001</v>
      </c>
      <c r="F57" s="22">
        <f t="shared" si="7"/>
        <v>19.7</v>
      </c>
      <c r="G57" s="304"/>
      <c r="H57" s="325"/>
    </row>
    <row r="58" spans="1:8" ht="16.5" thickBot="1" x14ac:dyDescent="0.3">
      <c r="A58" s="73">
        <v>9</v>
      </c>
      <c r="B58" s="72">
        <v>5760</v>
      </c>
      <c r="C58" s="72">
        <v>1.97</v>
      </c>
      <c r="D58" s="72">
        <v>1.97</v>
      </c>
      <c r="E58" s="72">
        <f t="shared" si="6"/>
        <v>0.19700000000000001</v>
      </c>
      <c r="F58" s="72">
        <f t="shared" si="7"/>
        <v>19.7</v>
      </c>
      <c r="G58" s="304"/>
      <c r="H58" s="326"/>
    </row>
    <row r="59" spans="1:8" ht="16.5" thickBot="1" x14ac:dyDescent="0.3">
      <c r="A59" s="271" t="s">
        <v>96</v>
      </c>
      <c r="B59" s="272"/>
      <c r="C59" s="272"/>
      <c r="D59" s="272"/>
      <c r="E59" s="272"/>
      <c r="F59" s="272"/>
      <c r="G59" s="272"/>
      <c r="H59" s="273"/>
    </row>
    <row r="62" spans="1:8" ht="16.5" thickBot="1" x14ac:dyDescent="0.3"/>
    <row r="63" spans="1:8" ht="16.5" thickBot="1" x14ac:dyDescent="0.3">
      <c r="A63" s="271" t="s">
        <v>91</v>
      </c>
      <c r="B63" s="272"/>
      <c r="C63" s="272"/>
      <c r="D63" s="272"/>
      <c r="E63" s="272"/>
      <c r="F63" s="272"/>
      <c r="G63" s="272"/>
      <c r="H63" s="273"/>
    </row>
    <row r="64" spans="1:8" ht="79.5" thickBot="1" x14ac:dyDescent="0.3">
      <c r="A64" s="157" t="s">
        <v>31</v>
      </c>
      <c r="B64" s="159" t="s">
        <v>32</v>
      </c>
      <c r="C64" s="159" t="s">
        <v>33</v>
      </c>
      <c r="D64" s="159" t="s">
        <v>34</v>
      </c>
      <c r="E64" s="159" t="s">
        <v>35</v>
      </c>
      <c r="F64" s="159" t="s">
        <v>36</v>
      </c>
      <c r="G64" s="71" t="s">
        <v>37</v>
      </c>
      <c r="H64" s="196" t="s">
        <v>63</v>
      </c>
    </row>
    <row r="65" spans="1:18" x14ac:dyDescent="0.25">
      <c r="A65" s="30">
        <v>1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27">
        <v>35.700000000000003</v>
      </c>
      <c r="H65" s="325" t="s">
        <v>195</v>
      </c>
    </row>
    <row r="66" spans="1:18" x14ac:dyDescent="0.25">
      <c r="A66" s="32">
        <v>2</v>
      </c>
      <c r="B66" s="22">
        <v>5</v>
      </c>
      <c r="C66" s="22">
        <v>0.74</v>
      </c>
      <c r="D66" s="22">
        <v>0.74</v>
      </c>
      <c r="E66" s="22">
        <f>D66/10</f>
        <v>7.3999999999999996E-2</v>
      </c>
      <c r="F66" s="22">
        <f>E66*100</f>
        <v>7.3999999999999995</v>
      </c>
      <c r="G66" s="304"/>
      <c r="H66" s="325"/>
    </row>
    <row r="67" spans="1:18" x14ac:dyDescent="0.25">
      <c r="A67" s="32">
        <v>3</v>
      </c>
      <c r="B67" s="22">
        <v>10</v>
      </c>
      <c r="C67" s="22">
        <v>0.93</v>
      </c>
      <c r="D67" s="22">
        <v>0.93</v>
      </c>
      <c r="E67" s="22">
        <f t="shared" ref="E67:E73" si="8">D67/10</f>
        <v>9.2999999999999999E-2</v>
      </c>
      <c r="F67" s="22">
        <f t="shared" ref="F67:F73" si="9">E67*100</f>
        <v>9.3000000000000007</v>
      </c>
      <c r="G67" s="304"/>
      <c r="H67" s="325"/>
    </row>
    <row r="68" spans="1:18" x14ac:dyDescent="0.25">
      <c r="A68" s="32">
        <v>4</v>
      </c>
      <c r="B68" s="22">
        <v>30</v>
      </c>
      <c r="C68" s="22">
        <v>1.1200000000000001</v>
      </c>
      <c r="D68" s="22">
        <v>1.1200000000000001</v>
      </c>
      <c r="E68" s="22">
        <f t="shared" si="8"/>
        <v>0.11200000000000002</v>
      </c>
      <c r="F68" s="22">
        <f t="shared" si="9"/>
        <v>11.200000000000001</v>
      </c>
      <c r="G68" s="304"/>
      <c r="H68" s="325"/>
    </row>
    <row r="69" spans="1:18" x14ac:dyDescent="0.25">
      <c r="A69" s="32">
        <v>5</v>
      </c>
      <c r="B69" s="22">
        <v>60</v>
      </c>
      <c r="C69" s="22">
        <v>1.44</v>
      </c>
      <c r="D69" s="22">
        <v>1.44</v>
      </c>
      <c r="E69" s="22">
        <f t="shared" si="8"/>
        <v>0.14399999999999999</v>
      </c>
      <c r="F69" s="22">
        <f t="shared" si="9"/>
        <v>14.399999999999999</v>
      </c>
      <c r="G69" s="304"/>
      <c r="H69" s="325"/>
    </row>
    <row r="70" spans="1:18" x14ac:dyDescent="0.25">
      <c r="A70" s="32">
        <v>6</v>
      </c>
      <c r="B70" s="22">
        <v>1440</v>
      </c>
      <c r="C70" s="22">
        <v>1.69</v>
      </c>
      <c r="D70" s="22">
        <v>1.69</v>
      </c>
      <c r="E70" s="22">
        <f t="shared" si="8"/>
        <v>0.16899999999999998</v>
      </c>
      <c r="F70" s="22">
        <f t="shared" si="9"/>
        <v>16.899999999999999</v>
      </c>
      <c r="G70" s="304"/>
      <c r="H70" s="325"/>
    </row>
    <row r="71" spans="1:18" x14ac:dyDescent="0.25">
      <c r="A71" s="32">
        <v>7</v>
      </c>
      <c r="B71" s="22">
        <v>2880</v>
      </c>
      <c r="C71" s="22">
        <v>1.7</v>
      </c>
      <c r="D71" s="22">
        <v>1.7</v>
      </c>
      <c r="E71" s="22">
        <f t="shared" si="8"/>
        <v>0.16999999999999998</v>
      </c>
      <c r="F71" s="22">
        <f t="shared" si="9"/>
        <v>17</v>
      </c>
      <c r="G71" s="304"/>
      <c r="H71" s="325"/>
    </row>
    <row r="72" spans="1:18" x14ac:dyDescent="0.25">
      <c r="A72" s="32">
        <v>8</v>
      </c>
      <c r="B72" s="22">
        <v>4320</v>
      </c>
      <c r="C72" s="22">
        <v>1.7</v>
      </c>
      <c r="D72" s="22">
        <v>1.7</v>
      </c>
      <c r="E72" s="22">
        <f t="shared" si="8"/>
        <v>0.16999999999999998</v>
      </c>
      <c r="F72" s="22">
        <f t="shared" si="9"/>
        <v>17</v>
      </c>
      <c r="G72" s="304"/>
      <c r="H72" s="325"/>
    </row>
    <row r="73" spans="1:18" ht="16.5" thickBot="1" x14ac:dyDescent="0.3">
      <c r="A73" s="33">
        <v>9</v>
      </c>
      <c r="B73" s="34">
        <v>5760</v>
      </c>
      <c r="C73" s="34">
        <v>1.7</v>
      </c>
      <c r="D73" s="34">
        <v>1.7</v>
      </c>
      <c r="E73" s="34">
        <f t="shared" si="8"/>
        <v>0.16999999999999998</v>
      </c>
      <c r="F73" s="34">
        <f t="shared" si="9"/>
        <v>17</v>
      </c>
      <c r="G73" s="305"/>
      <c r="H73" s="326"/>
    </row>
    <row r="74" spans="1:18" ht="16.5" thickBot="1" x14ac:dyDescent="0.3">
      <c r="A74" s="271" t="s">
        <v>97</v>
      </c>
      <c r="B74" s="272"/>
      <c r="C74" s="272"/>
      <c r="D74" s="272"/>
      <c r="E74" s="272"/>
      <c r="F74" s="272"/>
      <c r="G74" s="272"/>
      <c r="H74" s="273"/>
    </row>
    <row r="77" spans="1:18" ht="16.5" thickBot="1" x14ac:dyDescent="0.3"/>
    <row r="78" spans="1:18" s="42" customFormat="1" ht="66" customHeight="1" x14ac:dyDescent="0.25">
      <c r="M78" s="161" t="s">
        <v>196</v>
      </c>
      <c r="N78" s="152" t="s">
        <v>197</v>
      </c>
      <c r="O78" s="152" t="s">
        <v>198</v>
      </c>
      <c r="P78" s="152" t="s">
        <v>199</v>
      </c>
      <c r="Q78" s="152" t="s">
        <v>200</v>
      </c>
      <c r="R78" s="153" t="s">
        <v>201</v>
      </c>
    </row>
    <row r="79" spans="1:18" s="14" customFormat="1" x14ac:dyDescent="0.25">
      <c r="M79" s="50">
        <v>13</v>
      </c>
      <c r="N79" s="13">
        <v>17</v>
      </c>
      <c r="O79" s="13" t="s">
        <v>195</v>
      </c>
      <c r="P79" s="13">
        <v>25.7</v>
      </c>
      <c r="Q79" s="13">
        <v>70.599999999999994</v>
      </c>
      <c r="R79" s="51">
        <v>3.7</v>
      </c>
    </row>
    <row r="80" spans="1:18" s="14" customFormat="1" x14ac:dyDescent="0.25">
      <c r="M80" s="50">
        <v>15</v>
      </c>
      <c r="N80" s="13">
        <v>19.7</v>
      </c>
      <c r="O80" s="13" t="s">
        <v>195</v>
      </c>
      <c r="P80" s="13">
        <v>15.1</v>
      </c>
      <c r="Q80" s="13">
        <v>73.099999999999994</v>
      </c>
      <c r="R80" s="51">
        <v>11.8</v>
      </c>
    </row>
    <row r="81" spans="13:18" s="14" customFormat="1" x14ac:dyDescent="0.25">
      <c r="M81" s="50">
        <v>16.5</v>
      </c>
      <c r="N81" s="13">
        <v>24</v>
      </c>
      <c r="O81" s="13" t="s">
        <v>195</v>
      </c>
      <c r="P81" s="13">
        <v>17.100000000000001</v>
      </c>
      <c r="Q81" s="13">
        <v>73.7</v>
      </c>
      <c r="R81" s="51">
        <v>9.1999999999999993</v>
      </c>
    </row>
    <row r="82" spans="13:18" s="14" customFormat="1" x14ac:dyDescent="0.25">
      <c r="M82" s="50">
        <v>18</v>
      </c>
      <c r="N82" s="13">
        <v>26</v>
      </c>
      <c r="O82" s="13" t="s">
        <v>195</v>
      </c>
      <c r="P82" s="13">
        <v>21</v>
      </c>
      <c r="Q82" s="13">
        <v>69.400000000000006</v>
      </c>
      <c r="R82" s="51">
        <v>9.6</v>
      </c>
    </row>
    <row r="83" spans="13:18" s="14" customFormat="1" ht="16.5" thickBot="1" x14ac:dyDescent="0.3">
      <c r="M83" s="52">
        <v>19</v>
      </c>
      <c r="N83" s="53">
        <v>18.3</v>
      </c>
      <c r="O83" s="53" t="s">
        <v>195</v>
      </c>
      <c r="P83" s="53">
        <v>31.3</v>
      </c>
      <c r="Q83" s="53">
        <v>65.5</v>
      </c>
      <c r="R83" s="56">
        <v>3.2</v>
      </c>
    </row>
    <row r="84" spans="13:18" s="14" customFormat="1" x14ac:dyDescent="0.25"/>
  </sheetData>
  <mergeCells count="20">
    <mergeCell ref="H5:H13"/>
    <mergeCell ref="A14:H14"/>
    <mergeCell ref="A3:H3"/>
    <mergeCell ref="H20:H28"/>
    <mergeCell ref="A18:H18"/>
    <mergeCell ref="G5:G13"/>
    <mergeCell ref="G20:G28"/>
    <mergeCell ref="A59:H59"/>
    <mergeCell ref="H65:H73"/>
    <mergeCell ref="A63:H63"/>
    <mergeCell ref="A74:H74"/>
    <mergeCell ref="A29:H29"/>
    <mergeCell ref="H35:H43"/>
    <mergeCell ref="A33:H33"/>
    <mergeCell ref="A44:H44"/>
    <mergeCell ref="H50:H58"/>
    <mergeCell ref="A48:H48"/>
    <mergeCell ref="G35:G43"/>
    <mergeCell ref="G50:G58"/>
    <mergeCell ref="G65:G73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1"/>
  <sheetViews>
    <sheetView topLeftCell="K25" zoomScale="43" zoomScaleNormal="43" workbookViewId="0">
      <selection activeCell="AI64" sqref="AI64"/>
    </sheetView>
  </sheetViews>
  <sheetFormatPr defaultColWidth="9.140625" defaultRowHeight="15.75" x14ac:dyDescent="0.25"/>
  <cols>
    <col min="1" max="1" width="14.5703125" style="17" customWidth="1"/>
    <col min="2" max="2" width="12.85546875" style="17" customWidth="1"/>
    <col min="3" max="3" width="11.5703125" style="17" customWidth="1"/>
    <col min="4" max="4" width="9.140625" style="17"/>
    <col min="5" max="5" width="18.5703125" style="17" customWidth="1"/>
    <col min="6" max="6" width="12.28515625" style="17" customWidth="1"/>
    <col min="7" max="7" width="22.140625" style="17" customWidth="1"/>
    <col min="8" max="8" width="25.140625" style="17" customWidth="1"/>
    <col min="9" max="9" width="24" style="17" customWidth="1"/>
    <col min="10" max="10" width="24.7109375" style="17" customWidth="1"/>
    <col min="11" max="11" width="27.5703125" style="17" customWidth="1"/>
    <col min="12" max="14" width="9.140625" style="17"/>
    <col min="15" max="15" width="15.42578125" style="17" customWidth="1"/>
    <col min="16" max="16" width="14" style="17" customWidth="1"/>
    <col min="17" max="17" width="13" style="17" customWidth="1"/>
    <col min="18" max="18" width="12.5703125" style="17" customWidth="1"/>
    <col min="19" max="19" width="12.140625" style="17" customWidth="1"/>
    <col min="20" max="20" width="12.85546875" style="17" customWidth="1"/>
    <col min="21" max="21" width="21" style="17" customWidth="1"/>
    <col min="22" max="22" width="24.28515625" style="17" customWidth="1"/>
    <col min="23" max="23" width="26.28515625" style="17" customWidth="1"/>
    <col min="24" max="24" width="22.85546875" style="17" customWidth="1"/>
    <col min="25" max="25" width="27.140625" style="17" customWidth="1"/>
    <col min="26" max="16384" width="9.140625" style="17"/>
  </cols>
  <sheetData>
    <row r="2" spans="1:25" ht="16.5" thickBot="1" x14ac:dyDescent="0.3"/>
    <row r="3" spans="1:25" ht="16.5" thickBot="1" x14ac:dyDescent="0.3">
      <c r="A3" s="271" t="s">
        <v>174</v>
      </c>
      <c r="B3" s="272"/>
      <c r="C3" s="272"/>
      <c r="D3" s="272"/>
      <c r="E3" s="272"/>
      <c r="F3" s="272"/>
      <c r="G3" s="272"/>
      <c r="H3" s="272"/>
      <c r="I3" s="272"/>
      <c r="J3" s="272"/>
      <c r="K3" s="273"/>
      <c r="O3" s="271" t="s">
        <v>178</v>
      </c>
      <c r="P3" s="272"/>
      <c r="Q3" s="272"/>
      <c r="R3" s="272"/>
      <c r="S3" s="272"/>
      <c r="T3" s="272"/>
      <c r="U3" s="272"/>
      <c r="V3" s="272"/>
      <c r="W3" s="272"/>
      <c r="X3" s="272"/>
      <c r="Y3" s="273"/>
    </row>
    <row r="4" spans="1:25" ht="24" customHeight="1" thickBot="1" x14ac:dyDescent="0.3">
      <c r="A4" s="162" t="s">
        <v>38</v>
      </c>
      <c r="B4" s="163" t="s">
        <v>39</v>
      </c>
      <c r="C4" s="163" t="s">
        <v>40</v>
      </c>
      <c r="D4" s="163" t="s">
        <v>41</v>
      </c>
      <c r="E4" s="163" t="s">
        <v>175</v>
      </c>
      <c r="F4" s="163" t="s">
        <v>42</v>
      </c>
      <c r="G4" s="163" t="s">
        <v>43</v>
      </c>
      <c r="H4" s="163" t="s">
        <v>83</v>
      </c>
      <c r="I4" s="210" t="s">
        <v>82</v>
      </c>
      <c r="J4" s="211" t="s">
        <v>84</v>
      </c>
      <c r="K4" s="212" t="s">
        <v>209</v>
      </c>
      <c r="O4" s="103" t="s">
        <v>38</v>
      </c>
      <c r="P4" s="100" t="s">
        <v>39</v>
      </c>
      <c r="Q4" s="100" t="s">
        <v>40</v>
      </c>
      <c r="R4" s="100" t="s">
        <v>41</v>
      </c>
      <c r="S4" s="100" t="s">
        <v>175</v>
      </c>
      <c r="T4" s="100" t="s">
        <v>42</v>
      </c>
      <c r="U4" s="100" t="s">
        <v>43</v>
      </c>
      <c r="V4" s="100" t="s">
        <v>83</v>
      </c>
      <c r="W4" s="101" t="s">
        <v>82</v>
      </c>
      <c r="X4" s="102" t="s">
        <v>84</v>
      </c>
      <c r="Y4" s="212" t="s">
        <v>209</v>
      </c>
    </row>
    <row r="5" spans="1:25" x14ac:dyDescent="0.25">
      <c r="A5" s="81">
        <v>45224</v>
      </c>
      <c r="B5" s="31" t="s">
        <v>85</v>
      </c>
      <c r="C5" s="31">
        <v>2.5</v>
      </c>
      <c r="D5" s="31">
        <v>8.6999999999999993</v>
      </c>
      <c r="E5" s="82">
        <f>(3.14*(8.7*8.7)*2.5)/4</f>
        <v>148.54162499999998</v>
      </c>
      <c r="F5" s="31">
        <v>306.7</v>
      </c>
      <c r="G5" s="82">
        <f>(306.7-289.1)/(289.1-102.3)*100</f>
        <v>9.4218415417558692</v>
      </c>
      <c r="H5" s="97">
        <v>0</v>
      </c>
      <c r="I5" s="96">
        <v>0</v>
      </c>
      <c r="J5" s="207">
        <v>0</v>
      </c>
      <c r="K5" s="335">
        <f>G5-(100*(E5-E8)/(F8-102.3))</f>
        <v>5.3661482869378876</v>
      </c>
      <c r="O5" s="81">
        <v>45224</v>
      </c>
      <c r="P5" s="31" t="s">
        <v>44</v>
      </c>
      <c r="Q5" s="31">
        <v>2.5</v>
      </c>
      <c r="R5" s="31">
        <v>8.6999999999999993</v>
      </c>
      <c r="S5" s="82">
        <f>(3.14*Q5*R5*R5)/4</f>
        <v>148.54162499999998</v>
      </c>
      <c r="T5" s="31">
        <v>313.8</v>
      </c>
      <c r="U5" s="82">
        <f>(T5-T8)/(T8-102.3)*100</f>
        <v>8.1841432225063944</v>
      </c>
      <c r="V5" s="97">
        <v>0</v>
      </c>
      <c r="W5" s="96">
        <v>0</v>
      </c>
      <c r="X5" s="84">
        <v>0</v>
      </c>
      <c r="Y5" s="335">
        <f>U5-(100*(S5-S8)/(T8-102.3))</f>
        <v>4.1190578644501556</v>
      </c>
    </row>
    <row r="6" spans="1:25" x14ac:dyDescent="0.25">
      <c r="A6" s="85">
        <v>45225</v>
      </c>
      <c r="B6" s="22" t="s">
        <v>86</v>
      </c>
      <c r="C6" s="22">
        <v>2.4500000000000002</v>
      </c>
      <c r="D6" s="22">
        <v>8.65</v>
      </c>
      <c r="E6" s="74">
        <f>(3.14*(8.65*8.65)*2.45)/4</f>
        <v>143.90237312500003</v>
      </c>
      <c r="F6" s="22">
        <v>291.2</v>
      </c>
      <c r="G6" s="74">
        <f>(306.7-291.2)/(291.2-102.3)*100</f>
        <v>8.2053996823716258</v>
      </c>
      <c r="H6" s="75">
        <f>(C$5-C6)/C$5</f>
        <v>1.9999999999999928E-2</v>
      </c>
      <c r="I6" s="78">
        <f>(D$5-D6)/D$5</f>
        <v>5.7471264367814868E-3</v>
      </c>
      <c r="J6" s="208">
        <f>(E$5-E6)/E$5</f>
        <v>3.1231998943056921E-2</v>
      </c>
      <c r="K6" s="336"/>
      <c r="O6" s="85">
        <v>45225</v>
      </c>
      <c r="P6" s="22" t="s">
        <v>45</v>
      </c>
      <c r="Q6" s="22">
        <v>2.4500000000000002</v>
      </c>
      <c r="R6" s="22">
        <v>8.65</v>
      </c>
      <c r="S6" s="74">
        <f>(3.14*Q6*R6*R6)/4</f>
        <v>143.90237312500003</v>
      </c>
      <c r="T6" s="22">
        <v>298.5</v>
      </c>
      <c r="U6" s="74">
        <f>(T5-T6)/(T6-102.3)*100</f>
        <v>7.798165137614685</v>
      </c>
      <c r="V6" s="15">
        <f>(Q$5-Q6)/Q$5</f>
        <v>1.9999999999999928E-2</v>
      </c>
      <c r="W6" s="78">
        <f>(R$5-R6)/R$5</f>
        <v>5.7471264367814868E-3</v>
      </c>
      <c r="X6" s="86">
        <f>(S$5-S6)/S$5</f>
        <v>3.1231998943056921E-2</v>
      </c>
      <c r="Y6" s="336"/>
    </row>
    <row r="7" spans="1:25" x14ac:dyDescent="0.25">
      <c r="A7" s="85">
        <v>45226</v>
      </c>
      <c r="B7" s="22" t="s">
        <v>87</v>
      </c>
      <c r="C7" s="22">
        <v>2.4</v>
      </c>
      <c r="D7" s="22">
        <v>8.6</v>
      </c>
      <c r="E7" s="74">
        <f>(3.14*(8.65*8.65)*2.4)/4</f>
        <v>140.96558999999999</v>
      </c>
      <c r="F7" s="22">
        <v>289.10000000000002</v>
      </c>
      <c r="G7" s="74">
        <f>(291.2-289.1)/(289.1-102.3)*100</f>
        <v>1.1241970021413092</v>
      </c>
      <c r="H7" s="75">
        <f t="shared" ref="H7:H8" si="0">(C$5-C7)/C$5</f>
        <v>4.0000000000000036E-2</v>
      </c>
      <c r="I7" s="78">
        <f t="shared" ref="I7:I8" si="1">(D$5-D7)/D$5</f>
        <v>1.1494252873563178E-2</v>
      </c>
      <c r="J7" s="208">
        <f t="shared" ref="J7:J8" si="2">(E$5-E7)/E$5</f>
        <v>5.1002774474831487E-2</v>
      </c>
      <c r="K7" s="336"/>
      <c r="O7" s="85">
        <v>45226</v>
      </c>
      <c r="P7" s="22" t="s">
        <v>46</v>
      </c>
      <c r="Q7" s="22">
        <v>2.4500000000000002</v>
      </c>
      <c r="R7" s="22">
        <v>8.5500000000000007</v>
      </c>
      <c r="S7" s="74">
        <f>(3.14*Q7*R7*R7)/4</f>
        <v>140.59438312500004</v>
      </c>
      <c r="T7" s="22">
        <v>297.8</v>
      </c>
      <c r="U7" s="74">
        <f t="shared" ref="U7:U8" si="3">(T6-T7)/(T7-102.3)*100</f>
        <v>0.35805626598464896</v>
      </c>
      <c r="V7" s="15">
        <f>(Q$5-Q7)/Q$5</f>
        <v>1.9999999999999928E-2</v>
      </c>
      <c r="W7" s="78">
        <f t="shared" ref="W7:W8" si="4">(R$5-R7)/R$5</f>
        <v>1.7241379310344664E-2</v>
      </c>
      <c r="X7" s="86">
        <f t="shared" ref="X7:X8" si="5">(S$5-S7)/S$5</f>
        <v>5.3501783590962783E-2</v>
      </c>
      <c r="Y7" s="336"/>
    </row>
    <row r="8" spans="1:25" ht="16.5" thickBot="1" x14ac:dyDescent="0.3">
      <c r="A8" s="87">
        <v>45227</v>
      </c>
      <c r="B8" s="34" t="s">
        <v>88</v>
      </c>
      <c r="C8" s="34">
        <v>2.4</v>
      </c>
      <c r="D8" s="34">
        <v>8.6</v>
      </c>
      <c r="E8" s="88">
        <f>(3.14*(8.65*8.65)*2.4)/4</f>
        <v>140.96558999999999</v>
      </c>
      <c r="F8" s="34">
        <v>289.10000000000002</v>
      </c>
      <c r="G8" s="88">
        <v>0</v>
      </c>
      <c r="H8" s="91">
        <f t="shared" si="0"/>
        <v>4.0000000000000036E-2</v>
      </c>
      <c r="I8" s="98">
        <f t="shared" si="1"/>
        <v>1.1494252873563178E-2</v>
      </c>
      <c r="J8" s="209">
        <f t="shared" si="2"/>
        <v>5.1002774474831487E-2</v>
      </c>
      <c r="K8" s="337"/>
      <c r="O8" s="87">
        <v>45227</v>
      </c>
      <c r="P8" s="34" t="s">
        <v>47</v>
      </c>
      <c r="Q8" s="34">
        <v>2.4500000000000002</v>
      </c>
      <c r="R8" s="34">
        <v>8.5500000000000007</v>
      </c>
      <c r="S8" s="88">
        <f>(3.14*Q8*R8*R8)/4</f>
        <v>140.59438312500004</v>
      </c>
      <c r="T8" s="34">
        <v>297.8</v>
      </c>
      <c r="U8" s="88">
        <f t="shared" si="3"/>
        <v>0</v>
      </c>
      <c r="V8" s="59">
        <f>(Q$5-Q8)/Q$5</f>
        <v>1.9999999999999928E-2</v>
      </c>
      <c r="W8" s="98">
        <f t="shared" si="4"/>
        <v>1.7241379310344664E-2</v>
      </c>
      <c r="X8" s="99">
        <f t="shared" si="5"/>
        <v>5.3501783590962783E-2</v>
      </c>
      <c r="Y8" s="337"/>
    </row>
    <row r="11" spans="1:25" ht="16.5" thickBot="1" x14ac:dyDescent="0.3"/>
    <row r="12" spans="1:25" ht="16.5" thickBot="1" x14ac:dyDescent="0.3">
      <c r="A12" s="271" t="s">
        <v>176</v>
      </c>
      <c r="B12" s="272"/>
      <c r="C12" s="272"/>
      <c r="D12" s="272"/>
      <c r="E12" s="272"/>
      <c r="F12" s="272"/>
      <c r="G12" s="272"/>
      <c r="H12" s="272"/>
      <c r="I12" s="272"/>
      <c r="J12" s="272"/>
      <c r="K12" s="273"/>
      <c r="O12" s="271" t="s">
        <v>179</v>
      </c>
      <c r="P12" s="272"/>
      <c r="Q12" s="272"/>
      <c r="R12" s="272"/>
      <c r="S12" s="272"/>
      <c r="T12" s="272"/>
      <c r="U12" s="272"/>
      <c r="V12" s="272"/>
      <c r="W12" s="272"/>
      <c r="X12" s="272"/>
      <c r="Y12" s="273"/>
    </row>
    <row r="13" spans="1:25" ht="25.5" customHeight="1" thickBot="1" x14ac:dyDescent="0.3">
      <c r="A13" s="10" t="s">
        <v>38</v>
      </c>
      <c r="B13" s="11" t="s">
        <v>39</v>
      </c>
      <c r="C13" s="11" t="s">
        <v>40</v>
      </c>
      <c r="D13" s="11" t="s">
        <v>41</v>
      </c>
      <c r="E13" s="11" t="s">
        <v>175</v>
      </c>
      <c r="F13" s="11" t="s">
        <v>42</v>
      </c>
      <c r="G13" s="11" t="s">
        <v>43</v>
      </c>
      <c r="H13" s="11" t="s">
        <v>83</v>
      </c>
      <c r="I13" s="89" t="s">
        <v>82</v>
      </c>
      <c r="J13" s="90" t="s">
        <v>84</v>
      </c>
      <c r="K13" s="212" t="s">
        <v>209</v>
      </c>
      <c r="O13" s="64" t="s">
        <v>38</v>
      </c>
      <c r="P13" s="65" t="s">
        <v>39</v>
      </c>
      <c r="Q13" s="65" t="s">
        <v>40</v>
      </c>
      <c r="R13" s="65" t="s">
        <v>41</v>
      </c>
      <c r="S13" s="65" t="s">
        <v>175</v>
      </c>
      <c r="T13" s="65" t="s">
        <v>42</v>
      </c>
      <c r="U13" s="65" t="s">
        <v>43</v>
      </c>
      <c r="V13" s="65" t="s">
        <v>83</v>
      </c>
      <c r="W13" s="79" t="s">
        <v>82</v>
      </c>
      <c r="X13" s="80" t="s">
        <v>84</v>
      </c>
      <c r="Y13" s="212" t="s">
        <v>209</v>
      </c>
    </row>
    <row r="14" spans="1:25" x14ac:dyDescent="0.25">
      <c r="A14" s="81">
        <v>45224</v>
      </c>
      <c r="B14" s="31" t="s">
        <v>44</v>
      </c>
      <c r="C14" s="31">
        <v>2.4</v>
      </c>
      <c r="D14" s="31">
        <v>8.6999999999999993</v>
      </c>
      <c r="E14" s="82">
        <f>(3.14*C14*D14*D14)/4</f>
        <v>142.59995999999998</v>
      </c>
      <c r="F14" s="31">
        <v>315.7</v>
      </c>
      <c r="G14" s="82">
        <f>(F14-F17)/(F17-102.3)*100</f>
        <v>3.0420086914534101</v>
      </c>
      <c r="H14" s="97">
        <f>(C14-C15)/C14</f>
        <v>0</v>
      </c>
      <c r="I14" s="83">
        <v>0</v>
      </c>
      <c r="J14" s="84">
        <v>0</v>
      </c>
      <c r="K14" s="335">
        <f>G14-(100*(E14-E17)/(F17-102.3))</f>
        <v>6.6513761467909216E-2</v>
      </c>
      <c r="O14" s="81">
        <v>45227</v>
      </c>
      <c r="P14" s="31" t="s">
        <v>44</v>
      </c>
      <c r="Q14" s="31">
        <v>3.5</v>
      </c>
      <c r="R14" s="31">
        <v>7.15</v>
      </c>
      <c r="S14" s="82">
        <f>(Q14*R14*R14*3.14)/4</f>
        <v>140.45906875000003</v>
      </c>
      <c r="T14" s="31">
        <v>340.4</v>
      </c>
      <c r="U14" s="82">
        <f>(T14-T17)/(T17-78.6)*100</f>
        <v>5.479452054794506</v>
      </c>
      <c r="V14" s="97">
        <v>0</v>
      </c>
      <c r="W14" s="96">
        <v>0</v>
      </c>
      <c r="X14" s="84">
        <v>0</v>
      </c>
      <c r="Y14" s="335">
        <f>U14-(100*(S14-S17)/(T17-78.6))</f>
        <v>3.1215660253827373</v>
      </c>
    </row>
    <row r="15" spans="1:25" x14ac:dyDescent="0.25">
      <c r="A15" s="85">
        <v>45225</v>
      </c>
      <c r="B15" s="22" t="s">
        <v>45</v>
      </c>
      <c r="C15" s="22">
        <v>2.4</v>
      </c>
      <c r="D15" s="22">
        <v>8.65</v>
      </c>
      <c r="E15" s="74">
        <f t="shared" ref="E15:E17" si="6">(3.14*C15*D15*D15)/4</f>
        <v>140.96559000000002</v>
      </c>
      <c r="F15" s="22">
        <v>310.8</v>
      </c>
      <c r="G15" s="74">
        <f>(F14-F15)/(F15-102.3)*100</f>
        <v>2.3501199040767276</v>
      </c>
      <c r="H15" s="75">
        <f t="shared" ref="H15:H16" si="7">(C15-C16)/C15</f>
        <v>0</v>
      </c>
      <c r="I15" s="77">
        <f>(D$14-D15)/D$14</f>
        <v>5.7471264367814868E-3</v>
      </c>
      <c r="J15" s="86">
        <f>(E14-E15)/E14</f>
        <v>1.1461223411282596E-2</v>
      </c>
      <c r="K15" s="336"/>
      <c r="O15" s="85">
        <v>45228</v>
      </c>
      <c r="P15" s="22" t="s">
        <v>45</v>
      </c>
      <c r="Q15" s="22">
        <v>3.45</v>
      </c>
      <c r="R15" s="22">
        <v>7.1</v>
      </c>
      <c r="S15" s="74">
        <f>(Q15*R15*R15*3.14)/4</f>
        <v>136.52288250000001</v>
      </c>
      <c r="T15" s="22">
        <v>332.2</v>
      </c>
      <c r="U15" s="74">
        <f>(T14-T15)/(T15-76.8)*100</f>
        <v>3.210649960845728</v>
      </c>
      <c r="V15" s="75">
        <f>(Q$14-Q15)/Q$14</f>
        <v>1.4285714285714235E-2</v>
      </c>
      <c r="W15" s="78">
        <f>(R$14-R15)/R$14</f>
        <v>6.9930069930070919E-3</v>
      </c>
      <c r="X15" s="86">
        <f>(S$14-S15)/S$14</f>
        <v>2.8023724527221166E-2</v>
      </c>
      <c r="Y15" s="336"/>
    </row>
    <row r="16" spans="1:25" x14ac:dyDescent="0.25">
      <c r="A16" s="85">
        <v>45226</v>
      </c>
      <c r="B16" s="22" t="s">
        <v>46</v>
      </c>
      <c r="C16" s="22">
        <v>2.4</v>
      </c>
      <c r="D16" s="22">
        <v>8.6</v>
      </c>
      <c r="E16" s="74">
        <f t="shared" si="6"/>
        <v>139.34063999999998</v>
      </c>
      <c r="F16" s="22">
        <v>309.39999999999998</v>
      </c>
      <c r="G16" s="74">
        <f>(F15-F16)/(F16-102.3)*100</f>
        <v>0.67600193143410636</v>
      </c>
      <c r="H16" s="75">
        <f t="shared" si="7"/>
        <v>2.0833333333333259E-2</v>
      </c>
      <c r="I16" s="77">
        <f t="shared" ref="I16:I17" si="8">(D$14-D16)/D$14</f>
        <v>1.1494252873563178E-2</v>
      </c>
      <c r="J16" s="86">
        <f t="shared" ref="J16:J17" si="9">(E15-E16)/E15</f>
        <v>1.1527281232249947E-2</v>
      </c>
      <c r="K16" s="336"/>
      <c r="O16" s="85">
        <v>45229</v>
      </c>
      <c r="P16" s="22" t="s">
        <v>46</v>
      </c>
      <c r="Q16" s="22">
        <v>3.45</v>
      </c>
      <c r="R16" s="22">
        <v>7.05</v>
      </c>
      <c r="S16" s="74">
        <f>(Q16*R16*R16*3.14)/4</f>
        <v>134.60679562500002</v>
      </c>
      <c r="T16" s="22">
        <v>326.8</v>
      </c>
      <c r="U16" s="74">
        <f>(T15-T16)/(T16-76.8)*100</f>
        <v>2.1599999999999908</v>
      </c>
      <c r="V16" s="75">
        <f>(Q$14-Q16)/Q$14</f>
        <v>1.4285714285714235E-2</v>
      </c>
      <c r="W16" s="78">
        <f t="shared" ref="W16:W17" si="10">(R$14-R16)/R$14</f>
        <v>1.3986013986014061E-2</v>
      </c>
      <c r="X16" s="86">
        <f t="shared" ref="X16:X17" si="11">(S$14-S16)/S$14</f>
        <v>4.166532767931376E-2</v>
      </c>
      <c r="Y16" s="336"/>
    </row>
    <row r="17" spans="1:25" ht="16.5" thickBot="1" x14ac:dyDescent="0.3">
      <c r="A17" s="87">
        <v>45227</v>
      </c>
      <c r="B17" s="34" t="s">
        <v>47</v>
      </c>
      <c r="C17" s="34">
        <v>2.35</v>
      </c>
      <c r="D17" s="34">
        <v>8.6</v>
      </c>
      <c r="E17" s="88">
        <f t="shared" si="6"/>
        <v>136.43771000000001</v>
      </c>
      <c r="F17" s="34">
        <v>309.39999999999998</v>
      </c>
      <c r="G17" s="88">
        <f>(F16-F17)/(F20-102.3)</f>
        <v>0</v>
      </c>
      <c r="H17" s="91">
        <v>0</v>
      </c>
      <c r="I17" s="92">
        <f t="shared" si="8"/>
        <v>1.1494252873563178E-2</v>
      </c>
      <c r="J17" s="99">
        <f t="shared" si="9"/>
        <v>2.0833333333333117E-2</v>
      </c>
      <c r="K17" s="337"/>
      <c r="O17" s="95">
        <v>45230</v>
      </c>
      <c r="P17" s="34" t="s">
        <v>47</v>
      </c>
      <c r="Q17" s="34">
        <v>3.45</v>
      </c>
      <c r="R17" s="34">
        <v>7.05</v>
      </c>
      <c r="S17" s="88">
        <f>(Q17*R17*R17*3.14)/4</f>
        <v>134.60679562500002</v>
      </c>
      <c r="T17" s="34">
        <v>326.8</v>
      </c>
      <c r="U17" s="88">
        <f t="shared" ref="U17" si="12">(T16-T17)/(T17-76.8)*100</f>
        <v>0</v>
      </c>
      <c r="V17" s="91">
        <f>(Q$14-Q17)/Q$14</f>
        <v>1.4285714285714235E-2</v>
      </c>
      <c r="W17" s="98">
        <f t="shared" si="10"/>
        <v>1.3986013986014061E-2</v>
      </c>
      <c r="X17" s="99">
        <f t="shared" si="11"/>
        <v>4.166532767931376E-2</v>
      </c>
      <c r="Y17" s="337"/>
    </row>
    <row r="21" spans="1:25" ht="16.5" thickBot="1" x14ac:dyDescent="0.3"/>
    <row r="22" spans="1:25" ht="16.5" thickBot="1" x14ac:dyDescent="0.3">
      <c r="A22" s="213" t="s">
        <v>177</v>
      </c>
      <c r="B22" s="214"/>
      <c r="C22" s="214"/>
      <c r="D22" s="214"/>
      <c r="E22" s="214"/>
      <c r="F22" s="214"/>
      <c r="G22" s="214"/>
      <c r="H22" s="214"/>
      <c r="I22" s="214"/>
      <c r="J22" s="215"/>
      <c r="K22" s="186"/>
    </row>
    <row r="23" spans="1:25" ht="19.5" thickBot="1" x14ac:dyDescent="0.3">
      <c r="A23" s="10" t="s">
        <v>38</v>
      </c>
      <c r="B23" s="11" t="s">
        <v>39</v>
      </c>
      <c r="C23" s="11" t="s">
        <v>40</v>
      </c>
      <c r="D23" s="11" t="s">
        <v>41</v>
      </c>
      <c r="E23" s="11" t="s">
        <v>175</v>
      </c>
      <c r="F23" s="11" t="s">
        <v>42</v>
      </c>
      <c r="G23" s="11" t="s">
        <v>43</v>
      </c>
      <c r="H23" s="11" t="s">
        <v>83</v>
      </c>
      <c r="I23" s="90" t="s">
        <v>82</v>
      </c>
      <c r="J23" s="93" t="s">
        <v>84</v>
      </c>
      <c r="K23" s="212" t="s">
        <v>208</v>
      </c>
    </row>
    <row r="24" spans="1:25" x14ac:dyDescent="0.25">
      <c r="A24" s="81">
        <v>45227</v>
      </c>
      <c r="B24" s="31" t="s">
        <v>44</v>
      </c>
      <c r="C24" s="31">
        <v>3.47</v>
      </c>
      <c r="D24" s="31">
        <v>7.15</v>
      </c>
      <c r="E24" s="82">
        <f>(C24*3.14*D24*D24)/4</f>
        <v>139.25513387500001</v>
      </c>
      <c r="F24" s="31">
        <v>346.5</v>
      </c>
      <c r="G24" s="82">
        <f>(F24-F27)/(F27-78.9)*100</f>
        <v>7.4698795180722994</v>
      </c>
      <c r="H24" s="97">
        <v>0</v>
      </c>
      <c r="I24" s="96">
        <v>0</v>
      </c>
      <c r="J24" s="84">
        <v>0</v>
      </c>
      <c r="K24" s="335">
        <f>G24-(100*(E24-E27)/(F27-78.9))</f>
        <v>4.0361508032128519</v>
      </c>
    </row>
    <row r="25" spans="1:25" x14ac:dyDescent="0.25">
      <c r="A25" s="85">
        <v>45228</v>
      </c>
      <c r="B25" s="22" t="s">
        <v>45</v>
      </c>
      <c r="C25" s="22">
        <v>3.4</v>
      </c>
      <c r="D25" s="22">
        <v>7.1</v>
      </c>
      <c r="E25" s="74">
        <f>(C25*3.14*D25*D25)/4</f>
        <v>134.54428999999999</v>
      </c>
      <c r="F25" s="22">
        <v>329.4</v>
      </c>
      <c r="G25" s="74">
        <f>(F24-F25)/(F25-78.9)*100</f>
        <v>6.8263473053892314</v>
      </c>
      <c r="H25" s="75">
        <f>(C$24-C25)/C$24</f>
        <v>2.0172910662824287E-2</v>
      </c>
      <c r="I25" s="78">
        <f>(D$24-D25)/D$24</f>
        <v>6.9930069930070919E-3</v>
      </c>
      <c r="J25" s="86">
        <f>(E$24-E25)/E$24</f>
        <v>3.3828870390003943E-2</v>
      </c>
      <c r="K25" s="336"/>
    </row>
    <row r="26" spans="1:25" x14ac:dyDescent="0.25">
      <c r="A26" s="85">
        <v>45229</v>
      </c>
      <c r="B26" s="22" t="s">
        <v>46</v>
      </c>
      <c r="C26" s="22">
        <v>3.35</v>
      </c>
      <c r="D26" s="22">
        <v>7.05</v>
      </c>
      <c r="E26" s="74">
        <f t="shared" ref="E26:E27" si="13">(C26*3.14*D26*D26)/4</f>
        <v>130.70514937499999</v>
      </c>
      <c r="F26" s="22">
        <v>327.9</v>
      </c>
      <c r="G26" s="74">
        <f>(F25-F26)/(F26-78.9)*100</f>
        <v>0.60240963855421692</v>
      </c>
      <c r="H26" s="75">
        <f t="shared" ref="H26:H27" si="14">(C$24-C26)/C$24</f>
        <v>3.4582132564841529E-2</v>
      </c>
      <c r="I26" s="78">
        <f t="shared" ref="I26:I27" si="15">(D$24-D26)/D$24</f>
        <v>1.3986013986014061E-2</v>
      </c>
      <c r="J26" s="86">
        <f t="shared" ref="J26:J27" si="16">(E$24-E26)/E$24</f>
        <v>6.1397984132310478E-2</v>
      </c>
      <c r="K26" s="336"/>
    </row>
    <row r="27" spans="1:25" ht="16.5" thickBot="1" x14ac:dyDescent="0.3">
      <c r="A27" s="95">
        <v>45230</v>
      </c>
      <c r="B27" s="34" t="s">
        <v>47</v>
      </c>
      <c r="C27" s="34">
        <v>3.35</v>
      </c>
      <c r="D27" s="34">
        <v>7.05</v>
      </c>
      <c r="E27" s="88">
        <f t="shared" si="13"/>
        <v>130.70514937499999</v>
      </c>
      <c r="F27" s="34">
        <v>327.9</v>
      </c>
      <c r="G27" s="88">
        <f t="shared" ref="G27" si="17">(F26-F27)/(F27-78.9)*100</f>
        <v>0</v>
      </c>
      <c r="H27" s="91">
        <f t="shared" si="14"/>
        <v>3.4582132564841529E-2</v>
      </c>
      <c r="I27" s="98">
        <f t="shared" si="15"/>
        <v>1.3986013986014061E-2</v>
      </c>
      <c r="J27" s="99">
        <f t="shared" si="16"/>
        <v>6.1397984132310478E-2</v>
      </c>
      <c r="K27" s="337"/>
    </row>
    <row r="45" spans="7:11" ht="16.5" thickBot="1" x14ac:dyDescent="0.3"/>
    <row r="46" spans="7:11" ht="31.5" x14ac:dyDescent="0.25">
      <c r="G46" s="166" t="s">
        <v>196</v>
      </c>
      <c r="H46" s="164" t="s">
        <v>210</v>
      </c>
      <c r="I46" s="164" t="s">
        <v>199</v>
      </c>
      <c r="J46" s="164" t="s">
        <v>200</v>
      </c>
      <c r="K46" s="165" t="s">
        <v>201</v>
      </c>
    </row>
    <row r="47" spans="7:11" x14ac:dyDescent="0.25">
      <c r="G47" s="50">
        <v>13</v>
      </c>
      <c r="H47" s="191">
        <v>0.05</v>
      </c>
      <c r="I47" s="191">
        <v>25.7</v>
      </c>
      <c r="J47" s="191">
        <v>70.599999999999994</v>
      </c>
      <c r="K47" s="197">
        <v>3.7</v>
      </c>
    </row>
    <row r="48" spans="7:11" x14ac:dyDescent="0.25">
      <c r="G48" s="50">
        <v>15</v>
      </c>
      <c r="H48" s="191">
        <v>0.05</v>
      </c>
      <c r="I48" s="191">
        <v>15.1</v>
      </c>
      <c r="J48" s="191">
        <v>73.099999999999994</v>
      </c>
      <c r="K48" s="197">
        <v>11.8</v>
      </c>
    </row>
    <row r="49" spans="7:11" x14ac:dyDescent="0.25">
      <c r="G49" s="50">
        <v>16.5</v>
      </c>
      <c r="H49" s="191">
        <v>0.02</v>
      </c>
      <c r="I49" s="191">
        <v>17.100000000000001</v>
      </c>
      <c r="J49" s="191">
        <v>73.7</v>
      </c>
      <c r="K49" s="197">
        <v>9.1999999999999993</v>
      </c>
    </row>
    <row r="50" spans="7:11" x14ac:dyDescent="0.25">
      <c r="G50" s="50">
        <v>18</v>
      </c>
      <c r="H50" s="191">
        <v>0.04</v>
      </c>
      <c r="I50" s="191">
        <v>21</v>
      </c>
      <c r="J50" s="191">
        <v>69.400000000000006</v>
      </c>
      <c r="K50" s="197">
        <v>9.6</v>
      </c>
    </row>
    <row r="51" spans="7:11" ht="16.5" thickBot="1" x14ac:dyDescent="0.3">
      <c r="G51" s="52">
        <v>19</v>
      </c>
      <c r="H51" s="192">
        <v>0.06</v>
      </c>
      <c r="I51" s="192">
        <v>31.3</v>
      </c>
      <c r="J51" s="192">
        <v>65.5</v>
      </c>
      <c r="K51" s="198">
        <v>3.2</v>
      </c>
    </row>
  </sheetData>
  <mergeCells count="9">
    <mergeCell ref="K24:K27"/>
    <mergeCell ref="Y5:Y8"/>
    <mergeCell ref="Y14:Y17"/>
    <mergeCell ref="O12:Y12"/>
    <mergeCell ref="O3:Y3"/>
    <mergeCell ref="A12:K12"/>
    <mergeCell ref="A3:K3"/>
    <mergeCell ref="K5:K8"/>
    <mergeCell ref="K14:K1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"/>
  <sheetViews>
    <sheetView zoomScale="39" zoomScaleNormal="39" workbookViewId="0">
      <selection activeCell="U46" sqref="U46"/>
    </sheetView>
  </sheetViews>
  <sheetFormatPr defaultColWidth="9.140625" defaultRowHeight="15.75" x14ac:dyDescent="0.25"/>
  <cols>
    <col min="1" max="1" width="21.7109375" style="17" customWidth="1"/>
    <col min="2" max="2" width="17.7109375" style="17" customWidth="1"/>
    <col min="3" max="3" width="18" style="17" customWidth="1"/>
    <col min="4" max="4" width="15.42578125" style="17" customWidth="1"/>
    <col min="5" max="14" width="9.140625" style="17"/>
    <col min="15" max="15" width="20.5703125" style="17" customWidth="1"/>
    <col min="16" max="16" width="19.5703125" style="17" customWidth="1"/>
    <col min="17" max="17" width="21.140625" style="17" customWidth="1"/>
    <col min="18" max="18" width="21.7109375" style="17" customWidth="1"/>
    <col min="19" max="19" width="21.5703125" style="17" customWidth="1"/>
    <col min="20" max="20" width="18.28515625" style="17" customWidth="1"/>
    <col min="21" max="21" width="17.42578125" style="17" customWidth="1"/>
    <col min="22" max="22" width="18.42578125" style="17" customWidth="1"/>
    <col min="23" max="16384" width="9.140625" style="17"/>
  </cols>
  <sheetData>
    <row r="1" spans="1:28" ht="16.5" thickBot="1" x14ac:dyDescent="0.3">
      <c r="A1" s="284" t="s">
        <v>77</v>
      </c>
      <c r="B1" s="285"/>
      <c r="C1" s="285"/>
      <c r="D1" s="286"/>
    </row>
    <row r="2" spans="1:28" ht="48" thickBot="1" x14ac:dyDescent="0.3">
      <c r="A2" s="144" t="s">
        <v>74</v>
      </c>
      <c r="B2" s="67" t="s">
        <v>75</v>
      </c>
      <c r="C2" s="67" t="s">
        <v>202</v>
      </c>
      <c r="D2" s="68" t="s">
        <v>76</v>
      </c>
      <c r="O2" s="199" t="s">
        <v>203</v>
      </c>
      <c r="P2" s="158" t="s">
        <v>76</v>
      </c>
      <c r="Q2" s="158" t="s">
        <v>204</v>
      </c>
      <c r="R2" s="158" t="s">
        <v>200</v>
      </c>
      <c r="S2" s="158" t="s">
        <v>201</v>
      </c>
      <c r="T2" s="158" t="s">
        <v>205</v>
      </c>
      <c r="U2" s="158" t="s">
        <v>206</v>
      </c>
      <c r="V2" s="200" t="s">
        <v>207</v>
      </c>
      <c r="W2" s="42"/>
      <c r="X2" s="42"/>
      <c r="Y2" s="42"/>
      <c r="Z2" s="42"/>
      <c r="AA2" s="42"/>
      <c r="AB2" s="42"/>
    </row>
    <row r="3" spans="1:28" x14ac:dyDescent="0.25">
      <c r="A3" s="30">
        <v>0</v>
      </c>
      <c r="B3" s="31">
        <v>0</v>
      </c>
      <c r="C3" s="94">
        <f>B3/100</f>
        <v>0</v>
      </c>
      <c r="D3" s="338">
        <f>(A11*10)/1000</f>
        <v>0.34811739999999997</v>
      </c>
      <c r="O3" s="45">
        <v>13</v>
      </c>
      <c r="P3" s="46">
        <v>0.3</v>
      </c>
      <c r="Q3" s="46">
        <v>25.7</v>
      </c>
      <c r="R3" s="46">
        <v>70.599999999999994</v>
      </c>
      <c r="S3" s="203">
        <v>3.7</v>
      </c>
      <c r="T3" s="46">
        <v>1.67</v>
      </c>
      <c r="U3" s="46">
        <v>43.8</v>
      </c>
      <c r="V3" s="204">
        <v>2.71</v>
      </c>
    </row>
    <row r="4" spans="1:28" x14ac:dyDescent="0.25">
      <c r="A4" s="145">
        <v>5.3556520000000001</v>
      </c>
      <c r="B4" s="77">
        <v>1.57944E-2</v>
      </c>
      <c r="C4" s="76">
        <f t="shared" ref="C4:C13" si="0">B4/100</f>
        <v>1.57944E-4</v>
      </c>
      <c r="D4" s="339"/>
      <c r="O4" s="50">
        <v>15</v>
      </c>
      <c r="P4" s="13">
        <v>0.5</v>
      </c>
      <c r="Q4" s="13">
        <v>15.1</v>
      </c>
      <c r="R4" s="13">
        <v>73.099999999999994</v>
      </c>
      <c r="S4" s="201">
        <v>11.8</v>
      </c>
      <c r="T4" s="13">
        <v>1.68</v>
      </c>
      <c r="U4" s="13">
        <v>42.4</v>
      </c>
      <c r="V4" s="205">
        <v>2.7</v>
      </c>
    </row>
    <row r="5" spans="1:28" x14ac:dyDescent="0.25">
      <c r="A5" s="145">
        <v>12.050219999999999</v>
      </c>
      <c r="B5" s="77">
        <v>0.14741489999999999</v>
      </c>
      <c r="C5" s="76">
        <f t="shared" si="0"/>
        <v>1.4741489999999999E-3</v>
      </c>
      <c r="D5" s="339"/>
      <c r="O5" s="50">
        <v>16.5</v>
      </c>
      <c r="P5" s="13">
        <v>0.6</v>
      </c>
      <c r="Q5" s="13">
        <v>17.100000000000001</v>
      </c>
      <c r="R5" s="13">
        <v>73.7</v>
      </c>
      <c r="S5" s="201">
        <v>9.1999999999999993</v>
      </c>
      <c r="T5" s="13">
        <v>1.73</v>
      </c>
      <c r="U5" s="13">
        <v>37.799999999999997</v>
      </c>
      <c r="V5" s="205">
        <v>2.69</v>
      </c>
    </row>
    <row r="6" spans="1:28" x14ac:dyDescent="0.25">
      <c r="A6" s="145">
        <v>22.761520000000001</v>
      </c>
      <c r="B6" s="77">
        <v>0.35274290000000003</v>
      </c>
      <c r="C6" s="76">
        <f t="shared" si="0"/>
        <v>3.5274290000000003E-3</v>
      </c>
      <c r="D6" s="339"/>
      <c r="O6" s="50">
        <v>18</v>
      </c>
      <c r="P6" s="13">
        <v>2</v>
      </c>
      <c r="Q6" s="13">
        <v>21</v>
      </c>
      <c r="R6" s="13">
        <v>69.400000000000006</v>
      </c>
      <c r="S6" s="201">
        <v>9.6</v>
      </c>
      <c r="T6" s="13">
        <v>1.75</v>
      </c>
      <c r="U6" s="13">
        <v>39.200000000000003</v>
      </c>
      <c r="V6" s="205">
        <v>2.72</v>
      </c>
    </row>
    <row r="7" spans="1:28" ht="16.5" thickBot="1" x14ac:dyDescent="0.3">
      <c r="A7" s="145">
        <v>22.761520000000001</v>
      </c>
      <c r="B7" s="77">
        <v>0.35274290000000003</v>
      </c>
      <c r="C7" s="76">
        <f t="shared" si="0"/>
        <v>3.5274290000000003E-3</v>
      </c>
      <c r="D7" s="339"/>
      <c r="O7" s="52">
        <v>19</v>
      </c>
      <c r="P7" s="53">
        <v>3</v>
      </c>
      <c r="Q7" s="53">
        <v>31.3</v>
      </c>
      <c r="R7" s="53">
        <v>65.5</v>
      </c>
      <c r="S7" s="202">
        <v>3.2</v>
      </c>
      <c r="T7" s="53">
        <v>1.89</v>
      </c>
      <c r="U7" s="53">
        <v>35.1</v>
      </c>
      <c r="V7" s="206">
        <v>2.71</v>
      </c>
    </row>
    <row r="8" spans="1:28" x14ac:dyDescent="0.25">
      <c r="A8" s="145">
        <v>22.761520000000001</v>
      </c>
      <c r="B8" s="77">
        <v>0.3843318</v>
      </c>
      <c r="C8" s="76">
        <f t="shared" si="0"/>
        <v>3.8433180000000001E-3</v>
      </c>
      <c r="D8" s="339"/>
      <c r="T8" s="23"/>
      <c r="U8" s="23"/>
    </row>
    <row r="9" spans="1:28" x14ac:dyDescent="0.25">
      <c r="A9" s="145">
        <v>22.761520000000001</v>
      </c>
      <c r="B9" s="77">
        <v>0.3843318</v>
      </c>
      <c r="C9" s="76">
        <f t="shared" si="0"/>
        <v>3.8433180000000001E-3</v>
      </c>
      <c r="D9" s="339"/>
    </row>
    <row r="10" spans="1:28" x14ac:dyDescent="0.25">
      <c r="A10" s="145">
        <v>28.117180000000001</v>
      </c>
      <c r="B10" s="77">
        <v>0.50015799999999999</v>
      </c>
      <c r="C10" s="76">
        <f t="shared" si="0"/>
        <v>5.0015800000000003E-3</v>
      </c>
      <c r="D10" s="339"/>
    </row>
    <row r="11" spans="1:28" x14ac:dyDescent="0.25">
      <c r="A11" s="146">
        <v>34.81174</v>
      </c>
      <c r="B11" s="136">
        <v>0.8265768</v>
      </c>
      <c r="C11" s="137">
        <f t="shared" si="0"/>
        <v>8.2657679999999997E-3</v>
      </c>
      <c r="D11" s="339"/>
    </row>
    <row r="12" spans="1:28" x14ac:dyDescent="0.25">
      <c r="A12" s="145">
        <v>29.45609</v>
      </c>
      <c r="B12" s="77">
        <v>1.700537</v>
      </c>
      <c r="C12" s="76">
        <f t="shared" si="0"/>
        <v>1.7005369999999999E-2</v>
      </c>
      <c r="D12" s="339"/>
    </row>
    <row r="13" spans="1:28" ht="16.5" thickBot="1" x14ac:dyDescent="0.3">
      <c r="A13" s="147">
        <v>14.72804</v>
      </c>
      <c r="B13" s="92">
        <v>4.7093780000000001</v>
      </c>
      <c r="C13" s="148">
        <f t="shared" si="0"/>
        <v>4.7093780000000002E-2</v>
      </c>
      <c r="D13" s="340"/>
    </row>
    <row r="14" spans="1:28" x14ac:dyDescent="0.25">
      <c r="F14" s="138"/>
      <c r="G14" s="138"/>
      <c r="H14" s="138"/>
      <c r="I14" s="138"/>
      <c r="J14" s="138"/>
      <c r="K14" s="138"/>
      <c r="L14" s="138"/>
      <c r="M14" s="138"/>
    </row>
    <row r="15" spans="1:28" x14ac:dyDescent="0.25">
      <c r="A15" s="138"/>
      <c r="B15" s="138"/>
      <c r="C15" s="138"/>
      <c r="D15" s="138"/>
      <c r="F15" s="138"/>
      <c r="G15" s="138"/>
      <c r="H15" s="138"/>
      <c r="I15" s="138"/>
      <c r="J15" s="138"/>
      <c r="K15" s="138"/>
      <c r="L15" s="138"/>
      <c r="M15" s="138"/>
    </row>
    <row r="16" spans="1:28" x14ac:dyDescent="0.25">
      <c r="A16" s="138"/>
      <c r="B16" s="138"/>
      <c r="C16" s="138"/>
      <c r="D16" s="138"/>
    </row>
    <row r="17" spans="1:13" ht="16.5" thickBot="1" x14ac:dyDescent="0.3"/>
    <row r="18" spans="1:13" ht="16.5" thickBot="1" x14ac:dyDescent="0.3">
      <c r="A18" s="284" t="s">
        <v>78</v>
      </c>
      <c r="B18" s="285"/>
      <c r="C18" s="285"/>
      <c r="D18" s="286"/>
    </row>
    <row r="19" spans="1:13" ht="48" thickBot="1" x14ac:dyDescent="0.3">
      <c r="A19" s="144" t="s">
        <v>74</v>
      </c>
      <c r="B19" s="67" t="s">
        <v>75</v>
      </c>
      <c r="C19" s="67" t="s">
        <v>202</v>
      </c>
      <c r="D19" s="68" t="s">
        <v>76</v>
      </c>
    </row>
    <row r="20" spans="1:13" x14ac:dyDescent="0.25">
      <c r="A20" s="30">
        <v>0</v>
      </c>
      <c r="B20" s="31">
        <v>0</v>
      </c>
      <c r="C20" s="94">
        <f>B20/100</f>
        <v>0</v>
      </c>
      <c r="D20" s="338">
        <f>(A29*10)/1000</f>
        <v>0.54895439999999995</v>
      </c>
    </row>
    <row r="21" spans="1:13" x14ac:dyDescent="0.25">
      <c r="A21" s="32">
        <v>13.38913</v>
      </c>
      <c r="B21" s="22">
        <v>7.3707579999999995E-2</v>
      </c>
      <c r="C21" s="76">
        <f t="shared" ref="C21:C30" si="1">B21/100</f>
        <v>7.3707579999999996E-4</v>
      </c>
      <c r="D21" s="339"/>
    </row>
    <row r="22" spans="1:13" x14ac:dyDescent="0.25">
      <c r="A22" s="32">
        <v>17.40587</v>
      </c>
      <c r="B22" s="22">
        <v>0.1158261</v>
      </c>
      <c r="C22" s="76">
        <f t="shared" si="1"/>
        <v>1.1582610000000001E-3</v>
      </c>
      <c r="D22" s="339"/>
    </row>
    <row r="23" spans="1:13" x14ac:dyDescent="0.25">
      <c r="A23" s="32">
        <v>18.744789999999998</v>
      </c>
      <c r="B23" s="22">
        <v>0.13688539999999999</v>
      </c>
      <c r="C23" s="76">
        <f t="shared" si="1"/>
        <v>1.3688539999999999E-3</v>
      </c>
      <c r="D23" s="339"/>
    </row>
    <row r="24" spans="1:13" x14ac:dyDescent="0.25">
      <c r="A24" s="32">
        <v>20.083690000000001</v>
      </c>
      <c r="B24" s="22">
        <v>0.15794469999999999</v>
      </c>
      <c r="C24" s="76">
        <f t="shared" si="1"/>
        <v>1.5794469999999999E-3</v>
      </c>
      <c r="D24" s="339"/>
    </row>
    <row r="25" spans="1:13" x14ac:dyDescent="0.25">
      <c r="A25" s="32">
        <v>30.795000000000002</v>
      </c>
      <c r="B25" s="22">
        <v>0.27903559999999999</v>
      </c>
      <c r="C25" s="76">
        <f t="shared" si="1"/>
        <v>2.7903559999999999E-3</v>
      </c>
      <c r="D25" s="339"/>
    </row>
    <row r="26" spans="1:13" x14ac:dyDescent="0.25">
      <c r="A26" s="32">
        <v>37.489570000000001</v>
      </c>
      <c r="B26" s="22">
        <v>0.3632727</v>
      </c>
      <c r="C26" s="76">
        <f t="shared" si="1"/>
        <v>3.6327270000000001E-3</v>
      </c>
      <c r="D26" s="339"/>
    </row>
    <row r="27" spans="1:13" x14ac:dyDescent="0.25">
      <c r="A27" s="32">
        <v>40.167389999999997</v>
      </c>
      <c r="B27" s="22">
        <v>0.42645050000000001</v>
      </c>
      <c r="C27" s="76">
        <f t="shared" si="1"/>
        <v>4.264505E-3</v>
      </c>
      <c r="D27" s="339"/>
    </row>
    <row r="28" spans="1:13" x14ac:dyDescent="0.25">
      <c r="A28" s="32">
        <v>46.861960000000003</v>
      </c>
      <c r="B28" s="22">
        <v>0.55280609999999997</v>
      </c>
      <c r="C28" s="76">
        <f t="shared" si="1"/>
        <v>5.5280609999999999E-3</v>
      </c>
      <c r="D28" s="339"/>
    </row>
    <row r="29" spans="1:13" x14ac:dyDescent="0.25">
      <c r="A29" s="150">
        <v>54.895440000000001</v>
      </c>
      <c r="B29" s="149">
        <v>0.91607879999999997</v>
      </c>
      <c r="C29" s="137">
        <f t="shared" si="1"/>
        <v>9.1607879999999996E-3</v>
      </c>
      <c r="D29" s="339"/>
    </row>
    <row r="30" spans="1:13" ht="16.5" thickBot="1" x14ac:dyDescent="0.3">
      <c r="A30" s="33">
        <v>22.761520000000001</v>
      </c>
      <c r="B30" s="34">
        <v>2.148047</v>
      </c>
      <c r="C30" s="148">
        <f t="shared" si="1"/>
        <v>2.1480470000000002E-2</v>
      </c>
      <c r="D30" s="340"/>
    </row>
    <row r="31" spans="1:13" x14ac:dyDescent="0.25">
      <c r="A31" s="23"/>
      <c r="B31" s="23"/>
      <c r="C31" s="139"/>
      <c r="D31" s="140"/>
    </row>
    <row r="32" spans="1:13" x14ac:dyDescent="0.25">
      <c r="A32" s="138"/>
      <c r="B32" s="141"/>
      <c r="C32" s="142"/>
      <c r="D32" s="138"/>
      <c r="F32" s="138"/>
      <c r="G32" s="138"/>
      <c r="H32" s="138"/>
      <c r="I32" s="138"/>
      <c r="J32" s="138"/>
      <c r="K32" s="138"/>
      <c r="L32" s="138"/>
      <c r="M32" s="138"/>
    </row>
    <row r="33" spans="1:13" x14ac:dyDescent="0.25">
      <c r="A33" s="138"/>
      <c r="B33" s="141"/>
      <c r="C33" s="142"/>
      <c r="D33" s="138"/>
      <c r="F33" s="138"/>
      <c r="G33" s="138"/>
      <c r="H33" s="138"/>
      <c r="I33" s="138"/>
      <c r="J33" s="138"/>
      <c r="K33" s="138"/>
      <c r="L33" s="138"/>
      <c r="M33" s="138"/>
    </row>
    <row r="34" spans="1:13" ht="16.5" thickBot="1" x14ac:dyDescent="0.3">
      <c r="B34" s="23"/>
      <c r="C34" s="139"/>
      <c r="D34" s="143"/>
    </row>
    <row r="35" spans="1:13" ht="16.5" thickBot="1" x14ac:dyDescent="0.3">
      <c r="A35" s="271" t="s">
        <v>79</v>
      </c>
      <c r="B35" s="272"/>
      <c r="C35" s="272"/>
      <c r="D35" s="273"/>
    </row>
    <row r="36" spans="1:13" ht="48" thickBot="1" x14ac:dyDescent="0.3">
      <c r="A36" s="144" t="s">
        <v>74</v>
      </c>
      <c r="B36" s="67" t="s">
        <v>75</v>
      </c>
      <c r="C36" s="67" t="s">
        <v>202</v>
      </c>
      <c r="D36" s="68" t="s">
        <v>76</v>
      </c>
    </row>
    <row r="37" spans="1:13" x14ac:dyDescent="0.25">
      <c r="A37" s="30">
        <v>1.338911</v>
      </c>
      <c r="B37" s="31">
        <v>0</v>
      </c>
      <c r="C37" s="94">
        <f>B37/100</f>
        <v>0</v>
      </c>
      <c r="D37" s="341">
        <f>(A43*10)/1000</f>
        <v>0.60251089999999996</v>
      </c>
    </row>
    <row r="38" spans="1:13" x14ac:dyDescent="0.25">
      <c r="A38" s="32">
        <v>22.761520000000001</v>
      </c>
      <c r="B38" s="22">
        <v>0.1526798</v>
      </c>
      <c r="C38" s="76">
        <f t="shared" ref="C38:C44" si="2">B38/100</f>
        <v>1.526798E-3</v>
      </c>
      <c r="D38" s="342"/>
    </row>
    <row r="39" spans="1:13" x14ac:dyDescent="0.25">
      <c r="A39" s="32">
        <v>29.45609</v>
      </c>
      <c r="B39" s="22">
        <v>0.19479850000000001</v>
      </c>
      <c r="C39" s="76">
        <f t="shared" si="2"/>
        <v>1.9479850000000002E-3</v>
      </c>
      <c r="D39" s="342"/>
    </row>
    <row r="40" spans="1:13" x14ac:dyDescent="0.25">
      <c r="A40" s="32">
        <v>44.184130000000003</v>
      </c>
      <c r="B40" s="22">
        <v>0.32641890000000001</v>
      </c>
      <c r="C40" s="76">
        <f t="shared" si="2"/>
        <v>3.2641890000000002E-3</v>
      </c>
      <c r="D40" s="342"/>
    </row>
    <row r="41" spans="1:13" x14ac:dyDescent="0.25">
      <c r="A41" s="32">
        <v>48.200870000000002</v>
      </c>
      <c r="B41" s="22">
        <v>0.3632727</v>
      </c>
      <c r="C41" s="76">
        <f t="shared" si="2"/>
        <v>3.6327270000000001E-3</v>
      </c>
      <c r="D41" s="342"/>
    </row>
    <row r="42" spans="1:13" x14ac:dyDescent="0.25">
      <c r="A42" s="32">
        <v>53.556530000000002</v>
      </c>
      <c r="B42" s="22">
        <v>0.43698009999999998</v>
      </c>
      <c r="C42" s="76">
        <f t="shared" si="2"/>
        <v>4.3698009999999995E-3</v>
      </c>
      <c r="D42" s="342"/>
    </row>
    <row r="43" spans="1:13" x14ac:dyDescent="0.25">
      <c r="A43" s="150">
        <v>60.251089999999998</v>
      </c>
      <c r="B43" s="149">
        <v>0.5843952</v>
      </c>
      <c r="C43" s="137">
        <f t="shared" si="2"/>
        <v>5.8439520000000003E-3</v>
      </c>
      <c r="D43" s="342"/>
    </row>
    <row r="44" spans="1:13" ht="16.5" thickBot="1" x14ac:dyDescent="0.3">
      <c r="A44" s="33">
        <v>57.573270000000001</v>
      </c>
      <c r="B44" s="34">
        <v>1.042435</v>
      </c>
      <c r="C44" s="148">
        <f t="shared" si="2"/>
        <v>1.0424350000000001E-2</v>
      </c>
      <c r="D44" s="343"/>
    </row>
    <row r="45" spans="1:13" x14ac:dyDescent="0.25">
      <c r="D45" s="37"/>
    </row>
    <row r="46" spans="1:13" x14ac:dyDescent="0.25">
      <c r="A46" s="138"/>
      <c r="B46" s="138"/>
      <c r="C46" s="138"/>
      <c r="D46" s="138"/>
    </row>
    <row r="47" spans="1:13" x14ac:dyDescent="0.25">
      <c r="A47" s="138"/>
      <c r="B47" s="138"/>
      <c r="C47" s="138"/>
      <c r="D47" s="138"/>
    </row>
    <row r="48" spans="1:13" ht="16.5" thickBot="1" x14ac:dyDescent="0.3">
      <c r="F48" s="138"/>
      <c r="G48" s="138"/>
      <c r="H48" s="138"/>
      <c r="I48" s="138"/>
      <c r="J48" s="138"/>
      <c r="K48" s="138"/>
      <c r="L48" s="138"/>
      <c r="M48" s="138"/>
    </row>
    <row r="49" spans="1:13" ht="16.5" thickBot="1" x14ac:dyDescent="0.3">
      <c r="A49" s="271" t="s">
        <v>80</v>
      </c>
      <c r="B49" s="272"/>
      <c r="C49" s="272"/>
      <c r="D49" s="273"/>
      <c r="F49" s="138"/>
      <c r="G49" s="138"/>
      <c r="H49" s="138"/>
      <c r="I49" s="138"/>
      <c r="J49" s="138"/>
      <c r="K49" s="138"/>
      <c r="L49" s="138"/>
      <c r="M49" s="138"/>
    </row>
    <row r="50" spans="1:13" ht="48" thickBot="1" x14ac:dyDescent="0.3">
      <c r="A50" s="144" t="s">
        <v>74</v>
      </c>
      <c r="B50" s="67" t="s">
        <v>75</v>
      </c>
      <c r="C50" s="67" t="s">
        <v>202</v>
      </c>
      <c r="D50" s="68" t="s">
        <v>76</v>
      </c>
    </row>
    <row r="51" spans="1:13" x14ac:dyDescent="0.25">
      <c r="A51" s="30">
        <v>0</v>
      </c>
      <c r="B51" s="31">
        <v>0</v>
      </c>
      <c r="C51" s="94">
        <f>B51/100</f>
        <v>0</v>
      </c>
      <c r="D51" s="338">
        <f>(A58*10)/1000</f>
        <v>1.9815909999999999</v>
      </c>
    </row>
    <row r="52" spans="1:13" x14ac:dyDescent="0.25">
      <c r="A52" s="32">
        <v>48.200870000000002</v>
      </c>
      <c r="B52" s="22">
        <v>0.1421502</v>
      </c>
      <c r="C52" s="76">
        <f t="shared" ref="C52:C62" si="3">B52/100</f>
        <v>1.4215020000000001E-3</v>
      </c>
      <c r="D52" s="339"/>
    </row>
    <row r="53" spans="1:13" x14ac:dyDescent="0.25">
      <c r="A53" s="32">
        <v>70.962400000000002</v>
      </c>
      <c r="B53" s="22">
        <v>0.1895336</v>
      </c>
      <c r="C53" s="76">
        <f t="shared" si="3"/>
        <v>1.8953360000000001E-3</v>
      </c>
      <c r="D53" s="339"/>
    </row>
    <row r="54" spans="1:13" x14ac:dyDescent="0.25">
      <c r="A54" s="32">
        <v>97.740660000000005</v>
      </c>
      <c r="B54" s="22">
        <v>0.23691690000000001</v>
      </c>
      <c r="C54" s="76">
        <f t="shared" si="3"/>
        <v>2.369169E-3</v>
      </c>
      <c r="D54" s="339"/>
    </row>
    <row r="55" spans="1:13" x14ac:dyDescent="0.25">
      <c r="A55" s="32">
        <v>128.53569999999999</v>
      </c>
      <c r="B55" s="22">
        <v>0.27903539999999999</v>
      </c>
      <c r="C55" s="76">
        <f t="shared" si="3"/>
        <v>2.7903540000000001E-3</v>
      </c>
      <c r="D55" s="339"/>
    </row>
    <row r="56" spans="1:13" x14ac:dyDescent="0.25">
      <c r="A56" s="32">
        <v>148.61940000000001</v>
      </c>
      <c r="B56" s="22">
        <v>0.31062450000000003</v>
      </c>
      <c r="C56" s="76">
        <f t="shared" si="3"/>
        <v>3.1062450000000001E-3</v>
      </c>
      <c r="D56" s="339"/>
    </row>
    <row r="57" spans="1:13" x14ac:dyDescent="0.25">
      <c r="A57" s="32">
        <v>179.4144</v>
      </c>
      <c r="B57" s="22">
        <v>0.35800779999999999</v>
      </c>
      <c r="C57" s="76">
        <f t="shared" si="3"/>
        <v>3.580078E-3</v>
      </c>
      <c r="D57" s="339"/>
    </row>
    <row r="58" spans="1:13" x14ac:dyDescent="0.25">
      <c r="A58" s="150">
        <v>198.1591</v>
      </c>
      <c r="B58" s="149">
        <v>0.4422449</v>
      </c>
      <c r="C58" s="137">
        <f t="shared" si="3"/>
        <v>4.4224490000000002E-3</v>
      </c>
      <c r="D58" s="339"/>
    </row>
    <row r="59" spans="1:13" x14ac:dyDescent="0.25">
      <c r="A59" s="32">
        <v>195.4813</v>
      </c>
      <c r="B59" s="22">
        <v>0.4633043</v>
      </c>
      <c r="C59" s="76">
        <f t="shared" si="3"/>
        <v>4.6330429999999999E-3</v>
      </c>
      <c r="D59" s="339"/>
    </row>
    <row r="60" spans="1:13" x14ac:dyDescent="0.25">
      <c r="A60" s="32">
        <v>159.33070000000001</v>
      </c>
      <c r="B60" s="22">
        <v>0.56333580000000005</v>
      </c>
      <c r="C60" s="76">
        <f t="shared" si="3"/>
        <v>5.6333580000000006E-3</v>
      </c>
      <c r="D60" s="339"/>
    </row>
    <row r="61" spans="1:13" x14ac:dyDescent="0.25">
      <c r="A61" s="32">
        <v>137.90809999999999</v>
      </c>
      <c r="B61" s="22">
        <v>1.221438</v>
      </c>
      <c r="C61" s="76">
        <f t="shared" si="3"/>
        <v>1.221438E-2</v>
      </c>
      <c r="D61" s="339"/>
    </row>
    <row r="62" spans="1:13" ht="16.5" thickBot="1" x14ac:dyDescent="0.3">
      <c r="A62" s="33">
        <v>87.029359999999997</v>
      </c>
      <c r="B62" s="34">
        <v>4.1788749999999997</v>
      </c>
      <c r="C62" s="148">
        <f t="shared" si="3"/>
        <v>4.178875E-2</v>
      </c>
      <c r="D62" s="340"/>
    </row>
    <row r="64" spans="1:13" x14ac:dyDescent="0.25">
      <c r="A64" s="138"/>
      <c r="B64" s="138"/>
      <c r="C64" s="138"/>
      <c r="D64" s="138"/>
    </row>
    <row r="65" spans="1:13" x14ac:dyDescent="0.25">
      <c r="A65" s="138"/>
      <c r="B65" s="138"/>
      <c r="C65" s="138"/>
      <c r="D65" s="138"/>
      <c r="F65" s="138"/>
      <c r="G65" s="138"/>
      <c r="H65" s="138"/>
      <c r="I65" s="138"/>
      <c r="J65" s="138"/>
      <c r="K65" s="138"/>
      <c r="L65" s="138"/>
      <c r="M65" s="138"/>
    </row>
    <row r="66" spans="1:13" ht="16.5" thickBot="1" x14ac:dyDescent="0.3">
      <c r="F66" s="138"/>
      <c r="G66" s="138"/>
      <c r="H66" s="138"/>
      <c r="I66" s="138"/>
      <c r="J66" s="138"/>
      <c r="K66" s="138"/>
      <c r="L66" s="138"/>
      <c r="M66" s="138"/>
    </row>
    <row r="67" spans="1:13" ht="16.5" thickBot="1" x14ac:dyDescent="0.3">
      <c r="A67" s="271" t="s">
        <v>81</v>
      </c>
      <c r="B67" s="272"/>
      <c r="C67" s="272"/>
      <c r="D67" s="273"/>
    </row>
    <row r="68" spans="1:13" ht="48" thickBot="1" x14ac:dyDescent="0.3">
      <c r="A68" s="144" t="s">
        <v>74</v>
      </c>
      <c r="B68" s="67" t="s">
        <v>75</v>
      </c>
      <c r="C68" s="67" t="s">
        <v>202</v>
      </c>
      <c r="D68" s="68" t="s">
        <v>76</v>
      </c>
    </row>
    <row r="69" spans="1:13" x14ac:dyDescent="0.25">
      <c r="A69" s="30">
        <v>0</v>
      </c>
      <c r="B69" s="31">
        <v>0</v>
      </c>
      <c r="C69" s="94">
        <f>B69/100</f>
        <v>0</v>
      </c>
      <c r="D69" s="338">
        <f>(A83*10)/1000</f>
        <v>2.9857760000000004</v>
      </c>
    </row>
    <row r="70" spans="1:13" x14ac:dyDescent="0.25">
      <c r="A70" s="32">
        <v>12.050219999999999</v>
      </c>
      <c r="B70" s="22">
        <v>6.3177819999999996E-2</v>
      </c>
      <c r="C70" s="76">
        <f t="shared" ref="C70:C84" si="4">B70/100</f>
        <v>6.3177820000000001E-4</v>
      </c>
      <c r="D70" s="339"/>
    </row>
    <row r="71" spans="1:13" x14ac:dyDescent="0.25">
      <c r="A71" s="32">
        <v>48.200879999999998</v>
      </c>
      <c r="B71" s="22">
        <v>0.2000632</v>
      </c>
      <c r="C71" s="76">
        <f t="shared" si="4"/>
        <v>2.000632E-3</v>
      </c>
      <c r="D71" s="339"/>
    </row>
    <row r="72" spans="1:13" x14ac:dyDescent="0.25">
      <c r="A72" s="32">
        <v>65.606750000000005</v>
      </c>
      <c r="B72" s="22">
        <v>0.26850580000000002</v>
      </c>
      <c r="C72" s="76">
        <f t="shared" si="4"/>
        <v>2.6850580000000001E-3</v>
      </c>
      <c r="D72" s="339"/>
    </row>
    <row r="73" spans="1:13" x14ac:dyDescent="0.25">
      <c r="A73" s="32">
        <v>97.740660000000005</v>
      </c>
      <c r="B73" s="22">
        <v>0.42645040000000001</v>
      </c>
      <c r="C73" s="76">
        <f t="shared" si="4"/>
        <v>4.2645039999999997E-3</v>
      </c>
      <c r="D73" s="339"/>
    </row>
    <row r="74" spans="1:13" x14ac:dyDescent="0.25">
      <c r="A74" s="32">
        <v>109.79089999999999</v>
      </c>
      <c r="B74" s="22">
        <v>0.49489319999999998</v>
      </c>
      <c r="C74" s="76">
        <f t="shared" si="4"/>
        <v>4.9489319999999996E-3</v>
      </c>
      <c r="D74" s="339"/>
    </row>
    <row r="75" spans="1:13" x14ac:dyDescent="0.25">
      <c r="A75" s="32">
        <v>140.58590000000001</v>
      </c>
      <c r="B75" s="22">
        <v>0.77392850000000002</v>
      </c>
      <c r="C75" s="76">
        <f t="shared" si="4"/>
        <v>7.7392850000000003E-3</v>
      </c>
      <c r="D75" s="339"/>
    </row>
    <row r="76" spans="1:13" x14ac:dyDescent="0.25">
      <c r="A76" s="32">
        <v>148.61940000000001</v>
      </c>
      <c r="B76" s="22">
        <v>0.8265768</v>
      </c>
      <c r="C76" s="76">
        <f t="shared" si="4"/>
        <v>8.2657679999999997E-3</v>
      </c>
      <c r="D76" s="339"/>
    </row>
    <row r="77" spans="1:13" x14ac:dyDescent="0.25">
      <c r="A77" s="32">
        <v>159.33070000000001</v>
      </c>
      <c r="B77" s="22">
        <v>0.91607870000000002</v>
      </c>
      <c r="C77" s="76">
        <f t="shared" si="4"/>
        <v>9.1607870000000001E-3</v>
      </c>
      <c r="D77" s="339"/>
    </row>
    <row r="78" spans="1:13" x14ac:dyDescent="0.25">
      <c r="A78" s="32">
        <v>198.1591</v>
      </c>
      <c r="B78" s="22">
        <v>1.4583550000000001</v>
      </c>
      <c r="C78" s="76">
        <f t="shared" si="4"/>
        <v>1.4583550000000001E-2</v>
      </c>
      <c r="D78" s="339"/>
    </row>
    <row r="79" spans="1:13" x14ac:dyDescent="0.25">
      <c r="A79" s="32">
        <v>199.49799999999999</v>
      </c>
      <c r="B79" s="22">
        <v>1.584711</v>
      </c>
      <c r="C79" s="76">
        <f t="shared" si="4"/>
        <v>1.5847110000000001E-2</v>
      </c>
      <c r="D79" s="339"/>
    </row>
    <row r="80" spans="1:13" x14ac:dyDescent="0.25">
      <c r="A80" s="32">
        <v>247.69890000000001</v>
      </c>
      <c r="B80" s="22">
        <v>1.8005690000000001</v>
      </c>
      <c r="C80" s="76">
        <f t="shared" si="4"/>
        <v>1.8005690000000001E-2</v>
      </c>
      <c r="D80" s="339"/>
    </row>
    <row r="81" spans="1:4" x14ac:dyDescent="0.25">
      <c r="A81" s="32">
        <v>261.0881</v>
      </c>
      <c r="B81" s="22">
        <v>1.869011</v>
      </c>
      <c r="C81" s="76">
        <f t="shared" si="4"/>
        <v>1.8690109999999999E-2</v>
      </c>
      <c r="D81" s="339"/>
    </row>
    <row r="82" spans="1:4" x14ac:dyDescent="0.25">
      <c r="A82" s="32">
        <v>275.81610000000001</v>
      </c>
      <c r="B82" s="22">
        <v>2.1006629999999999</v>
      </c>
      <c r="C82" s="76">
        <f t="shared" si="4"/>
        <v>2.1006629999999998E-2</v>
      </c>
      <c r="D82" s="339"/>
    </row>
    <row r="83" spans="1:4" x14ac:dyDescent="0.25">
      <c r="A83" s="150">
        <v>298.57760000000002</v>
      </c>
      <c r="B83" s="149">
        <v>2.574497</v>
      </c>
      <c r="C83" s="137">
        <f t="shared" si="4"/>
        <v>2.5744969999999999E-2</v>
      </c>
      <c r="D83" s="339"/>
    </row>
    <row r="84" spans="1:4" ht="16.5" thickBot="1" x14ac:dyDescent="0.3">
      <c r="A84" s="147">
        <v>200.46459999999999</v>
      </c>
      <c r="B84" s="151">
        <v>2.886495</v>
      </c>
      <c r="C84" s="148">
        <f t="shared" si="4"/>
        <v>2.886495E-2</v>
      </c>
      <c r="D84" s="340"/>
    </row>
  </sheetData>
  <mergeCells count="10">
    <mergeCell ref="A1:D1"/>
    <mergeCell ref="D3:D13"/>
    <mergeCell ref="A67:D67"/>
    <mergeCell ref="D37:D44"/>
    <mergeCell ref="D69:D84"/>
    <mergeCell ref="A35:D35"/>
    <mergeCell ref="A18:D18"/>
    <mergeCell ref="D51:D62"/>
    <mergeCell ref="A49:D49"/>
    <mergeCell ref="D20:D3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'Одноосное сжатия +'!A3:A3</xm:f>
              <xm:sqref>C3</xm:sqref>
            </x14:sparkline>
            <x14:sparkline>
              <xm:f>'Одноосное сжатия +'!A4:A4</xm:f>
              <xm:sqref>C4</xm:sqref>
            </x14:sparkline>
            <x14:sparkline>
              <xm:f>'Одноосное сжатия +'!A5:A5</xm:f>
              <xm:sqref>C5</xm:sqref>
            </x14:sparkline>
            <x14:sparkline>
              <xm:f>'Одноосное сжатия +'!A6:A6</xm:f>
              <xm:sqref>C6</xm:sqref>
            </x14:sparkline>
            <x14:sparkline>
              <xm:f>'Одноосное сжатия +'!A7:A7</xm:f>
              <xm:sqref>C7</xm:sqref>
            </x14:sparkline>
            <x14:sparkline>
              <xm:f>'Одноосное сжатия +'!A8:A8</xm:f>
              <xm:sqref>C8</xm:sqref>
            </x14:sparkline>
            <x14:sparkline>
              <xm:f>'Одноосное сжатия +'!A9:A9</xm:f>
              <xm:sqref>C9</xm:sqref>
            </x14:sparkline>
            <x14:sparkline>
              <xm:f>'Одноосное сжатия +'!A10:A10</xm:f>
              <xm:sqref>C10</xm:sqref>
            </x14:sparkline>
            <x14:sparkline>
              <xm:f>'Одноосное сжатия +'!A11:A11</xm:f>
              <xm:sqref>C11</xm:sqref>
            </x14:sparkline>
            <x14:sparkline>
              <xm:f>'Одноосное сжатия +'!A12:A12</xm:f>
              <xm:sqref>C12</xm:sqref>
            </x14:sparkline>
            <x14:sparkline>
              <xm:f>'Одноосное сжатия +'!A13:A13</xm:f>
              <xm:sqref>C13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Макроописание +</vt:lpstr>
      <vt:lpstr>Влажность, верхний и нижний + </vt:lpstr>
      <vt:lpstr>Плотность, плотность тв.частиц+</vt:lpstr>
      <vt:lpstr>Гран состав +</vt:lpstr>
      <vt:lpstr>Набухание + </vt:lpstr>
      <vt:lpstr>Усадочность + </vt:lpstr>
      <vt:lpstr>Одноосное сжатия +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Бехзод</dc:creator>
  <cp:lastModifiedBy>Бехзод</cp:lastModifiedBy>
  <dcterms:created xsi:type="dcterms:W3CDTF">2023-10-26T05:34:04Z</dcterms:created>
  <dcterms:modified xsi:type="dcterms:W3CDTF">2023-11-13T10:54:32Z</dcterms:modified>
</cp:coreProperties>
</file>