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omments3.xml" ContentType="application/vnd.openxmlformats-officedocument.spreadsheetml.comments+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C:\Users\musa.wasiu\Desktop\"/>
    </mc:Choice>
  </mc:AlternateContent>
  <xr:revisionPtr revIDLastSave="0" documentId="13_ncr:1_{BF50B920-45D9-46C9-9E57-EDFD50B3F90F}" xr6:coauthVersionLast="47" xr6:coauthVersionMax="47" xr10:uidLastSave="{00000000-0000-0000-0000-000000000000}"/>
  <bookViews>
    <workbookView xWindow="-110" yWindow="-110" windowWidth="19420" windowHeight="10420" activeTab="1" xr2:uid="{409136FD-5293-458D-9E74-088A3563780C}"/>
  </bookViews>
  <sheets>
    <sheet name="Revenue_NG_LK_2023" sheetId="10" r:id="rId1"/>
    <sheet name="Graph LK" sheetId="8" r:id="rId2"/>
    <sheet name="Revenue_NG_LK_2022" sheetId="9" r:id="rId3"/>
    <sheet name="Revenue_NG_LK_2021" sheetId="6" r:id="rId4"/>
    <sheet name="Repayment_weekly" sheetId="3" state="hidden" r:id="rId5"/>
    <sheet name="2020_LK" sheetId="7" r:id="rId6"/>
    <sheet name="Revenue_NG" sheetId="1" r:id="rId7"/>
    <sheet name="2020" sheetId="4" r:id="rId8"/>
    <sheet name="Graph" sheetId="5" state="hidden" r:id="rId9"/>
  </sheets>
  <calcPr calcId="191029"/>
  <pivotCaches>
    <pivotCache cacheId="386"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 i="10" l="1"/>
  <c r="G22" i="8"/>
  <c r="F52" i="8"/>
  <c r="F46" i="8"/>
  <c r="F45" i="8"/>
  <c r="F42" i="8"/>
  <c r="F36" i="8"/>
  <c r="F35" i="8"/>
  <c r="F32" i="8"/>
  <c r="F34" i="8"/>
  <c r="F43" i="8"/>
  <c r="F44" i="8"/>
  <c r="F51" i="8"/>
  <c r="G58" i="8"/>
  <c r="E59" i="8" l="1"/>
  <c r="E52" i="8"/>
  <c r="E45" i="8"/>
  <c r="E46" i="8"/>
  <c r="E42" i="8"/>
  <c r="E35" i="8"/>
  <c r="E36" i="8"/>
  <c r="E32" i="8"/>
  <c r="E25" i="8"/>
  <c r="E26" i="8"/>
  <c r="E22" i="8"/>
  <c r="E12" i="8"/>
  <c r="E13" i="8"/>
  <c r="E9" i="8"/>
  <c r="E15" i="10"/>
  <c r="E4" i="10"/>
  <c r="E3" i="10" s="1"/>
  <c r="D59" i="8" l="1"/>
  <c r="D52" i="8"/>
  <c r="D45" i="8"/>
  <c r="D46" i="8"/>
  <c r="D42" i="8"/>
  <c r="D35" i="8"/>
  <c r="D36" i="8"/>
  <c r="D32" i="8"/>
  <c r="D25" i="8"/>
  <c r="D26" i="8"/>
  <c r="D22" i="8"/>
  <c r="D9" i="8"/>
  <c r="D12" i="8" s="1"/>
  <c r="D13" i="8" l="1"/>
  <c r="O22" i="8" l="1"/>
  <c r="O21" i="8"/>
  <c r="O20" i="8"/>
  <c r="O19" i="8"/>
  <c r="O42" i="8"/>
  <c r="O41" i="8"/>
  <c r="O40" i="8"/>
  <c r="O39" i="8"/>
  <c r="O32" i="8"/>
  <c r="O31" i="8"/>
  <c r="O30" i="8"/>
  <c r="O29" i="8"/>
  <c r="O9" i="8"/>
  <c r="O8" i="8"/>
  <c r="O7" i="8"/>
  <c r="O6" i="8"/>
  <c r="B59" i="8"/>
  <c r="C42" i="8"/>
  <c r="C45" i="8" s="1"/>
  <c r="B42" i="8"/>
  <c r="B41" i="8"/>
  <c r="B32" i="8"/>
  <c r="B31" i="8"/>
  <c r="B22" i="8"/>
  <c r="B25" i="8" s="1"/>
  <c r="B21" i="8"/>
  <c r="B8" i="8"/>
  <c r="C52" i="8" l="1"/>
  <c r="N42" i="8"/>
  <c r="C46" i="8"/>
  <c r="B52" i="8"/>
  <c r="B45" i="8"/>
  <c r="B35" i="8"/>
  <c r="C26" i="10" l="1"/>
  <c r="C32" i="8" s="1"/>
  <c r="M58" i="8"/>
  <c r="M41" i="8"/>
  <c r="M31" i="8"/>
  <c r="B36" i="8" s="1"/>
  <c r="M21" i="8"/>
  <c r="B26" i="8" s="1"/>
  <c r="M8" i="8"/>
  <c r="C35" i="8" l="1"/>
  <c r="C36" i="8"/>
  <c r="N32" i="8"/>
  <c r="M51" i="8"/>
  <c r="B46" i="8"/>
  <c r="H44" i="10"/>
  <c r="N5" i="10"/>
  <c r="N6" i="10"/>
  <c r="N7" i="10"/>
  <c r="N10" i="10"/>
  <c r="N11" i="10"/>
  <c r="N12" i="10"/>
  <c r="N13" i="10"/>
  <c r="C4" i="10"/>
  <c r="D4" i="10"/>
  <c r="F4" i="10"/>
  <c r="F3" i="10" s="1"/>
  <c r="F59" i="8" s="1"/>
  <c r="G4" i="10"/>
  <c r="H4" i="10"/>
  <c r="I4" i="10"/>
  <c r="J4" i="10"/>
  <c r="K4" i="10"/>
  <c r="L4" i="10"/>
  <c r="M4" i="10"/>
  <c r="N8" i="10"/>
  <c r="C9" i="10"/>
  <c r="D9" i="10"/>
  <c r="E9" i="10"/>
  <c r="F9" i="10"/>
  <c r="G9" i="10"/>
  <c r="H9" i="10"/>
  <c r="I9" i="10"/>
  <c r="J9" i="10"/>
  <c r="K9" i="10"/>
  <c r="L9" i="10"/>
  <c r="M9" i="10"/>
  <c r="N14" i="10"/>
  <c r="C15" i="10"/>
  <c r="D15" i="10"/>
  <c r="G15" i="10"/>
  <c r="H15" i="10"/>
  <c r="I15" i="10"/>
  <c r="J15" i="10"/>
  <c r="K15" i="10"/>
  <c r="L15" i="10"/>
  <c r="M15" i="10"/>
  <c r="N16" i="10"/>
  <c r="N17" i="10"/>
  <c r="N18" i="10"/>
  <c r="N19" i="10"/>
  <c r="C20" i="10"/>
  <c r="D20" i="10"/>
  <c r="E20" i="10"/>
  <c r="F20" i="10"/>
  <c r="G20" i="10"/>
  <c r="H20" i="10"/>
  <c r="I20" i="10"/>
  <c r="J20" i="10"/>
  <c r="K20" i="10"/>
  <c r="L20" i="10"/>
  <c r="M20" i="10"/>
  <c r="N21" i="10"/>
  <c r="N22" i="10"/>
  <c r="N23" i="10"/>
  <c r="N24" i="10"/>
  <c r="N25" i="10"/>
  <c r="D26" i="10"/>
  <c r="E26" i="10"/>
  <c r="F26" i="10"/>
  <c r="G26" i="10"/>
  <c r="H26" i="10"/>
  <c r="I26" i="10"/>
  <c r="J26" i="10"/>
  <c r="K26" i="10"/>
  <c r="L26" i="10"/>
  <c r="M26" i="10"/>
  <c r="B52" i="10"/>
  <c r="M46" i="10"/>
  <c r="L46" i="10"/>
  <c r="L48" i="10" s="1"/>
  <c r="K46" i="10"/>
  <c r="J46" i="10"/>
  <c r="I46" i="10"/>
  <c r="H46" i="10"/>
  <c r="G46" i="10"/>
  <c r="F46" i="10"/>
  <c r="E46" i="10"/>
  <c r="D46" i="10"/>
  <c r="C46" i="10"/>
  <c r="M44" i="10"/>
  <c r="L44" i="10"/>
  <c r="K44" i="10"/>
  <c r="J44" i="10"/>
  <c r="I44" i="10"/>
  <c r="G44" i="10"/>
  <c r="F44" i="10"/>
  <c r="E44" i="10"/>
  <c r="D44" i="10"/>
  <c r="C44" i="10"/>
  <c r="B44" i="10"/>
  <c r="M43" i="10"/>
  <c r="L43" i="10"/>
  <c r="K43" i="10"/>
  <c r="J43" i="10"/>
  <c r="I43" i="10"/>
  <c r="H43" i="10"/>
  <c r="G43" i="10"/>
  <c r="F43" i="10"/>
  <c r="E43" i="10"/>
  <c r="D43" i="10"/>
  <c r="C43" i="10"/>
  <c r="B43" i="10"/>
  <c r="M42" i="10"/>
  <c r="L42" i="10"/>
  <c r="K42" i="10"/>
  <c r="J42" i="10"/>
  <c r="I42" i="10"/>
  <c r="H42" i="10"/>
  <c r="G42" i="10"/>
  <c r="F42" i="10"/>
  <c r="E42" i="10"/>
  <c r="D42" i="10"/>
  <c r="C42" i="10"/>
  <c r="B42" i="10"/>
  <c r="M41" i="10"/>
  <c r="L41" i="10"/>
  <c r="K41" i="10"/>
  <c r="J41" i="10"/>
  <c r="I41" i="10"/>
  <c r="H41" i="10"/>
  <c r="G41" i="10"/>
  <c r="F41" i="10"/>
  <c r="E41" i="10"/>
  <c r="D41" i="10"/>
  <c r="C41" i="10"/>
  <c r="B41" i="10"/>
  <c r="M34" i="10"/>
  <c r="L34" i="10"/>
  <c r="K34" i="10"/>
  <c r="J34" i="10"/>
  <c r="I34" i="10"/>
  <c r="G34" i="10"/>
  <c r="G40" i="10" s="1"/>
  <c r="F34" i="10"/>
  <c r="E34" i="10"/>
  <c r="D34" i="10"/>
  <c r="C34" i="10"/>
  <c r="B34" i="10"/>
  <c r="N31" i="10"/>
  <c r="N30" i="10"/>
  <c r="N44" i="10" s="1"/>
  <c r="N29" i="10"/>
  <c r="N43" i="10" s="1"/>
  <c r="N28" i="10"/>
  <c r="N42" i="10" s="1"/>
  <c r="N27" i="10"/>
  <c r="N41" i="10" s="1"/>
  <c r="B26" i="10"/>
  <c r="B48" i="10" s="1"/>
  <c r="B20" i="10"/>
  <c r="G32" i="10"/>
  <c r="B15" i="10"/>
  <c r="B9" i="10"/>
  <c r="B4" i="10"/>
  <c r="C1" i="10"/>
  <c r="D1" i="10" s="1"/>
  <c r="D55" i="10" l="1"/>
  <c r="D32" i="10"/>
  <c r="K32" i="10"/>
  <c r="C32" i="10"/>
  <c r="C22" i="8" s="1"/>
  <c r="J32" i="10"/>
  <c r="J49" i="10" s="1"/>
  <c r="L32" i="10"/>
  <c r="L49" i="10" s="1"/>
  <c r="I32" i="10"/>
  <c r="I49" i="10" s="1"/>
  <c r="I40" i="10"/>
  <c r="H32" i="10"/>
  <c r="H49" i="10" s="1"/>
  <c r="F48" i="10"/>
  <c r="C40" i="10"/>
  <c r="C55" i="10"/>
  <c r="M55" i="10"/>
  <c r="N26" i="10"/>
  <c r="M32" i="10"/>
  <c r="M49" i="10" s="1"/>
  <c r="N20" i="10"/>
  <c r="F32" i="10"/>
  <c r="N15" i="10"/>
  <c r="N9" i="10"/>
  <c r="J3" i="10"/>
  <c r="I3" i="10"/>
  <c r="H3" i="10"/>
  <c r="G3" i="10"/>
  <c r="M3" i="10"/>
  <c r="L3" i="10"/>
  <c r="D3" i="10"/>
  <c r="K3" i="10"/>
  <c r="C3" i="10"/>
  <c r="C59" i="8" s="1"/>
  <c r="N4" i="10"/>
  <c r="E55" i="10"/>
  <c r="G49" i="10"/>
  <c r="K49" i="10"/>
  <c r="D52" i="10"/>
  <c r="D53" i="10" s="1"/>
  <c r="D54" i="10" s="1"/>
  <c r="E1" i="10"/>
  <c r="D49" i="10"/>
  <c r="D48" i="10"/>
  <c r="G48" i="10"/>
  <c r="F55" i="10"/>
  <c r="H34" i="10"/>
  <c r="H40" i="10" s="1"/>
  <c r="B3" i="10"/>
  <c r="D40" i="10"/>
  <c r="L40" i="10"/>
  <c r="H48" i="10"/>
  <c r="G55" i="10"/>
  <c r="E32" i="10"/>
  <c r="E40" i="10"/>
  <c r="M40" i="10"/>
  <c r="I48" i="10"/>
  <c r="B53" i="10"/>
  <c r="B54" i="10" s="1"/>
  <c r="B9" i="8" s="1"/>
  <c r="H55" i="10"/>
  <c r="K40" i="10"/>
  <c r="F40" i="10"/>
  <c r="J48" i="10"/>
  <c r="I55" i="10"/>
  <c r="C48" i="10"/>
  <c r="K48" i="10"/>
  <c r="B55" i="10"/>
  <c r="J55" i="10"/>
  <c r="K55" i="10"/>
  <c r="B32" i="10"/>
  <c r="E48" i="10"/>
  <c r="M48" i="10"/>
  <c r="C52" i="10"/>
  <c r="C53" i="10" s="1"/>
  <c r="C54" i="10" s="1"/>
  <c r="C9" i="8" s="1"/>
  <c r="L55" i="10"/>
  <c r="B40" i="10"/>
  <c r="J40" i="10"/>
  <c r="M46" i="9"/>
  <c r="F49" i="10" l="1"/>
  <c r="F22" i="8"/>
  <c r="N22" i="8" s="1"/>
  <c r="C49" i="10"/>
  <c r="B12" i="8"/>
  <c r="B13" i="8"/>
  <c r="C12" i="8"/>
  <c r="C13" i="8"/>
  <c r="C26" i="8"/>
  <c r="C25" i="8"/>
  <c r="N3" i="10"/>
  <c r="N32" i="10"/>
  <c r="N49" i="10" s="1"/>
  <c r="B49" i="10"/>
  <c r="E52" i="10"/>
  <c r="E53" i="10" s="1"/>
  <c r="E54" i="10" s="1"/>
  <c r="E49" i="10"/>
  <c r="N48" i="10"/>
  <c r="N40" i="10"/>
  <c r="N55" i="10"/>
  <c r="L41" i="8"/>
  <c r="L44" i="8" s="1"/>
  <c r="L46" i="9"/>
  <c r="K46" i="9"/>
  <c r="C44" i="8"/>
  <c r="M44" i="8"/>
  <c r="F25" i="8" l="1"/>
  <c r="F26" i="8"/>
  <c r="L51" i="8"/>
  <c r="G1" i="10"/>
  <c r="F52" i="10"/>
  <c r="F53" i="10" s="1"/>
  <c r="F54" i="10" s="1"/>
  <c r="F9" i="8" s="1"/>
  <c r="M43" i="8"/>
  <c r="L43" i="8"/>
  <c r="K43" i="8"/>
  <c r="J43" i="8"/>
  <c r="I43" i="8"/>
  <c r="H43" i="8"/>
  <c r="G43" i="8"/>
  <c r="E43" i="8"/>
  <c r="D43" i="8"/>
  <c r="C43" i="8"/>
  <c r="B43" i="8"/>
  <c r="N40" i="8"/>
  <c r="N39" i="8"/>
  <c r="K41" i="8"/>
  <c r="K31" i="8"/>
  <c r="J8" i="8"/>
  <c r="F12" i="8" l="1"/>
  <c r="F13" i="8"/>
  <c r="N9" i="8"/>
  <c r="H1" i="10"/>
  <c r="G52" i="10"/>
  <c r="G53" i="10" s="1"/>
  <c r="G54" i="10" s="1"/>
  <c r="O43" i="8"/>
  <c r="N43" i="8"/>
  <c r="K51" i="8"/>
  <c r="K44" i="8"/>
  <c r="J58" i="8"/>
  <c r="J41" i="8"/>
  <c r="J31" i="8"/>
  <c r="J21" i="8"/>
  <c r="I1" i="10" l="1"/>
  <c r="H52" i="10"/>
  <c r="H53" i="10" s="1"/>
  <c r="H54" i="10" s="1"/>
  <c r="J51" i="8"/>
  <c r="J44" i="8"/>
  <c r="J46" i="9"/>
  <c r="J1" i="10" l="1"/>
  <c r="I52" i="10"/>
  <c r="I53" i="10" s="1"/>
  <c r="I54" i="10" s="1"/>
  <c r="I8" i="8"/>
  <c r="I31" i="8"/>
  <c r="I4" i="9"/>
  <c r="K1" i="10" l="1"/>
  <c r="J52" i="10"/>
  <c r="J53" i="10" s="1"/>
  <c r="J54" i="10" s="1"/>
  <c r="I41" i="8"/>
  <c r="I46" i="9"/>
  <c r="L1" i="10" l="1"/>
  <c r="K52" i="10"/>
  <c r="K53" i="10" s="1"/>
  <c r="K54" i="10" s="1"/>
  <c r="I51" i="8"/>
  <c r="I44" i="8"/>
  <c r="H38" i="9"/>
  <c r="L52" i="10" l="1"/>
  <c r="L53" i="10" s="1"/>
  <c r="L54" i="10" s="1"/>
  <c r="M1" i="10"/>
  <c r="M52" i="10" s="1"/>
  <c r="H41" i="8"/>
  <c r="M53" i="10" l="1"/>
  <c r="M54" i="10" s="1"/>
  <c r="N52" i="10"/>
  <c r="N53" i="10" s="1"/>
  <c r="N54" i="10" s="1"/>
  <c r="H51" i="8"/>
  <c r="H44" i="8"/>
  <c r="H46" i="9"/>
  <c r="B32" i="9" l="1"/>
  <c r="N12" i="9"/>
  <c r="N7" i="9"/>
  <c r="N31" i="9"/>
  <c r="N25" i="9"/>
  <c r="N24" i="9"/>
  <c r="N22" i="9"/>
  <c r="N19" i="9"/>
  <c r="N17" i="9"/>
  <c r="N14" i="9"/>
  <c r="N13" i="9"/>
  <c r="N11" i="9"/>
  <c r="N10" i="9"/>
  <c r="N8" i="9"/>
  <c r="N6" i="9"/>
  <c r="F9" i="9"/>
  <c r="C31" i="8" l="1"/>
  <c r="F46" i="9"/>
  <c r="G46" i="9"/>
  <c r="C9" i="9" l="1"/>
  <c r="D9" i="9"/>
  <c r="E9" i="9"/>
  <c r="G9" i="9"/>
  <c r="H9" i="9"/>
  <c r="I9" i="9"/>
  <c r="J9" i="9"/>
  <c r="K9" i="9"/>
  <c r="L9" i="9"/>
  <c r="M9" i="9"/>
  <c r="B9" i="9"/>
  <c r="N30" i="9"/>
  <c r="N29" i="9"/>
  <c r="N28" i="9"/>
  <c r="N27" i="9"/>
  <c r="N18" i="9"/>
  <c r="N16" i="9"/>
  <c r="N5" i="9"/>
  <c r="N23" i="9" l="1"/>
  <c r="N21" i="9"/>
  <c r="N9" i="9"/>
  <c r="F59" i="6" l="1"/>
  <c r="B61" i="6"/>
  <c r="F56" i="8"/>
  <c r="G56" i="8"/>
  <c r="H56" i="8"/>
  <c r="I56" i="8"/>
  <c r="J56" i="8"/>
  <c r="K56" i="8"/>
  <c r="L56" i="8"/>
  <c r="M56" i="8"/>
  <c r="F57" i="8"/>
  <c r="G57" i="8"/>
  <c r="H57" i="8"/>
  <c r="I57" i="8"/>
  <c r="J57" i="8"/>
  <c r="K57" i="8"/>
  <c r="L57" i="8"/>
  <c r="M57" i="8"/>
  <c r="F41" i="8"/>
  <c r="C44" i="9" l="1"/>
  <c r="C34" i="9" l="1"/>
  <c r="D34" i="9"/>
  <c r="E34" i="9"/>
  <c r="F34" i="9"/>
  <c r="G34" i="9"/>
  <c r="H34" i="9"/>
  <c r="I34" i="9"/>
  <c r="J34" i="9"/>
  <c r="K34" i="9"/>
  <c r="L34" i="9"/>
  <c r="M34" i="9"/>
  <c r="B34" i="9"/>
  <c r="E26" i="9"/>
  <c r="F26" i="9"/>
  <c r="G26" i="9"/>
  <c r="H26" i="9"/>
  <c r="H31" i="8" s="1"/>
  <c r="I26" i="9"/>
  <c r="J26" i="9"/>
  <c r="K26" i="9"/>
  <c r="L26" i="9"/>
  <c r="L31" i="8" s="1"/>
  <c r="M26" i="9"/>
  <c r="D26" i="9"/>
  <c r="C4" i="9"/>
  <c r="D4" i="9"/>
  <c r="E4" i="9"/>
  <c r="F4" i="9"/>
  <c r="G4" i="9"/>
  <c r="H4" i="9"/>
  <c r="J4" i="9"/>
  <c r="K4" i="9"/>
  <c r="L4" i="9"/>
  <c r="M4" i="9"/>
  <c r="B4" i="9"/>
  <c r="N4" i="9" l="1"/>
  <c r="K55" i="9"/>
  <c r="K48" i="9"/>
  <c r="G55" i="9"/>
  <c r="G48" i="9"/>
  <c r="L55" i="9"/>
  <c r="L48" i="9"/>
  <c r="J48" i="9"/>
  <c r="J55" i="9"/>
  <c r="F48" i="9"/>
  <c r="F55" i="9"/>
  <c r="H55" i="9"/>
  <c r="H48" i="9"/>
  <c r="M55" i="9"/>
  <c r="M48" i="9"/>
  <c r="I55" i="9"/>
  <c r="I48" i="9"/>
  <c r="E31" i="8"/>
  <c r="G31" i="8"/>
  <c r="D31" i="8"/>
  <c r="F31" i="8"/>
  <c r="E46" i="9"/>
  <c r="C46" i="9"/>
  <c r="D46" i="9"/>
  <c r="D48" i="9" s="1"/>
  <c r="E48" i="9" l="1"/>
  <c r="D55" i="9"/>
  <c r="E55" i="9"/>
  <c r="C55" i="9"/>
  <c r="C48" i="9"/>
  <c r="C51" i="8"/>
  <c r="D41" i="8"/>
  <c r="E41" i="8"/>
  <c r="G41" i="8"/>
  <c r="C41" i="9"/>
  <c r="D41" i="9"/>
  <c r="E41" i="9"/>
  <c r="F41" i="9"/>
  <c r="G41" i="9"/>
  <c r="H41" i="9"/>
  <c r="I41" i="9"/>
  <c r="J41" i="9"/>
  <c r="K41" i="9"/>
  <c r="L41" i="9"/>
  <c r="M41" i="9"/>
  <c r="N41" i="9"/>
  <c r="C42" i="9"/>
  <c r="D42" i="9"/>
  <c r="E42" i="9"/>
  <c r="F42" i="9"/>
  <c r="G42" i="9"/>
  <c r="H42" i="9"/>
  <c r="I42" i="9"/>
  <c r="J42" i="9"/>
  <c r="K42" i="9"/>
  <c r="L42" i="9"/>
  <c r="M42" i="9"/>
  <c r="N42" i="9"/>
  <c r="C43" i="9"/>
  <c r="D43" i="9"/>
  <c r="E43" i="9"/>
  <c r="F43" i="9"/>
  <c r="G43" i="9"/>
  <c r="H43" i="9"/>
  <c r="I43" i="9"/>
  <c r="J43" i="9"/>
  <c r="K43" i="9"/>
  <c r="L43" i="9"/>
  <c r="M43" i="9"/>
  <c r="N43" i="9"/>
  <c r="D44" i="9"/>
  <c r="E44" i="9"/>
  <c r="F44" i="9"/>
  <c r="G44" i="9"/>
  <c r="H44" i="9"/>
  <c r="I44" i="9"/>
  <c r="J44" i="9"/>
  <c r="K44" i="9"/>
  <c r="L44" i="9"/>
  <c r="M44" i="9"/>
  <c r="N44" i="9"/>
  <c r="B44" i="9"/>
  <c r="B43" i="9"/>
  <c r="B42" i="9"/>
  <c r="B41" i="9"/>
  <c r="C1" i="9"/>
  <c r="C52" i="9" s="1"/>
  <c r="C53" i="9" s="1"/>
  <c r="C54" i="9" s="1"/>
  <c r="B52" i="9"/>
  <c r="D44" i="8" l="1"/>
  <c r="B44" i="8"/>
  <c r="G44" i="8"/>
  <c r="E44" i="8"/>
  <c r="N41" i="8"/>
  <c r="G51" i="8"/>
  <c r="E51" i="8"/>
  <c r="D51" i="8"/>
  <c r="D1" i="9"/>
  <c r="B51" i="8"/>
  <c r="N44" i="8" l="1"/>
  <c r="N45" i="8"/>
  <c r="O44" i="8"/>
  <c r="O45" i="8"/>
  <c r="E1" i="9"/>
  <c r="D52" i="9"/>
  <c r="D53" i="9" s="1"/>
  <c r="D54" i="9" s="1"/>
  <c r="E52" i="9" l="1"/>
  <c r="E53" i="9" s="1"/>
  <c r="E54" i="9" s="1"/>
  <c r="E8" i="8" s="1"/>
  <c r="F1" i="9"/>
  <c r="F52" i="9" l="1"/>
  <c r="F53" i="9" s="1"/>
  <c r="F54" i="9" s="1"/>
  <c r="F8" i="8" s="1"/>
  <c r="G1" i="9"/>
  <c r="G52" i="9" l="1"/>
  <c r="G53" i="9" s="1"/>
  <c r="G54" i="9" s="1"/>
  <c r="G8" i="8" s="1"/>
  <c r="H1" i="9"/>
  <c r="H52" i="9" l="1"/>
  <c r="H53" i="9" s="1"/>
  <c r="H54" i="9" s="1"/>
  <c r="H8" i="8" s="1"/>
  <c r="I1" i="9"/>
  <c r="J1" i="9" l="1"/>
  <c r="I52" i="9"/>
  <c r="I53" i="9" s="1"/>
  <c r="I54" i="9" s="1"/>
  <c r="K1" i="9" l="1"/>
  <c r="J52" i="9"/>
  <c r="J53" i="9" s="1"/>
  <c r="J54" i="9" s="1"/>
  <c r="L1" i="9" l="1"/>
  <c r="K52" i="9"/>
  <c r="K53" i="9" s="1"/>
  <c r="K54" i="9" s="1"/>
  <c r="K8" i="8" s="1"/>
  <c r="C40" i="9"/>
  <c r="B26" i="9"/>
  <c r="N26" i="9" s="1"/>
  <c r="G20" i="9"/>
  <c r="F20" i="9"/>
  <c r="E20" i="9"/>
  <c r="D20" i="9"/>
  <c r="C20" i="9"/>
  <c r="B20" i="9"/>
  <c r="M15" i="9"/>
  <c r="L15" i="9"/>
  <c r="K15" i="9"/>
  <c r="J15" i="9"/>
  <c r="I15" i="9"/>
  <c r="H15" i="9"/>
  <c r="G15" i="9"/>
  <c r="F15" i="9"/>
  <c r="E15" i="9"/>
  <c r="D15" i="9"/>
  <c r="C15" i="9"/>
  <c r="E3" i="9"/>
  <c r="E58" i="8" s="1"/>
  <c r="B16" i="3"/>
  <c r="B12" i="3"/>
  <c r="B8" i="3"/>
  <c r="B4" i="3"/>
  <c r="M50" i="8"/>
  <c r="B55" i="9" l="1"/>
  <c r="B48" i="9"/>
  <c r="B53" i="9"/>
  <c r="B54" i="9" s="1"/>
  <c r="C32" i="9"/>
  <c r="C49" i="9" s="1"/>
  <c r="D32" i="9"/>
  <c r="E32" i="9"/>
  <c r="E49" i="9" s="1"/>
  <c r="D40" i="9"/>
  <c r="F40" i="9"/>
  <c r="M1" i="9"/>
  <c r="M52" i="9" s="1"/>
  <c r="M53" i="9" s="1"/>
  <c r="M54" i="9" s="1"/>
  <c r="L52" i="9"/>
  <c r="L53" i="9" s="1"/>
  <c r="L54" i="9" s="1"/>
  <c r="L8" i="8" s="1"/>
  <c r="I3" i="9"/>
  <c r="I58" i="8" s="1"/>
  <c r="M3" i="9"/>
  <c r="B3" i="9"/>
  <c r="J3" i="9"/>
  <c r="C3" i="9"/>
  <c r="K3" i="9"/>
  <c r="K58" i="8" s="1"/>
  <c r="H3" i="9"/>
  <c r="H58" i="8" s="1"/>
  <c r="F3" i="9"/>
  <c r="F58" i="8" s="1"/>
  <c r="D3" i="9"/>
  <c r="L3" i="9"/>
  <c r="L58" i="8" s="1"/>
  <c r="B40" i="9"/>
  <c r="F32" i="9"/>
  <c r="B24" i="3"/>
  <c r="C43" i="6"/>
  <c r="B43" i="6"/>
  <c r="B36" i="6"/>
  <c r="O35" i="8" l="1"/>
  <c r="N31" i="8"/>
  <c r="N35" i="8" s="1"/>
  <c r="D58" i="8"/>
  <c r="F49" i="9"/>
  <c r="F21" i="8"/>
  <c r="D21" i="8"/>
  <c r="D49" i="9"/>
  <c r="G3" i="9"/>
  <c r="N3" i="9" s="1"/>
  <c r="E21" i="8"/>
  <c r="N52" i="9"/>
  <c r="E40" i="9"/>
  <c r="G40" i="9"/>
  <c r="C21" i="8"/>
  <c r="C8" i="8"/>
  <c r="J20" i="9"/>
  <c r="H20" i="9"/>
  <c r="K20" i="9"/>
  <c r="L20" i="9"/>
  <c r="I20" i="9"/>
  <c r="G32" i="9"/>
  <c r="M20" i="9"/>
  <c r="B62" i="6"/>
  <c r="B58" i="6"/>
  <c r="B54" i="6"/>
  <c r="B42" i="6"/>
  <c r="B41" i="6"/>
  <c r="B40" i="6"/>
  <c r="B33" i="6"/>
  <c r="B25" i="6"/>
  <c r="B48" i="6" s="1"/>
  <c r="B18" i="6"/>
  <c r="B13" i="6"/>
  <c r="B8" i="6"/>
  <c r="B4" i="6"/>
  <c r="N20" i="9" l="1"/>
  <c r="G49" i="9"/>
  <c r="G21" i="8"/>
  <c r="B31" i="6"/>
  <c r="B47" i="6" s="1"/>
  <c r="D8" i="8"/>
  <c r="I32" i="9"/>
  <c r="M20" i="8"/>
  <c r="M24" i="8" s="1"/>
  <c r="B52" i="6"/>
  <c r="B3" i="6"/>
  <c r="B39" i="6"/>
  <c r="B51" i="6"/>
  <c r="C4" i="3"/>
  <c r="C8" i="3"/>
  <c r="C12" i="3"/>
  <c r="C16" i="3"/>
  <c r="C24" i="3"/>
  <c r="G4" i="3"/>
  <c r="G26" i="6"/>
  <c r="G8" i="3"/>
  <c r="G27" i="6"/>
  <c r="G41" i="6" s="1"/>
  <c r="F62" i="6"/>
  <c r="E62" i="6"/>
  <c r="D62" i="6"/>
  <c r="D66" i="6" s="1"/>
  <c r="C62" i="6"/>
  <c r="L50" i="8"/>
  <c r="C13" i="6"/>
  <c r="C18" i="6"/>
  <c r="C25" i="6"/>
  <c r="C48" i="6" s="1"/>
  <c r="C4" i="6"/>
  <c r="D58" i="6"/>
  <c r="B59" i="6" s="1"/>
  <c r="C58" i="6"/>
  <c r="C54" i="6"/>
  <c r="C8" i="6"/>
  <c r="C52" i="6" s="1"/>
  <c r="C42" i="6"/>
  <c r="C41" i="6"/>
  <c r="C40" i="6"/>
  <c r="C33" i="6"/>
  <c r="D25" i="6"/>
  <c r="D48" i="6" s="1"/>
  <c r="D4" i="3"/>
  <c r="D8" i="3"/>
  <c r="D12" i="3"/>
  <c r="D16" i="3"/>
  <c r="D24" i="3"/>
  <c r="E28" i="6"/>
  <c r="E25" i="6" s="1"/>
  <c r="D54" i="6"/>
  <c r="E10" i="6"/>
  <c r="E54" i="6" s="1"/>
  <c r="F10" i="6"/>
  <c r="F54" i="6"/>
  <c r="G10" i="6"/>
  <c r="N10" i="6" s="1"/>
  <c r="M4" i="6"/>
  <c r="L4" i="6"/>
  <c r="L59" i="6"/>
  <c r="K4" i="6"/>
  <c r="K59" i="6" s="1"/>
  <c r="J4" i="6"/>
  <c r="J59" i="6" s="1"/>
  <c r="I4" i="6"/>
  <c r="H4" i="6"/>
  <c r="H59" i="6" s="1"/>
  <c r="G28" i="6"/>
  <c r="G4" i="6"/>
  <c r="G59" i="6"/>
  <c r="F28" i="6"/>
  <c r="F25" i="6" s="1"/>
  <c r="F4" i="6"/>
  <c r="F3" i="6" s="1"/>
  <c r="E4" i="6"/>
  <c r="E59" i="6" s="1"/>
  <c r="D4" i="6"/>
  <c r="D59" i="6"/>
  <c r="D61" i="6"/>
  <c r="K30" i="8" s="1"/>
  <c r="M62" i="6"/>
  <c r="L62" i="6"/>
  <c r="K62" i="6"/>
  <c r="J46" i="6"/>
  <c r="J62" i="6" s="1"/>
  <c r="I46" i="6"/>
  <c r="I62" i="6"/>
  <c r="H46" i="6"/>
  <c r="H62" i="6" s="1"/>
  <c r="G46" i="6"/>
  <c r="G62" i="6" s="1"/>
  <c r="M13" i="6"/>
  <c r="L13" i="6"/>
  <c r="L51" i="6" s="1"/>
  <c r="K13" i="6"/>
  <c r="J13" i="6"/>
  <c r="J51" i="6" s="1"/>
  <c r="I13" i="6"/>
  <c r="H13" i="6"/>
  <c r="H51" i="6" s="1"/>
  <c r="G13" i="6"/>
  <c r="G18" i="6"/>
  <c r="F13" i="6"/>
  <c r="F31" i="6" s="1"/>
  <c r="F18" i="6"/>
  <c r="F52" i="6" s="1"/>
  <c r="E13" i="6"/>
  <c r="E18" i="6"/>
  <c r="D13" i="6"/>
  <c r="D31" i="6" s="1"/>
  <c r="D18" i="6"/>
  <c r="D8" i="6"/>
  <c r="K50" i="8"/>
  <c r="F8" i="6"/>
  <c r="H8" i="6"/>
  <c r="I8" i="6"/>
  <c r="J8" i="6"/>
  <c r="J3" i="6" s="1"/>
  <c r="E57" i="8" s="1"/>
  <c r="K8" i="6"/>
  <c r="L8" i="6"/>
  <c r="L3" i="6" s="1"/>
  <c r="C57" i="8" s="1"/>
  <c r="M8" i="6"/>
  <c r="E56" i="8"/>
  <c r="D56" i="8"/>
  <c r="C56" i="8"/>
  <c r="B56" i="8"/>
  <c r="B50" i="8"/>
  <c r="C50" i="8"/>
  <c r="D50" i="8"/>
  <c r="E50" i="8"/>
  <c r="F50" i="8"/>
  <c r="G50" i="8"/>
  <c r="H50" i="8"/>
  <c r="I50" i="8"/>
  <c r="J50" i="8"/>
  <c r="C49" i="8"/>
  <c r="D49" i="8"/>
  <c r="E49" i="8"/>
  <c r="F49" i="8"/>
  <c r="G49" i="8"/>
  <c r="H49" i="8"/>
  <c r="I49" i="8"/>
  <c r="J49" i="8"/>
  <c r="K49" i="8"/>
  <c r="L49" i="8"/>
  <c r="M49" i="8"/>
  <c r="B49" i="8"/>
  <c r="E87" i="7"/>
  <c r="B86" i="7"/>
  <c r="C87" i="7"/>
  <c r="B85" i="7"/>
  <c r="E24" i="1"/>
  <c r="E25" i="1"/>
  <c r="G12" i="3"/>
  <c r="E26" i="1"/>
  <c r="E23" i="1" s="1"/>
  <c r="L56" i="1"/>
  <c r="F81" i="7"/>
  <c r="F78" i="7"/>
  <c r="G76" i="7"/>
  <c r="C76" i="7"/>
  <c r="C81" i="7"/>
  <c r="D76" i="7"/>
  <c r="E76" i="7"/>
  <c r="E81" i="7"/>
  <c r="B76" i="7"/>
  <c r="N53" i="7"/>
  <c r="L5" i="1"/>
  <c r="L6" i="1"/>
  <c r="L7" i="1"/>
  <c r="L9" i="1"/>
  <c r="L10" i="1"/>
  <c r="L11" i="1"/>
  <c r="L12" i="1"/>
  <c r="L14" i="1"/>
  <c r="L15" i="1"/>
  <c r="L16" i="1"/>
  <c r="L18" i="1"/>
  <c r="L19" i="1"/>
  <c r="L20" i="1"/>
  <c r="L21" i="1"/>
  <c r="L22" i="1"/>
  <c r="L24" i="1"/>
  <c r="L25" i="1"/>
  <c r="L26" i="1"/>
  <c r="L27" i="1"/>
  <c r="M28" i="7"/>
  <c r="L28" i="7"/>
  <c r="K28" i="7"/>
  <c r="J28" i="7"/>
  <c r="I28" i="7"/>
  <c r="H28" i="7"/>
  <c r="G28" i="7"/>
  <c r="F28" i="7"/>
  <c r="E28" i="7"/>
  <c r="D28" i="7"/>
  <c r="C28" i="7"/>
  <c r="B28" i="7"/>
  <c r="B24" i="7"/>
  <c r="E25" i="7"/>
  <c r="B23" i="7"/>
  <c r="M25" i="7" s="1"/>
  <c r="M27" i="7" s="1"/>
  <c r="M10" i="7"/>
  <c r="L10" i="7"/>
  <c r="K10" i="7"/>
  <c r="J10" i="7"/>
  <c r="I10" i="7"/>
  <c r="H10" i="7"/>
  <c r="G10" i="7"/>
  <c r="F10" i="7"/>
  <c r="E10" i="7"/>
  <c r="D10" i="7"/>
  <c r="C10" i="7"/>
  <c r="B10" i="7"/>
  <c r="M9" i="7"/>
  <c r="L9" i="7"/>
  <c r="K9" i="7"/>
  <c r="K8" i="7" s="1"/>
  <c r="K20" i="7" s="1"/>
  <c r="K59" i="7" s="1"/>
  <c r="J9" i="7"/>
  <c r="I9" i="7"/>
  <c r="H9" i="7"/>
  <c r="G9" i="7"/>
  <c r="G8" i="7" s="1"/>
  <c r="G20" i="7" s="1"/>
  <c r="G59" i="7" s="1"/>
  <c r="F9" i="7"/>
  <c r="E9" i="7"/>
  <c r="D9" i="7"/>
  <c r="C9" i="7"/>
  <c r="C8" i="7" s="1"/>
  <c r="C20" i="7" s="1"/>
  <c r="C59" i="7" s="1"/>
  <c r="B9" i="7"/>
  <c r="M6" i="7"/>
  <c r="L6" i="7"/>
  <c r="K6" i="7"/>
  <c r="J6" i="7"/>
  <c r="I6" i="7"/>
  <c r="H6" i="7"/>
  <c r="G6" i="7"/>
  <c r="F6" i="7"/>
  <c r="E6" i="7"/>
  <c r="D6" i="7"/>
  <c r="C6" i="7"/>
  <c r="B6" i="7"/>
  <c r="M5" i="7"/>
  <c r="L5" i="7"/>
  <c r="K5" i="7"/>
  <c r="J5" i="7"/>
  <c r="I5" i="7"/>
  <c r="H5" i="7"/>
  <c r="G5" i="7"/>
  <c r="G4" i="7" s="1"/>
  <c r="G2" i="7" s="1"/>
  <c r="F5" i="7"/>
  <c r="E5" i="7"/>
  <c r="D5" i="7"/>
  <c r="C5" i="7"/>
  <c r="C4" i="7" s="1"/>
  <c r="B5" i="7"/>
  <c r="N63" i="6"/>
  <c r="F55" i="1"/>
  <c r="G42" i="6"/>
  <c r="E42" i="6"/>
  <c r="N29" i="6"/>
  <c r="N21" i="6"/>
  <c r="N5" i="6"/>
  <c r="N6" i="6"/>
  <c r="N9" i="6"/>
  <c r="N14" i="6"/>
  <c r="N15" i="6"/>
  <c r="N22" i="6"/>
  <c r="N23" i="6"/>
  <c r="F41" i="6"/>
  <c r="E41" i="6"/>
  <c r="M40" i="6"/>
  <c r="L40" i="6"/>
  <c r="K40" i="6"/>
  <c r="J40" i="6"/>
  <c r="I40" i="6"/>
  <c r="H40" i="6"/>
  <c r="F40" i="6"/>
  <c r="E40" i="6"/>
  <c r="I36" i="6"/>
  <c r="I33" i="6" s="1"/>
  <c r="M35" i="6"/>
  <c r="L35" i="6"/>
  <c r="K33" i="6"/>
  <c r="J33" i="6"/>
  <c r="H33" i="6"/>
  <c r="G33" i="6"/>
  <c r="F33" i="6"/>
  <c r="E33" i="6"/>
  <c r="G40" i="6"/>
  <c r="G20" i="4"/>
  <c r="B87" i="7"/>
  <c r="D87" i="7"/>
  <c r="E78" i="7"/>
  <c r="H76" i="7"/>
  <c r="C78" i="7"/>
  <c r="D4" i="7"/>
  <c r="L4" i="7"/>
  <c r="H4" i="7"/>
  <c r="D8" i="7"/>
  <c r="D20" i="7"/>
  <c r="D59" i="7"/>
  <c r="L8" i="7"/>
  <c r="M8" i="7"/>
  <c r="M20" i="7"/>
  <c r="M59" i="7" s="1"/>
  <c r="F8" i="7"/>
  <c r="F20" i="7"/>
  <c r="F59" i="7"/>
  <c r="I4" i="7"/>
  <c r="B4" i="7"/>
  <c r="J4" i="7"/>
  <c r="H8" i="7"/>
  <c r="H20" i="7" s="1"/>
  <c r="H59" i="7" s="1"/>
  <c r="K4" i="7"/>
  <c r="I8" i="7"/>
  <c r="I20" i="7"/>
  <c r="I59" i="7"/>
  <c r="B8" i="7"/>
  <c r="B20" i="7"/>
  <c r="B59" i="7"/>
  <c r="J8" i="7"/>
  <c r="J20" i="7" s="1"/>
  <c r="J59" i="7" s="1"/>
  <c r="E8" i="7"/>
  <c r="E20" i="7" s="1"/>
  <c r="E59" i="7" s="1"/>
  <c r="C25" i="7"/>
  <c r="E4" i="7"/>
  <c r="M4" i="7"/>
  <c r="D25" i="7"/>
  <c r="F4" i="7"/>
  <c r="B25" i="7"/>
  <c r="I51" i="6"/>
  <c r="E8" i="6"/>
  <c r="E51" i="6"/>
  <c r="F51" i="6"/>
  <c r="G51" i="6"/>
  <c r="N26" i="6"/>
  <c r="D33" i="6"/>
  <c r="D39" i="6" s="1"/>
  <c r="D42" i="6"/>
  <c r="D40" i="6"/>
  <c r="D41" i="6"/>
  <c r="L33" i="6"/>
  <c r="F42" i="6"/>
  <c r="M33" i="6"/>
  <c r="H55" i="1"/>
  <c r="E55" i="1"/>
  <c r="L55" i="1" s="1"/>
  <c r="G55" i="1"/>
  <c r="B27" i="7"/>
  <c r="I2" i="7"/>
  <c r="I74" i="7"/>
  <c r="D2" i="7"/>
  <c r="D74" i="7"/>
  <c r="G74" i="7"/>
  <c r="D27" i="7"/>
  <c r="D32" i="7"/>
  <c r="M2" i="7"/>
  <c r="M74" i="7"/>
  <c r="J2" i="7"/>
  <c r="J74" i="7" s="1"/>
  <c r="B2" i="7"/>
  <c r="D30" i="7"/>
  <c r="D31" i="7"/>
  <c r="B32" i="7"/>
  <c r="B30" i="7"/>
  <c r="B31" i="7"/>
  <c r="B74" i="7"/>
  <c r="B50" i="1"/>
  <c r="C31" i="4"/>
  <c r="L5" i="5" s="1"/>
  <c r="C28" i="4"/>
  <c r="D28" i="4"/>
  <c r="E28" i="4"/>
  <c r="F28" i="4"/>
  <c r="G28" i="4"/>
  <c r="H28" i="4"/>
  <c r="I28" i="4"/>
  <c r="J28" i="4"/>
  <c r="K28" i="4"/>
  <c r="L28" i="4"/>
  <c r="M28" i="4"/>
  <c r="B28" i="4"/>
  <c r="C25" i="4"/>
  <c r="B24" i="4"/>
  <c r="B25" i="4" s="1"/>
  <c r="B23" i="4"/>
  <c r="M10" i="4"/>
  <c r="L10" i="4"/>
  <c r="K10" i="4"/>
  <c r="J10" i="4"/>
  <c r="I10" i="4"/>
  <c r="H10" i="4"/>
  <c r="G10" i="4"/>
  <c r="F10" i="4"/>
  <c r="E10" i="4"/>
  <c r="D10" i="4"/>
  <c r="C10" i="4"/>
  <c r="B10" i="4"/>
  <c r="M9" i="4"/>
  <c r="L9" i="4"/>
  <c r="K9" i="4"/>
  <c r="K8" i="4"/>
  <c r="K20" i="4" s="1"/>
  <c r="J9" i="4"/>
  <c r="I9" i="4"/>
  <c r="I8" i="4"/>
  <c r="I20" i="4" s="1"/>
  <c r="H9" i="4"/>
  <c r="H8" i="4" s="1"/>
  <c r="H20" i="4" s="1"/>
  <c r="G9" i="4"/>
  <c r="F9" i="4"/>
  <c r="E9" i="4"/>
  <c r="E8" i="4"/>
  <c r="E20" i="4" s="1"/>
  <c r="D9" i="4"/>
  <c r="D8" i="4" s="1"/>
  <c r="D20" i="4" s="1"/>
  <c r="C9" i="4"/>
  <c r="C8" i="4"/>
  <c r="C20" i="4" s="1"/>
  <c r="B9" i="4"/>
  <c r="B8" i="4" s="1"/>
  <c r="B20" i="4" s="1"/>
  <c r="M8" i="4"/>
  <c r="M20" i="4" s="1"/>
  <c r="M6" i="4"/>
  <c r="L6" i="4"/>
  <c r="K6" i="4"/>
  <c r="J6" i="4"/>
  <c r="I6" i="4"/>
  <c r="H6" i="4"/>
  <c r="G6" i="4"/>
  <c r="F6" i="4"/>
  <c r="E6" i="4"/>
  <c r="D6" i="4"/>
  <c r="C6" i="4"/>
  <c r="B6" i="4"/>
  <c r="M5" i="4"/>
  <c r="M4" i="4" s="1"/>
  <c r="L5" i="4"/>
  <c r="L4" i="4" s="1"/>
  <c r="L2" i="4" s="1"/>
  <c r="C19" i="5" s="1"/>
  <c r="K5" i="4"/>
  <c r="K4" i="4"/>
  <c r="J5" i="4"/>
  <c r="J4" i="4" s="1"/>
  <c r="I5" i="4"/>
  <c r="I4" i="4" s="1"/>
  <c r="H5" i="4"/>
  <c r="H4" i="4" s="1"/>
  <c r="G5" i="4"/>
  <c r="G4" i="4"/>
  <c r="G2" i="4" s="1"/>
  <c r="F5" i="4"/>
  <c r="F4" i="4" s="1"/>
  <c r="E5" i="4"/>
  <c r="E4" i="4" s="1"/>
  <c r="D5" i="4"/>
  <c r="D4" i="4" s="1"/>
  <c r="C5" i="4"/>
  <c r="C4" i="4"/>
  <c r="C27" i="4" s="1"/>
  <c r="C30" i="4" s="1"/>
  <c r="B5" i="4"/>
  <c r="B4" i="4" s="1"/>
  <c r="G8" i="4"/>
  <c r="L8" i="4"/>
  <c r="L20" i="4" s="1"/>
  <c r="K2" i="4"/>
  <c r="D19" i="8" s="1"/>
  <c r="C2" i="4"/>
  <c r="L19" i="8" s="1"/>
  <c r="D2" i="4"/>
  <c r="K19" i="5" s="1"/>
  <c r="G16" i="3"/>
  <c r="G24" i="3" s="1"/>
  <c r="F16" i="3"/>
  <c r="F12" i="3"/>
  <c r="F8" i="3"/>
  <c r="F4" i="3"/>
  <c r="E16" i="3"/>
  <c r="E12" i="3"/>
  <c r="E8" i="3"/>
  <c r="E4" i="3"/>
  <c r="I30" i="1"/>
  <c r="H30" i="1"/>
  <c r="F30" i="1"/>
  <c r="E30" i="1"/>
  <c r="F4" i="1"/>
  <c r="G4" i="1"/>
  <c r="H4" i="1"/>
  <c r="H3" i="1" s="1"/>
  <c r="H51" i="1" s="1"/>
  <c r="I4" i="1"/>
  <c r="J4" i="1"/>
  <c r="K4" i="1"/>
  <c r="F8" i="1"/>
  <c r="F3" i="1" s="1"/>
  <c r="F51" i="1" s="1"/>
  <c r="G8" i="1"/>
  <c r="H8" i="1"/>
  <c r="I8" i="1"/>
  <c r="J8" i="1"/>
  <c r="K8" i="1"/>
  <c r="E13" i="1"/>
  <c r="F13" i="1"/>
  <c r="G13" i="1"/>
  <c r="G43" i="1" s="1"/>
  <c r="H13" i="1"/>
  <c r="H43" i="1" s="1"/>
  <c r="I13" i="1"/>
  <c r="J13" i="1"/>
  <c r="J43" i="1" s="1"/>
  <c r="K13" i="1"/>
  <c r="E17" i="1"/>
  <c r="F17" i="1"/>
  <c r="F28" i="1" s="1"/>
  <c r="G17" i="1"/>
  <c r="G46" i="1" s="1"/>
  <c r="H17" i="1"/>
  <c r="I17" i="1"/>
  <c r="I46" i="1"/>
  <c r="J17" i="1"/>
  <c r="K17" i="1"/>
  <c r="K46" i="1" s="1"/>
  <c r="J46" i="1"/>
  <c r="H46" i="1"/>
  <c r="I43" i="1"/>
  <c r="K43" i="1"/>
  <c r="F43" i="1"/>
  <c r="I3" i="1"/>
  <c r="I51" i="1" s="1"/>
  <c r="K3" i="1"/>
  <c r="K51" i="1" s="1"/>
  <c r="G3" i="1"/>
  <c r="G51" i="1" s="1"/>
  <c r="J3" i="1"/>
  <c r="J51" i="1" s="1"/>
  <c r="K32" i="1"/>
  <c r="K30" i="1" s="1"/>
  <c r="K36" i="1" s="1"/>
  <c r="J32" i="1"/>
  <c r="J30" i="1" s="1"/>
  <c r="J36" i="1" s="1"/>
  <c r="G33" i="1"/>
  <c r="G30" i="1" s="1"/>
  <c r="G38" i="1"/>
  <c r="F37" i="1"/>
  <c r="G37" i="1"/>
  <c r="H37" i="1"/>
  <c r="I37" i="1"/>
  <c r="J37" i="1"/>
  <c r="K37" i="1"/>
  <c r="H38" i="1"/>
  <c r="I38" i="1"/>
  <c r="J38" i="1"/>
  <c r="H39" i="1"/>
  <c r="I39" i="1"/>
  <c r="J39" i="1"/>
  <c r="K39" i="1"/>
  <c r="G23" i="1"/>
  <c r="H23" i="1"/>
  <c r="H36" i="1" s="1"/>
  <c r="H28" i="1"/>
  <c r="I23" i="1"/>
  <c r="I28" i="1"/>
  <c r="D20" i="5" s="1"/>
  <c r="J23" i="1"/>
  <c r="K23" i="1"/>
  <c r="K28" i="1"/>
  <c r="B20" i="5" s="1"/>
  <c r="E20" i="5"/>
  <c r="G39" i="1"/>
  <c r="J28" i="1"/>
  <c r="I36" i="1"/>
  <c r="C20" i="5"/>
  <c r="C8" i="1"/>
  <c r="D8" i="1"/>
  <c r="E8" i="1"/>
  <c r="E46" i="1" s="1"/>
  <c r="B8" i="1"/>
  <c r="L8" i="1" s="1"/>
  <c r="C4" i="1"/>
  <c r="C3" i="1" s="1"/>
  <c r="C51" i="1" s="1"/>
  <c r="D4" i="1"/>
  <c r="D3" i="1" s="1"/>
  <c r="D51" i="1" s="1"/>
  <c r="E4" i="1"/>
  <c r="E43" i="1" s="1"/>
  <c r="B4" i="1"/>
  <c r="B3" i="1" s="1"/>
  <c r="L4" i="1"/>
  <c r="B13" i="1"/>
  <c r="B43" i="1" s="1"/>
  <c r="B17" i="1"/>
  <c r="L17" i="1" s="1"/>
  <c r="D17" i="1"/>
  <c r="D46" i="1"/>
  <c r="D13" i="1"/>
  <c r="D43" i="1" s="1"/>
  <c r="L13" i="1"/>
  <c r="C17" i="1"/>
  <c r="C46" i="1"/>
  <c r="C13" i="1"/>
  <c r="C43" i="1" s="1"/>
  <c r="E39" i="1"/>
  <c r="E37" i="1"/>
  <c r="D39" i="1"/>
  <c r="D37" i="1"/>
  <c r="D23" i="1"/>
  <c r="C30" i="1"/>
  <c r="C36" i="1" s="1"/>
  <c r="D28" i="1"/>
  <c r="D54" i="1" s="1"/>
  <c r="E36" i="1"/>
  <c r="D38" i="1"/>
  <c r="F38" i="1"/>
  <c r="E38" i="1"/>
  <c r="I20" i="5"/>
  <c r="F39" i="1"/>
  <c r="F23" i="1"/>
  <c r="F36" i="1" s="1"/>
  <c r="D30" i="1"/>
  <c r="D36" i="1"/>
  <c r="C38" i="1"/>
  <c r="C37" i="1"/>
  <c r="C39" i="1"/>
  <c r="C23" i="1"/>
  <c r="C28" i="1"/>
  <c r="B30" i="1"/>
  <c r="B37" i="1"/>
  <c r="B38" i="1"/>
  <c r="B39" i="1"/>
  <c r="M26" i="1"/>
  <c r="B23" i="1"/>
  <c r="L23" i="1"/>
  <c r="B36" i="1"/>
  <c r="O12" i="8" l="1"/>
  <c r="K34" i="8"/>
  <c r="I49" i="9"/>
  <c r="I21" i="8"/>
  <c r="E27" i="4"/>
  <c r="E2" i="4"/>
  <c r="M30" i="7"/>
  <c r="M31" i="7" s="1"/>
  <c r="M32" i="7"/>
  <c r="B70" i="6"/>
  <c r="M30" i="8"/>
  <c r="G20" i="5"/>
  <c r="I2" i="4"/>
  <c r="D59" i="1"/>
  <c r="D57" i="1"/>
  <c r="D58" i="1" s="1"/>
  <c r="I6" i="5" s="1"/>
  <c r="B51" i="1"/>
  <c r="L3" i="1"/>
  <c r="G36" i="1"/>
  <c r="H19" i="8"/>
  <c r="H19" i="5"/>
  <c r="M27" i="4"/>
  <c r="M2" i="4"/>
  <c r="C54" i="1"/>
  <c r="K25" i="4"/>
  <c r="K27" i="4" s="1"/>
  <c r="J25" i="4"/>
  <c r="M25" i="4"/>
  <c r="G25" i="4"/>
  <c r="L25" i="4"/>
  <c r="H25" i="4"/>
  <c r="H27" i="4" s="1"/>
  <c r="F25" i="4"/>
  <c r="C59" i="6"/>
  <c r="C51" i="6"/>
  <c r="B28" i="1"/>
  <c r="B54" i="1" s="1"/>
  <c r="G28" i="1"/>
  <c r="K38" i="1"/>
  <c r="B2" i="4"/>
  <c r="B27" i="4"/>
  <c r="J27" i="4"/>
  <c r="L19" i="5"/>
  <c r="K51" i="6"/>
  <c r="D78" i="7"/>
  <c r="D81" i="7"/>
  <c r="K19" i="8"/>
  <c r="E28" i="1"/>
  <c r="L28" i="1" s="1"/>
  <c r="F39" i="6"/>
  <c r="D24" i="6"/>
  <c r="E39" i="6"/>
  <c r="L27" i="4"/>
  <c r="G81" i="7"/>
  <c r="G78" i="7"/>
  <c r="F46" i="1"/>
  <c r="H2" i="4"/>
  <c r="F8" i="4"/>
  <c r="F20" i="4" s="1"/>
  <c r="C32" i="4"/>
  <c r="E27" i="7"/>
  <c r="E2" i="7"/>
  <c r="E74" i="7" s="1"/>
  <c r="L20" i="7"/>
  <c r="L59" i="7" s="1"/>
  <c r="N59" i="7" s="1"/>
  <c r="L2" i="7"/>
  <c r="L74" i="7" s="1"/>
  <c r="H2" i="7"/>
  <c r="H74" i="7" s="1"/>
  <c r="B81" i="7"/>
  <c r="B78" i="7"/>
  <c r="D64" i="6"/>
  <c r="D65" i="6" s="1"/>
  <c r="K7" i="8" s="1"/>
  <c r="K11" i="8" s="1"/>
  <c r="B52" i="1"/>
  <c r="G53" i="1" s="1"/>
  <c r="G27" i="4"/>
  <c r="K2" i="7"/>
  <c r="K74" i="7" s="1"/>
  <c r="H78" i="7"/>
  <c r="I76" i="7"/>
  <c r="H81" i="7"/>
  <c r="C2" i="7"/>
  <c r="C27" i="7"/>
  <c r="J20" i="5"/>
  <c r="E3" i="1"/>
  <c r="E51" i="1" s="1"/>
  <c r="E24" i="3"/>
  <c r="F24" i="3"/>
  <c r="F27" i="4"/>
  <c r="J8" i="4"/>
  <c r="I25" i="4"/>
  <c r="I27" i="4" s="1"/>
  <c r="D19" i="5"/>
  <c r="F2" i="7"/>
  <c r="F74" i="7" s="1"/>
  <c r="F27" i="7"/>
  <c r="I25" i="7"/>
  <c r="I27" i="7" s="1"/>
  <c r="K25" i="7"/>
  <c r="K27" i="7" s="1"/>
  <c r="F25" i="7"/>
  <c r="G25" i="7"/>
  <c r="G27" i="7" s="1"/>
  <c r="L25" i="7"/>
  <c r="L27" i="7" s="1"/>
  <c r="J25" i="7"/>
  <c r="J27" i="7" s="1"/>
  <c r="H25" i="7"/>
  <c r="H27" i="7" s="1"/>
  <c r="C19" i="8"/>
  <c r="G87" i="7"/>
  <c r="M87" i="7"/>
  <c r="J87" i="7"/>
  <c r="I87" i="7"/>
  <c r="L87" i="7"/>
  <c r="F87" i="7"/>
  <c r="K87" i="7"/>
  <c r="H87" i="7"/>
  <c r="D70" i="6"/>
  <c r="D47" i="6"/>
  <c r="I20" i="8"/>
  <c r="F47" i="6"/>
  <c r="M32" i="9"/>
  <c r="M49" i="9" s="1"/>
  <c r="M40" i="9"/>
  <c r="I40" i="9"/>
  <c r="H3" i="6"/>
  <c r="N62" i="6"/>
  <c r="L32" i="9"/>
  <c r="L40" i="9"/>
  <c r="J40" i="9"/>
  <c r="E25" i="4"/>
  <c r="E31" i="6"/>
  <c r="E47" i="6" s="1"/>
  <c r="H40" i="9"/>
  <c r="D25" i="4"/>
  <c r="D27" i="4" s="1"/>
  <c r="B24" i="6"/>
  <c r="K32" i="9"/>
  <c r="K40" i="9"/>
  <c r="H32" i="9"/>
  <c r="J32" i="9"/>
  <c r="J49" i="9" s="1"/>
  <c r="E54" i="1"/>
  <c r="G25" i="6"/>
  <c r="G39" i="6" s="1"/>
  <c r="C3" i="6"/>
  <c r="B66" i="6"/>
  <c r="B64" i="6"/>
  <c r="B65" i="6" s="1"/>
  <c r="M7" i="8" s="1"/>
  <c r="J20" i="8"/>
  <c r="E70" i="6"/>
  <c r="E52" i="6"/>
  <c r="E3" i="6"/>
  <c r="M59" i="6"/>
  <c r="M3" i="6"/>
  <c r="B57" i="8" s="1"/>
  <c r="M51" i="6"/>
  <c r="N40" i="6"/>
  <c r="D51" i="6"/>
  <c r="K20" i="8"/>
  <c r="D3" i="6"/>
  <c r="D52" i="6"/>
  <c r="N13" i="6"/>
  <c r="K3" i="6"/>
  <c r="D57" i="8" s="1"/>
  <c r="I59" i="6"/>
  <c r="N59" i="6" s="1"/>
  <c r="I3" i="6"/>
  <c r="N4" i="6"/>
  <c r="C39" i="6"/>
  <c r="C31" i="6"/>
  <c r="C47" i="6" s="1"/>
  <c r="C61" i="6"/>
  <c r="C24" i="6"/>
  <c r="G61" i="6"/>
  <c r="G31" i="6"/>
  <c r="G47" i="6" s="1"/>
  <c r="F61" i="6"/>
  <c r="F70" i="6" s="1"/>
  <c r="G8" i="6"/>
  <c r="N8" i="6" s="1"/>
  <c r="G54" i="6"/>
  <c r="M20" i="6" s="1"/>
  <c r="M28" i="6" s="1"/>
  <c r="M42" i="6" s="1"/>
  <c r="J20" i="6"/>
  <c r="J28" i="6" s="1"/>
  <c r="J42" i="6" s="1"/>
  <c r="E61" i="6"/>
  <c r="M34" i="8" l="1"/>
  <c r="M11" i="8"/>
  <c r="L49" i="9"/>
  <c r="L21" i="8"/>
  <c r="K49" i="9"/>
  <c r="K21" i="8"/>
  <c r="I24" i="8"/>
  <c r="K23" i="8"/>
  <c r="J24" i="8"/>
  <c r="H49" i="9"/>
  <c r="H21" i="8"/>
  <c r="N53" i="9"/>
  <c r="N54" i="9" s="1"/>
  <c r="N48" i="9"/>
  <c r="N55" i="9"/>
  <c r="N8" i="8"/>
  <c r="N12" i="8" s="1"/>
  <c r="K30" i="4"/>
  <c r="K31" i="4" s="1"/>
  <c r="D5" i="5" s="1"/>
  <c r="K32" i="4"/>
  <c r="I30" i="4"/>
  <c r="I31" i="4" s="1"/>
  <c r="F5" i="5" s="1"/>
  <c r="I32" i="4"/>
  <c r="G30" i="7"/>
  <c r="G31" i="7" s="1"/>
  <c r="G32" i="7"/>
  <c r="H32" i="7"/>
  <c r="H30" i="7"/>
  <c r="H31" i="7" s="1"/>
  <c r="D32" i="4"/>
  <c r="D30" i="4"/>
  <c r="D31" i="4" s="1"/>
  <c r="K5" i="5" s="1"/>
  <c r="H32" i="4"/>
  <c r="H30" i="4"/>
  <c r="H31" i="4" s="1"/>
  <c r="G5" i="5" s="1"/>
  <c r="K32" i="7"/>
  <c r="K30" i="7"/>
  <c r="K31" i="7" s="1"/>
  <c r="F30" i="7"/>
  <c r="F31" i="7" s="1"/>
  <c r="F32" i="7"/>
  <c r="C30" i="7"/>
  <c r="C31" i="7" s="1"/>
  <c r="C32" i="7"/>
  <c r="F53" i="1"/>
  <c r="F54" i="1" s="1"/>
  <c r="N2" i="4"/>
  <c r="M19" i="8"/>
  <c r="M23" i="8" s="1"/>
  <c r="M19" i="5"/>
  <c r="E30" i="4"/>
  <c r="E31" i="4" s="1"/>
  <c r="J5" i="5" s="1"/>
  <c r="E32" i="4"/>
  <c r="K19" i="6"/>
  <c r="K20" i="6"/>
  <c r="K28" i="6" s="1"/>
  <c r="K42" i="6" s="1"/>
  <c r="N40" i="9"/>
  <c r="F2" i="4"/>
  <c r="C74" i="7"/>
  <c r="N74" i="7" s="1"/>
  <c r="N2" i="7"/>
  <c r="E30" i="7"/>
  <c r="E31" i="7" s="1"/>
  <c r="E32" i="7"/>
  <c r="C57" i="1"/>
  <c r="C58" i="1" s="1"/>
  <c r="J6" i="5" s="1"/>
  <c r="C59" i="1"/>
  <c r="F19" i="8"/>
  <c r="F19" i="5"/>
  <c r="L19" i="6"/>
  <c r="L18" i="6" s="1"/>
  <c r="J20" i="4"/>
  <c r="J2" i="4"/>
  <c r="H53" i="1"/>
  <c r="H54" i="1" s="1"/>
  <c r="I53" i="1"/>
  <c r="I54" i="1" s="1"/>
  <c r="K53" i="1"/>
  <c r="K54" i="1" s="1"/>
  <c r="L32" i="4"/>
  <c r="L30" i="4"/>
  <c r="L31" i="4" s="1"/>
  <c r="C5" i="5" s="1"/>
  <c r="H20" i="6"/>
  <c r="H28" i="6" s="1"/>
  <c r="L20" i="6"/>
  <c r="L28" i="6" s="1"/>
  <c r="L42" i="6" s="1"/>
  <c r="J19" i="6"/>
  <c r="H20" i="5"/>
  <c r="J30" i="7"/>
  <c r="J31" i="7" s="1"/>
  <c r="J32" i="7"/>
  <c r="F30" i="4"/>
  <c r="F31" i="4" s="1"/>
  <c r="I5" i="5" s="1"/>
  <c r="F32" i="4"/>
  <c r="G19" i="5"/>
  <c r="G19" i="8"/>
  <c r="J30" i="4"/>
  <c r="J31" i="4" s="1"/>
  <c r="E5" i="5" s="1"/>
  <c r="J32" i="4"/>
  <c r="F20" i="5"/>
  <c r="G54" i="1"/>
  <c r="B19" i="8"/>
  <c r="B19" i="5"/>
  <c r="I19" i="6"/>
  <c r="M19" i="6"/>
  <c r="L32" i="7"/>
  <c r="L30" i="7"/>
  <c r="L31" i="7" s="1"/>
  <c r="I32" i="7"/>
  <c r="I30" i="7"/>
  <c r="I31" i="7" s="1"/>
  <c r="I81" i="7"/>
  <c r="I78" i="7"/>
  <c r="J76" i="7"/>
  <c r="G30" i="4"/>
  <c r="G31" i="4" s="1"/>
  <c r="H5" i="5" s="1"/>
  <c r="G32" i="4"/>
  <c r="B30" i="4"/>
  <c r="B31" i="4" s="1"/>
  <c r="M5" i="5" s="1"/>
  <c r="B32" i="4"/>
  <c r="M30" i="4"/>
  <c r="M31" i="4" s="1"/>
  <c r="B5" i="5" s="1"/>
  <c r="M32" i="4"/>
  <c r="J19" i="8"/>
  <c r="J23" i="8" s="1"/>
  <c r="J19" i="5"/>
  <c r="J53" i="1"/>
  <c r="J54" i="1" s="1"/>
  <c r="E59" i="1"/>
  <c r="E57" i="1"/>
  <c r="N20" i="6"/>
  <c r="L20" i="8"/>
  <c r="L23" i="8" s="1"/>
  <c r="C70" i="6"/>
  <c r="I27" i="6"/>
  <c r="H30" i="8"/>
  <c r="G64" i="6"/>
  <c r="G65" i="6" s="1"/>
  <c r="H7" i="8" s="1"/>
  <c r="H11" i="8" s="1"/>
  <c r="G66" i="6"/>
  <c r="G70" i="6"/>
  <c r="H20" i="8"/>
  <c r="H23" i="8" s="1"/>
  <c r="I20" i="6"/>
  <c r="I28" i="6" s="1"/>
  <c r="I42" i="6" s="1"/>
  <c r="B55" i="7"/>
  <c r="I30" i="8"/>
  <c r="F64" i="6"/>
  <c r="F65" i="6" s="1"/>
  <c r="I7" i="8" s="1"/>
  <c r="I11" i="8" s="1"/>
  <c r="F66" i="6"/>
  <c r="M27" i="6"/>
  <c r="M18" i="6"/>
  <c r="J18" i="6"/>
  <c r="J27" i="6"/>
  <c r="E64" i="6"/>
  <c r="E65" i="6" s="1"/>
  <c r="J7" i="8" s="1"/>
  <c r="J11" i="8" s="1"/>
  <c r="J30" i="8"/>
  <c r="E66" i="6"/>
  <c r="K27" i="6"/>
  <c r="K18" i="6"/>
  <c r="G52" i="6"/>
  <c r="G3" i="6"/>
  <c r="L27" i="6"/>
  <c r="H19" i="6"/>
  <c r="C66" i="6"/>
  <c r="C64" i="6"/>
  <c r="C65" i="6" s="1"/>
  <c r="L7" i="8" s="1"/>
  <c r="L11" i="8" s="1"/>
  <c r="L30" i="8"/>
  <c r="L34" i="8" s="1"/>
  <c r="N51" i="6"/>
  <c r="K24" i="8" l="1"/>
  <c r="L24" i="8"/>
  <c r="H24" i="8"/>
  <c r="H34" i="8"/>
  <c r="J34" i="8"/>
  <c r="I34" i="8"/>
  <c r="I57" i="1"/>
  <c r="I58" i="1" s="1"/>
  <c r="D6" i="5" s="1"/>
  <c r="I59" i="1"/>
  <c r="L54" i="1"/>
  <c r="J59" i="1"/>
  <c r="L59" i="1" s="1"/>
  <c r="J57" i="1"/>
  <c r="J58" i="1" s="1"/>
  <c r="C6" i="5" s="1"/>
  <c r="G57" i="1"/>
  <c r="G58" i="1" s="1"/>
  <c r="F6" i="5" s="1"/>
  <c r="G59" i="1"/>
  <c r="N20" i="5"/>
  <c r="H59" i="1"/>
  <c r="H57" i="1"/>
  <c r="H58" i="1" s="1"/>
  <c r="E6" i="5" s="1"/>
  <c r="I19" i="8"/>
  <c r="I23" i="8" s="1"/>
  <c r="I19" i="5"/>
  <c r="F59" i="1"/>
  <c r="F57" i="1"/>
  <c r="F58" i="1" s="1"/>
  <c r="G6" i="5" s="1"/>
  <c r="J78" i="7"/>
  <c r="K76" i="7"/>
  <c r="J81" i="7"/>
  <c r="E19" i="8"/>
  <c r="E19" i="5"/>
  <c r="I18" i="6"/>
  <c r="N19" i="5"/>
  <c r="K57" i="1"/>
  <c r="K58" i="1" s="1"/>
  <c r="B6" i="5" s="1"/>
  <c r="K59" i="1"/>
  <c r="E58" i="1"/>
  <c r="H27" i="6"/>
  <c r="H18" i="6"/>
  <c r="N19" i="6"/>
  <c r="I52" i="6"/>
  <c r="H42" i="6"/>
  <c r="N42" i="6" s="1"/>
  <c r="N28" i="6"/>
  <c r="L52" i="6"/>
  <c r="K52" i="6"/>
  <c r="M52" i="6"/>
  <c r="C55" i="7"/>
  <c r="B57" i="7"/>
  <c r="I25" i="6"/>
  <c r="I31" i="6" s="1"/>
  <c r="I41" i="6"/>
  <c r="L25" i="6"/>
  <c r="L41" i="6"/>
  <c r="K25" i="6"/>
  <c r="K41" i="6"/>
  <c r="M25" i="6"/>
  <c r="M31" i="6" s="1"/>
  <c r="M41" i="6"/>
  <c r="J25" i="6"/>
  <c r="J31" i="6" s="1"/>
  <c r="J41" i="6"/>
  <c r="N3" i="6"/>
  <c r="J52" i="6"/>
  <c r="N19" i="8" l="1"/>
  <c r="L57" i="1"/>
  <c r="K78" i="7"/>
  <c r="K81" i="7"/>
  <c r="L76" i="7"/>
  <c r="H6" i="5"/>
  <c r="L58" i="1"/>
  <c r="B20" i="8"/>
  <c r="M70" i="6"/>
  <c r="E20" i="8"/>
  <c r="F20" i="8"/>
  <c r="K61" i="6"/>
  <c r="K39" i="6"/>
  <c r="L61" i="6"/>
  <c r="L39" i="6"/>
  <c r="D55" i="7"/>
  <c r="C57" i="7"/>
  <c r="L31" i="6"/>
  <c r="I61" i="6"/>
  <c r="I39" i="6"/>
  <c r="J39" i="6"/>
  <c r="J61" i="6"/>
  <c r="J70" i="6" s="1"/>
  <c r="K31" i="6"/>
  <c r="M61" i="6"/>
  <c r="M39" i="6"/>
  <c r="N18" i="6"/>
  <c r="N52" i="6" s="1"/>
  <c r="H52" i="6"/>
  <c r="B80" i="7"/>
  <c r="B82" i="7" s="1"/>
  <c r="B89" i="7" s="1"/>
  <c r="B61" i="7"/>
  <c r="B63" i="7" s="1"/>
  <c r="H25" i="6"/>
  <c r="N27" i="6"/>
  <c r="H41" i="6"/>
  <c r="N41" i="6" s="1"/>
  <c r="B23" i="8" l="1"/>
  <c r="F23" i="8"/>
  <c r="F24" i="8"/>
  <c r="E23" i="8"/>
  <c r="E24" i="8"/>
  <c r="L78" i="7"/>
  <c r="M76" i="7"/>
  <c r="L81" i="7"/>
  <c r="F30" i="8"/>
  <c r="I64" i="6"/>
  <c r="I65" i="6" s="1"/>
  <c r="F7" i="8" s="1"/>
  <c r="F11" i="8" s="1"/>
  <c r="I66" i="6"/>
  <c r="I70" i="6"/>
  <c r="C20" i="8"/>
  <c r="L70" i="6"/>
  <c r="C30" i="8"/>
  <c r="L64" i="6"/>
  <c r="L65" i="6" s="1"/>
  <c r="C7" i="8" s="1"/>
  <c r="C11" i="8" s="1"/>
  <c r="L66" i="6"/>
  <c r="B93" i="7"/>
  <c r="B94" i="7" s="1"/>
  <c r="M6" i="8" s="1"/>
  <c r="M10" i="8" s="1"/>
  <c r="M29" i="8"/>
  <c r="M33" i="8" s="1"/>
  <c r="B95" i="7"/>
  <c r="C61" i="7"/>
  <c r="C63" i="7" s="1"/>
  <c r="C80" i="7"/>
  <c r="C82" i="7" s="1"/>
  <c r="C89" i="7" s="1"/>
  <c r="D20" i="8"/>
  <c r="K70" i="6"/>
  <c r="B69" i="7"/>
  <c r="B67" i="7"/>
  <c r="B68" i="7" s="1"/>
  <c r="J64" i="6"/>
  <c r="J65" i="6" s="1"/>
  <c r="E7" i="8" s="1"/>
  <c r="E11" i="8" s="1"/>
  <c r="E30" i="8"/>
  <c r="J66" i="6"/>
  <c r="H39" i="6"/>
  <c r="N39" i="6" s="1"/>
  <c r="H61" i="6"/>
  <c r="N25" i="6"/>
  <c r="H31" i="6"/>
  <c r="B30" i="8"/>
  <c r="M64" i="6"/>
  <c r="M65" i="6" s="1"/>
  <c r="B7" i="8" s="1"/>
  <c r="M66" i="6"/>
  <c r="E55" i="7"/>
  <c r="D57" i="7"/>
  <c r="D30" i="8"/>
  <c r="K64" i="6"/>
  <c r="K65" i="6" s="1"/>
  <c r="D7" i="8" s="1"/>
  <c r="D11" i="8" s="1"/>
  <c r="K66" i="6"/>
  <c r="B11" i="8" l="1"/>
  <c r="D34" i="8"/>
  <c r="D23" i="8"/>
  <c r="D24" i="8"/>
  <c r="C23" i="8"/>
  <c r="C24" i="8"/>
  <c r="C34" i="8"/>
  <c r="E34" i="8"/>
  <c r="B34" i="8"/>
  <c r="M78" i="7"/>
  <c r="M81" i="7"/>
  <c r="F55" i="7"/>
  <c r="E57" i="7"/>
  <c r="H64" i="6"/>
  <c r="H65" i="6" s="1"/>
  <c r="G7" i="8" s="1"/>
  <c r="G11" i="8" s="1"/>
  <c r="G30" i="8"/>
  <c r="H66" i="6"/>
  <c r="N61" i="6"/>
  <c r="D80" i="7"/>
  <c r="D82" i="7" s="1"/>
  <c r="D89" i="7" s="1"/>
  <c r="D61" i="7"/>
  <c r="D63" i="7" s="1"/>
  <c r="L29" i="8"/>
  <c r="L33" i="8" s="1"/>
  <c r="C93" i="7"/>
  <c r="C94" i="7" s="1"/>
  <c r="L6" i="8" s="1"/>
  <c r="L10" i="8" s="1"/>
  <c r="C95" i="7"/>
  <c r="G20" i="8"/>
  <c r="H70" i="6"/>
  <c r="N31" i="6"/>
  <c r="N70" i="6" s="1"/>
  <c r="C67" i="7"/>
  <c r="C68" i="7" s="1"/>
  <c r="C69" i="7"/>
  <c r="O23" i="8" l="1"/>
  <c r="G23" i="8"/>
  <c r="G24" i="8"/>
  <c r="G34" i="8"/>
  <c r="O11" i="8"/>
  <c r="N30" i="8"/>
  <c r="N20" i="8"/>
  <c r="N23" i="8" s="1"/>
  <c r="N7" i="8"/>
  <c r="N11" i="8" s="1"/>
  <c r="K29" i="8"/>
  <c r="K33" i="8" s="1"/>
  <c r="D93" i="7"/>
  <c r="D94" i="7" s="1"/>
  <c r="K6" i="8" s="1"/>
  <c r="K10" i="8" s="1"/>
  <c r="D95" i="7"/>
  <c r="N66" i="6"/>
  <c r="N64" i="6"/>
  <c r="N65" i="6" s="1"/>
  <c r="E61" i="7"/>
  <c r="E63" i="7" s="1"/>
  <c r="E80" i="7"/>
  <c r="E82" i="7" s="1"/>
  <c r="E89" i="7" s="1"/>
  <c r="D67" i="7"/>
  <c r="D68" i="7" s="1"/>
  <c r="D69" i="7"/>
  <c r="F57" i="7"/>
  <c r="G55" i="7"/>
  <c r="N34" i="8" l="1"/>
  <c r="O34" i="8"/>
  <c r="E69" i="7"/>
  <c r="E67" i="7"/>
  <c r="E68" i="7" s="1"/>
  <c r="H55" i="7"/>
  <c r="G57" i="7"/>
  <c r="F80" i="7"/>
  <c r="F82" i="7" s="1"/>
  <c r="F89" i="7" s="1"/>
  <c r="F61" i="7"/>
  <c r="F63" i="7" s="1"/>
  <c r="J29" i="8"/>
  <c r="J33" i="8" s="1"/>
  <c r="E93" i="7"/>
  <c r="E94" i="7" s="1"/>
  <c r="J6" i="8" s="1"/>
  <c r="J10" i="8" s="1"/>
  <c r="E95" i="7"/>
  <c r="F69" i="7" l="1"/>
  <c r="F67" i="7"/>
  <c r="F68" i="7" s="1"/>
  <c r="G80" i="7"/>
  <c r="G82" i="7" s="1"/>
  <c r="G89" i="7" s="1"/>
  <c r="G61" i="7"/>
  <c r="G63" i="7" s="1"/>
  <c r="I29" i="8"/>
  <c r="I33" i="8" s="1"/>
  <c r="F93" i="7"/>
  <c r="F94" i="7" s="1"/>
  <c r="I6" i="8" s="1"/>
  <c r="I10" i="8" s="1"/>
  <c r="F95" i="7"/>
  <c r="I55" i="7"/>
  <c r="H57" i="7"/>
  <c r="J55" i="7" l="1"/>
  <c r="I57" i="7"/>
  <c r="G67" i="7"/>
  <c r="G68" i="7" s="1"/>
  <c r="G69" i="7"/>
  <c r="H29" i="8"/>
  <c r="H33" i="8" s="1"/>
  <c r="G93" i="7"/>
  <c r="G94" i="7" s="1"/>
  <c r="H6" i="8" s="1"/>
  <c r="H10" i="8" s="1"/>
  <c r="G95" i="7"/>
  <c r="H80" i="7"/>
  <c r="H82" i="7" s="1"/>
  <c r="H89" i="7" s="1"/>
  <c r="H61" i="7"/>
  <c r="H63" i="7" s="1"/>
  <c r="H67" i="7" l="1"/>
  <c r="H68" i="7" s="1"/>
  <c r="H69" i="7"/>
  <c r="I80" i="7"/>
  <c r="I82" i="7" s="1"/>
  <c r="I89" i="7" s="1"/>
  <c r="I61" i="7"/>
  <c r="I63" i="7" s="1"/>
  <c r="G29" i="8"/>
  <c r="G33" i="8" s="1"/>
  <c r="H93" i="7"/>
  <c r="H94" i="7" s="1"/>
  <c r="G6" i="8" s="1"/>
  <c r="G10" i="8" s="1"/>
  <c r="H95" i="7"/>
  <c r="J57" i="7"/>
  <c r="K55" i="7"/>
  <c r="L55" i="7" l="1"/>
  <c r="K57" i="7"/>
  <c r="J80" i="7"/>
  <c r="J82" i="7" s="1"/>
  <c r="J89" i="7" s="1"/>
  <c r="J61" i="7"/>
  <c r="J63" i="7" s="1"/>
  <c r="I67" i="7"/>
  <c r="I68" i="7" s="1"/>
  <c r="I69" i="7"/>
  <c r="I93" i="7"/>
  <c r="I94" i="7" s="1"/>
  <c r="F6" i="8" s="1"/>
  <c r="F10" i="8" s="1"/>
  <c r="F29" i="8"/>
  <c r="F33" i="8" s="1"/>
  <c r="I95" i="7"/>
  <c r="K80" i="7" l="1"/>
  <c r="K82" i="7" s="1"/>
  <c r="K89" i="7" s="1"/>
  <c r="K61" i="7"/>
  <c r="K63" i="7" s="1"/>
  <c r="E29" i="8"/>
  <c r="E33" i="8" s="1"/>
  <c r="J93" i="7"/>
  <c r="J94" i="7" s="1"/>
  <c r="E6" i="8" s="1"/>
  <c r="E10" i="8" s="1"/>
  <c r="J95" i="7"/>
  <c r="J67" i="7"/>
  <c r="J68" i="7" s="1"/>
  <c r="J69" i="7"/>
  <c r="M55" i="7"/>
  <c r="M57" i="7" s="1"/>
  <c r="L57" i="7"/>
  <c r="K67" i="7" l="1"/>
  <c r="K68" i="7" s="1"/>
  <c r="K69" i="7"/>
  <c r="M80" i="7"/>
  <c r="M82" i="7" s="1"/>
  <c r="M89" i="7" s="1"/>
  <c r="M61" i="7"/>
  <c r="M63" i="7" s="1"/>
  <c r="N57" i="7"/>
  <c r="N61" i="7" s="1"/>
  <c r="N63" i="7" s="1"/>
  <c r="L80" i="7"/>
  <c r="L82" i="7" s="1"/>
  <c r="L89" i="7" s="1"/>
  <c r="L61" i="7"/>
  <c r="L63" i="7" s="1"/>
  <c r="K93" i="7"/>
  <c r="K94" i="7" s="1"/>
  <c r="D6" i="8" s="1"/>
  <c r="D10" i="8" s="1"/>
  <c r="D29" i="8"/>
  <c r="D33" i="8" s="1"/>
  <c r="K95" i="7"/>
  <c r="M67" i="7" l="1"/>
  <c r="M68" i="7" s="1"/>
  <c r="M69" i="7"/>
  <c r="M93" i="7"/>
  <c r="M94" i="7" s="1"/>
  <c r="B6" i="8" s="1"/>
  <c r="B29" i="8"/>
  <c r="M95" i="7"/>
  <c r="N89" i="7"/>
  <c r="L69" i="7"/>
  <c r="L67" i="7"/>
  <c r="L68" i="7" s="1"/>
  <c r="C29" i="8"/>
  <c r="C33" i="8" s="1"/>
  <c r="L93" i="7"/>
  <c r="L94" i="7" s="1"/>
  <c r="C6" i="8" s="1"/>
  <c r="C10" i="8" s="1"/>
  <c r="L95" i="7"/>
  <c r="B10" i="8" l="1"/>
  <c r="B33" i="8"/>
  <c r="O33" i="8"/>
  <c r="N29" i="8"/>
  <c r="N33" i="8" s="1"/>
  <c r="O10" i="8"/>
  <c r="N6" i="8"/>
  <c r="N10" i="8" s="1"/>
  <c r="B15" i="9" l="1"/>
  <c r="N32" i="9" l="1"/>
  <c r="N49" i="9" s="1"/>
  <c r="N15" i="9"/>
  <c r="B49" i="9"/>
  <c r="O25" i="8" l="1"/>
  <c r="B24" i="8" l="1"/>
  <c r="O24" i="8"/>
  <c r="N21" i="8"/>
  <c r="N24" i="8" l="1"/>
  <c r="N2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Adetayo Odebo</author>
  </authors>
  <commentList>
    <comment ref="D44" authorId="0" shapeId="0" xr:uid="{93EA8292-B365-4B12-A9AD-FC0571F38B90}">
      <text>
        <r>
          <rPr>
            <b/>
            <sz val="9"/>
            <color indexed="81"/>
            <rFont val="Tahoma"/>
            <family val="2"/>
          </rPr>
          <t xml:space="preserve">Adetayo Odebo:
</t>
        </r>
        <r>
          <rPr>
            <sz val="9"/>
            <color indexed="81"/>
            <rFont val="Tahoma"/>
            <family val="2"/>
          </rPr>
          <t>12 months payment in advance was paid by several customers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Adetayo Odebo</author>
  </authors>
  <commentList>
    <comment ref="L28" authorId="0" shapeId="0" xr:uid="{BB732159-5596-40A2-B8E3-AB8FEB8A1D5E}">
      <text>
        <r>
          <rPr>
            <b/>
            <sz val="9"/>
            <color indexed="81"/>
            <rFont val="Tahoma"/>
            <family val="2"/>
          </rPr>
          <t>Adetayo Odebo:</t>
        </r>
        <r>
          <rPr>
            <sz val="9"/>
            <color indexed="81"/>
            <rFont val="Tahoma"/>
            <family val="2"/>
          </rPr>
          <t xml:space="preserve">
300 Airtel units #30m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Adetayo Odebo</author>
    <author>Alistair</author>
  </authors>
  <commentList>
    <comment ref="J26" authorId="0" shapeId="0" xr:uid="{4D34ACD9-9D21-4B34-8AAB-A7D30E6C780D}">
      <text>
        <r>
          <rPr>
            <b/>
            <sz val="9"/>
            <color indexed="81"/>
            <rFont val="Tahoma"/>
            <family val="2"/>
          </rPr>
          <t>Adetayo Odebo:</t>
        </r>
        <r>
          <rPr>
            <sz val="9"/>
            <color indexed="81"/>
            <rFont val="Tahoma"/>
            <family val="2"/>
          </rPr>
          <t xml:space="preserve">
300 Airtel units #30m</t>
        </r>
      </text>
    </comment>
    <comment ref="E55" authorId="1" shapeId="0" xr:uid="{F736733E-0159-4AC1-912D-1ABF0478B45D}">
      <text>
        <r>
          <rPr>
            <b/>
            <sz val="9"/>
            <color indexed="81"/>
            <rFont val="Tahoma"/>
            <family val="2"/>
          </rPr>
          <t>Alistair:</t>
        </r>
        <r>
          <rPr>
            <sz val="9"/>
            <color indexed="81"/>
            <rFont val="Tahoma"/>
            <family val="2"/>
          </rPr>
          <t xml:space="preserve">
adjusted due to estimate impact of incorrect active base for free light users</t>
        </r>
      </text>
    </comment>
    <comment ref="F55" authorId="1" shapeId="0" xr:uid="{D17C71C3-F5C7-456F-8214-0FF1BD38C51E}">
      <text>
        <r>
          <rPr>
            <b/>
            <sz val="9"/>
            <color indexed="81"/>
            <rFont val="Tahoma"/>
            <family val="2"/>
          </rPr>
          <t>Alistair:</t>
        </r>
        <r>
          <rPr>
            <sz val="9"/>
            <color indexed="81"/>
            <rFont val="Tahoma"/>
            <family val="2"/>
          </rPr>
          <t xml:space="preserve">
adjusted due to estimate impact of incorrect active base for free light users</t>
        </r>
      </text>
    </comment>
    <comment ref="G55" authorId="1" shapeId="0" xr:uid="{8F399E8E-7D20-45CB-AEE0-9290FAD57A91}">
      <text>
        <r>
          <rPr>
            <b/>
            <sz val="9"/>
            <color indexed="81"/>
            <rFont val="Tahoma"/>
            <family val="2"/>
          </rPr>
          <t>Alistair:</t>
        </r>
        <r>
          <rPr>
            <sz val="9"/>
            <color indexed="81"/>
            <rFont val="Tahoma"/>
            <family val="2"/>
          </rPr>
          <t xml:space="preserve">
adjusted due to estimate impact of incorrect active base for free light users</t>
        </r>
      </text>
    </comment>
    <comment ref="H55" authorId="1" shapeId="0" xr:uid="{8B30FC82-4714-43E9-B159-703D57CDAEF2}">
      <text>
        <r>
          <rPr>
            <b/>
            <sz val="9"/>
            <color indexed="81"/>
            <rFont val="Tahoma"/>
            <family val="2"/>
          </rPr>
          <t>Alistair:</t>
        </r>
        <r>
          <rPr>
            <sz val="9"/>
            <color indexed="81"/>
            <rFont val="Tahoma"/>
            <family val="2"/>
          </rPr>
          <t xml:space="preserve">
adjusted due to estimate impact of incorrect active base for free light users</t>
        </r>
      </text>
    </comment>
  </commentList>
</comments>
</file>

<file path=xl/sharedStrings.xml><?xml version="1.0" encoding="utf-8"?>
<sst xmlns="http://schemas.openxmlformats.org/spreadsheetml/2006/main" count="534" uniqueCount="161">
  <si>
    <t>August</t>
  </si>
  <si>
    <t>Outright sales</t>
  </si>
  <si>
    <t>MTN Legacy</t>
  </si>
  <si>
    <t>MTN Unified</t>
  </si>
  <si>
    <t>July</t>
  </si>
  <si>
    <t>June</t>
  </si>
  <si>
    <t>Non-MTN Unified</t>
  </si>
  <si>
    <t>TOTAL REVENUE</t>
  </si>
  <si>
    <t>MTN (Unified)</t>
  </si>
  <si>
    <t>Non MTN (Unified)</t>
  </si>
  <si>
    <t>MTN (Legacy)</t>
  </si>
  <si>
    <t>Dealer</t>
  </si>
  <si>
    <t>Repayments</t>
  </si>
  <si>
    <t>Average NGN per Paying Customer</t>
  </si>
  <si>
    <t>TOTAL GROSS CASH RECEIPTS NGN</t>
  </si>
  <si>
    <t>May</t>
  </si>
  <si>
    <t>April</t>
  </si>
  <si>
    <t>March</t>
  </si>
  <si>
    <t>February</t>
  </si>
  <si>
    <t>January</t>
  </si>
  <si>
    <t>Corporate (new / remanufactured)</t>
  </si>
  <si>
    <t>September</t>
  </si>
  <si>
    <t>Just the setup fee element of outrught sales, The balnce(usage) has been reported with repayments</t>
  </si>
  <si>
    <t>Acquisition Units</t>
  </si>
  <si>
    <t>Acquisition fees- naira</t>
  </si>
  <si>
    <t>Outright sales- units</t>
  </si>
  <si>
    <t>October- MTD</t>
  </si>
  <si>
    <t>Mtn = Mtn systems, via MTN or Direct</t>
  </si>
  <si>
    <t>Total Acquisition</t>
  </si>
  <si>
    <t>First 7 days</t>
  </si>
  <si>
    <t xml:space="preserve">Middle Period </t>
  </si>
  <si>
    <t>Last 7 days</t>
  </si>
  <si>
    <t>Outright</t>
  </si>
  <si>
    <t>Corporate/Refurbished</t>
  </si>
  <si>
    <t>Employee</t>
  </si>
  <si>
    <t>Repayment</t>
  </si>
  <si>
    <t>No of Customers made payment
 (Repayment)</t>
  </si>
  <si>
    <t>Airtel 100 units in septemember</t>
  </si>
  <si>
    <t>Sum of Net</t>
  </si>
  <si>
    <t>Column Labels</t>
  </si>
  <si>
    <t>Row Labels</t>
  </si>
  <si>
    <t>Grand Total</t>
  </si>
  <si>
    <t>Income MTN Sales Usage only</t>
  </si>
  <si>
    <t>Income MTN set up fee only</t>
  </si>
  <si>
    <t>Income NON MTN Joining fees</t>
  </si>
  <si>
    <t>Income NON MTN Sales Usage</t>
  </si>
  <si>
    <t>Vat</t>
  </si>
  <si>
    <t>Set up revshare</t>
  </si>
  <si>
    <t>Usage revshare</t>
  </si>
  <si>
    <t>Total Revenue</t>
  </si>
  <si>
    <t>Total Repayment</t>
  </si>
  <si>
    <t>MTN Usage</t>
  </si>
  <si>
    <t>Non Mtn Usage</t>
  </si>
  <si>
    <t>Total Acquistition</t>
  </si>
  <si>
    <t>MTN Set up</t>
  </si>
  <si>
    <t>Non Mtn Setup</t>
  </si>
  <si>
    <t>Active Base_Opening</t>
  </si>
  <si>
    <t>Churn rate_KPI</t>
  </si>
  <si>
    <t>Active Base_Closing</t>
  </si>
  <si>
    <t>Acqusition</t>
  </si>
  <si>
    <t>MTN</t>
  </si>
  <si>
    <t>DIRECT_NON-MTN</t>
  </si>
  <si>
    <t>Classic - 30 day (Jan-Aug)</t>
  </si>
  <si>
    <t>Unified Avge 75% Prime Sep-Dec</t>
  </si>
  <si>
    <t>New customers Gross Rev</t>
  </si>
  <si>
    <t>AIB start of month</t>
  </si>
  <si>
    <t>Days in month</t>
  </si>
  <si>
    <t>Average daily rate</t>
  </si>
  <si>
    <t>Repayment revenue less new customers contribution</t>
  </si>
  <si>
    <t>Average daily repayment per Active Customer</t>
  </si>
  <si>
    <t>Average Daily Repayment per Active Customer</t>
  </si>
  <si>
    <t>Average Daily Repayment NGN</t>
  </si>
  <si>
    <t>Average Monthly Repayment per Active Customer</t>
  </si>
  <si>
    <t>Jan</t>
  </si>
  <si>
    <t>Feb</t>
  </si>
  <si>
    <t>Mar</t>
  </si>
  <si>
    <t>Apr</t>
  </si>
  <si>
    <t>Jun</t>
  </si>
  <si>
    <t>Jul</t>
  </si>
  <si>
    <t>Aug</t>
  </si>
  <si>
    <t>Sep</t>
  </si>
  <si>
    <t>Oct</t>
  </si>
  <si>
    <t>Nov</t>
  </si>
  <si>
    <t>Dec</t>
  </si>
  <si>
    <t>Original AIB (reference)</t>
  </si>
  <si>
    <t>Graphs</t>
  </si>
  <si>
    <t>Total Revenue NGN '000,000</t>
  </si>
  <si>
    <t>Set Up fee per new acquisition</t>
  </si>
  <si>
    <t>This dosen't make sense - set up fee for Prime was 25,000 and Eco was 20,000 (from Sep); and for Classic was 15,510 (Jan to Aug, very small numbers of rental in here too)</t>
  </si>
  <si>
    <t>Apr to Jul 21 adjusted to estimated number due to AIB errors</t>
  </si>
  <si>
    <t>Average set up fee per new customer</t>
  </si>
  <si>
    <t>all good</t>
  </si>
  <si>
    <t>Average fee per Outright customer</t>
  </si>
  <si>
    <t>Repayment revenue less new customers contribution &amp; outright</t>
  </si>
  <si>
    <t>Estimated Outright fee in repayment</t>
  </si>
  <si>
    <t>Excludes 1st month repayment from new customers &amp; outright (estimated)</t>
  </si>
  <si>
    <t>still Jan to Jun does not include all outright fees within Outright</t>
  </si>
  <si>
    <t>Comments</t>
  </si>
  <si>
    <t>Airtel 100 units in September - whole line adjust to Non-MTN repayments.</t>
  </si>
  <si>
    <t>Adjusted to Non-MTN</t>
  </si>
  <si>
    <t>Total</t>
  </si>
  <si>
    <t>Acceptable - no further work</t>
  </si>
  <si>
    <t>September - added 100 Airtel units and 4 employee units. August/July - added respectively 4 and 2 units for corporate</t>
  </si>
  <si>
    <t>Average fee per outright customer adjusted for corporate and employee</t>
  </si>
  <si>
    <t>Jan to Jun adjusted for outright sales - see above</t>
  </si>
  <si>
    <t>Jan to Jun adjusted for outright sales - see above. July to September adjusted for Corporate and employees</t>
  </si>
  <si>
    <t>Adjusted Jan-Jun to reflect on total level an average fee (row 49) of 220,321 (adjusted for Airtel and employee), which is average fee for period July to October. The amount is taken from Repayment MTN Unified.</t>
  </si>
  <si>
    <t>Adjusted Jan-Jun to reflect on total level an average fee (row 49) of 220,321 (adjusted for Airtel and employee), which is average fee for period July to October. The amount is taken from Repayment Non-MTN Unified.</t>
  </si>
  <si>
    <t>Jan to June adjusted based on average - after adjustment acceptable</t>
  </si>
  <si>
    <t xml:space="preserve">Number is not yet completely stable - </t>
  </si>
  <si>
    <t>AIB start of month - adjusted</t>
  </si>
  <si>
    <t>April to July adjusted due to estimate impact of incorrect active base for free light users</t>
  </si>
  <si>
    <t>AIB start of month - Adjusted</t>
  </si>
  <si>
    <t>Total is average daily repayment for whole year</t>
  </si>
  <si>
    <t>Total is average daily repayment for whole year per Active Customer</t>
  </si>
  <si>
    <t>Total is average income for the year per average Active Customer at start of month</t>
  </si>
  <si>
    <t>Total is average Active Customer at the start of the month</t>
  </si>
  <si>
    <t>Averages - 2021</t>
  </si>
  <si>
    <t>Total outright sales #</t>
  </si>
  <si>
    <t>NGN amount per outright sales</t>
  </si>
  <si>
    <t>Comment</t>
  </si>
  <si>
    <t>Estimate 10% less than 2021</t>
  </si>
  <si>
    <t>Income from outright sales</t>
  </si>
  <si>
    <t>Already recognised as set up fee</t>
  </si>
  <si>
    <t>Using the average set up fee as calculated above - although not plausibl</t>
  </si>
  <si>
    <t>To adjust from repayment to outright sales income</t>
  </si>
  <si>
    <t>Adjusted repayment income</t>
  </si>
  <si>
    <t>Total revenue</t>
  </si>
  <si>
    <t>Average set up fee</t>
  </si>
  <si>
    <t>Total set up fee</t>
  </si>
  <si>
    <t>To adjust for outright sales</t>
  </si>
  <si>
    <t>Option 2 - also adjusting set up fee to amount of 25,000, 20,000 and 15,510.</t>
  </si>
  <si>
    <t>Already in set up fees</t>
  </si>
  <si>
    <t>Option 1 - taking outright fee income out of repayment</t>
  </si>
  <si>
    <t>Repayment revenue adjustment for new customers paying first month</t>
  </si>
  <si>
    <t>1st month repayment by new customers</t>
  </si>
  <si>
    <t>Repayment revenue from EXISTING Customers (Ie AIB at SoM)</t>
  </si>
  <si>
    <t>Total repayment revenue from Existing (at SoM) Customers NGN '000,000</t>
  </si>
  <si>
    <t xml:space="preserve">Active base </t>
  </si>
  <si>
    <t>Active Base in '000s</t>
  </si>
  <si>
    <t>New Acquisition</t>
  </si>
  <si>
    <t>ex</t>
  </si>
  <si>
    <t>October</t>
  </si>
  <si>
    <t>November</t>
  </si>
  <si>
    <t>December</t>
  </si>
  <si>
    <t>AIB Close of month</t>
  </si>
  <si>
    <t>Cash Arpu- Repayments only</t>
  </si>
  <si>
    <t>Total Revenue / Active base</t>
  </si>
  <si>
    <t>Difference 2021vs 2020</t>
  </si>
  <si>
    <t>Difference 2022 vs 2021</t>
  </si>
  <si>
    <t>Net Monthly Churn Rate</t>
  </si>
  <si>
    <t>Corporate</t>
  </si>
  <si>
    <t xml:space="preserve">MTN Corporates sales are recorded in the month of invoicing. </t>
  </si>
  <si>
    <t>Lumos Community Partner- LCP</t>
  </si>
  <si>
    <t>Only outright sales were made starting June 2022</t>
  </si>
  <si>
    <t>No Revenue in June, Only outright sales were sold</t>
  </si>
  <si>
    <t>Revenue for MTN Corporates sales Included in Number</t>
  </si>
  <si>
    <t>Full Year</t>
  </si>
  <si>
    <t>YTD</t>
  </si>
  <si>
    <t>Prior Month Variance</t>
  </si>
  <si>
    <t>Difference 2023 vs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</si>
</sst>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409]mmm\-yy;@"/>
    <numFmt numFmtId="165" formatCode="0.0%"/>
    <numFmt numFmtId="166" formatCode="_(* #,##0_);_(* \(#,##0\);_(* &quot;-&quot;??_);_(@_)"/>
  </numFmts>
  <fonts count="2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i/>
      <sz val="11"/>
      <color theme="1"/>
      <name val="Calibri"/>
      <family val="2"/>
      <scheme val="minor"/>
    </font>
    <font>
      <b/>
      <i/>
      <sz val="12"/>
      <color theme="1"/>
      <name val="Calibri"/>
      <family val="2"/>
      <scheme val="minor"/>
    </font>
    <font>
      <b/>
      <sz val="14"/>
      <color theme="1"/>
      <name val="Calibri"/>
      <family val="2"/>
      <scheme val="minor"/>
    </font>
    <font>
      <b/>
      <sz val="11"/>
      <color rgb="FFFF0000"/>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rgb="FF0070C0"/>
      <name val="Calibri"/>
      <family val="2"/>
      <scheme val="minor"/>
    </font>
    <font>
      <b/>
      <sz val="12"/>
      <color rgb="FF0070C0"/>
      <name val="Calibri"/>
      <family val="2"/>
      <scheme val="minor"/>
    </font>
    <font>
      <b/>
      <sz val="11"/>
      <color rgb="FF0070C0"/>
      <name val="Calibri"/>
      <family val="2"/>
      <scheme val="minor"/>
    </font>
    <font>
      <b/>
      <i/>
      <sz val="11"/>
      <color theme="1"/>
      <name val="Calibri"/>
      <family val="2"/>
      <scheme val="minor"/>
    </font>
    <font>
      <sz val="10"/>
      <color rgb="FFFF0000"/>
      <name val="Calibri"/>
      <family val="2"/>
      <scheme val="minor"/>
    </font>
    <font>
      <b/>
      <sz val="10"/>
      <color theme="0"/>
      <name val="Calibri"/>
      <family val="2"/>
      <scheme val="minor"/>
    </font>
    <font>
      <sz val="10"/>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CCFFCC"/>
        <bgColor indexed="64"/>
      </patternFill>
    </fill>
    <fill>
      <patternFill patternType="solid">
        <fgColor theme="4"/>
        <bgColor indexed="64"/>
      </patternFill>
    </fill>
    <fill>
      <patternFill patternType="solid">
        <fgColor theme="1"/>
        <bgColor indexed="64"/>
      </patternFill>
    </fill>
    <fill>
      <patternFill patternType="solid">
        <fgColor theme="0" tint="-0.249977111117893"/>
        <bgColor indexed="64"/>
      </patternFill>
    </fill>
  </fills>
  <borders count="4">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152">
    <xf numFmtId="0" fontId="0" fillId="0" borderId="0" xfId="0"/>
    <xf numFmtId="0" fontId="1" fillId="2" borderId="0" xfId="0" applyFont="1" applyFill="1"/>
    <xf numFmtId="0" fontId="1" fillId="2" borderId="0" xfId="0" applyFont="1" applyFill="1" applyAlignment="1">
      <alignment horizontal="center"/>
    </xf>
    <xf numFmtId="3" fontId="0" fillId="2" borderId="0" xfId="0" applyNumberFormat="1" applyFill="1" applyAlignment="1">
      <alignment horizontal="center"/>
    </xf>
    <xf numFmtId="0" fontId="0" fillId="2" borderId="0" xfId="0" applyFill="1" applyAlignment="1">
      <alignment horizontal="left" indent="1"/>
    </xf>
    <xf numFmtId="3" fontId="0" fillId="2" borderId="0" xfId="0" applyNumberFormat="1" applyFill="1" applyAlignment="1">
      <alignment horizontal="right"/>
    </xf>
    <xf numFmtId="0" fontId="0" fillId="2" borderId="0" xfId="0" applyFill="1"/>
    <xf numFmtId="0" fontId="0" fillId="2" borderId="0" xfId="0" applyFill="1" applyAlignment="1">
      <alignment horizontal="center"/>
    </xf>
    <xf numFmtId="0" fontId="1" fillId="3" borderId="1" xfId="0" applyFont="1" applyFill="1" applyBorder="1" applyAlignment="1">
      <alignment horizontal="left" indent="1"/>
    </xf>
    <xf numFmtId="0" fontId="1" fillId="0" borderId="0" xfId="0" applyFont="1"/>
    <xf numFmtId="3" fontId="1" fillId="2" borderId="0" xfId="0" applyNumberFormat="1" applyFont="1" applyFill="1"/>
    <xf numFmtId="3" fontId="0" fillId="2" borderId="0" xfId="0" applyNumberFormat="1" applyFill="1"/>
    <xf numFmtId="3" fontId="1" fillId="3" borderId="1" xfId="0" applyNumberFormat="1" applyFont="1" applyFill="1" applyBorder="1"/>
    <xf numFmtId="43" fontId="0" fillId="0" borderId="0" xfId="1" applyFont="1"/>
    <xf numFmtId="0" fontId="6" fillId="2" borderId="0" xfId="0" applyFont="1" applyFill="1"/>
    <xf numFmtId="3" fontId="6" fillId="2" borderId="0" xfId="0" applyNumberFormat="1" applyFont="1" applyFill="1"/>
    <xf numFmtId="0" fontId="7" fillId="0" borderId="0" xfId="0" applyFont="1"/>
    <xf numFmtId="0" fontId="6" fillId="2" borderId="0" xfId="0" applyFont="1" applyFill="1" applyAlignment="1">
      <alignment horizontal="left" indent="1"/>
    </xf>
    <xf numFmtId="0" fontId="6" fillId="0" borderId="0" xfId="0" applyFont="1"/>
    <xf numFmtId="0" fontId="8" fillId="2" borderId="0" xfId="0" applyFont="1" applyFill="1" applyAlignment="1">
      <alignment horizontal="left" indent="1"/>
    </xf>
    <xf numFmtId="3" fontId="8" fillId="2" borderId="0" xfId="0" applyNumberFormat="1" applyFont="1" applyFill="1"/>
    <xf numFmtId="0" fontId="8" fillId="0" borderId="0" xfId="0" applyFont="1"/>
    <xf numFmtId="3" fontId="9" fillId="2" borderId="0" xfId="0" applyNumberFormat="1" applyFont="1" applyFill="1"/>
    <xf numFmtId="0" fontId="9" fillId="0" borderId="0" xfId="0" applyFont="1"/>
    <xf numFmtId="0" fontId="10" fillId="2" borderId="0" xfId="0" applyFont="1" applyFill="1"/>
    <xf numFmtId="0" fontId="1" fillId="2" borderId="0" xfId="0" applyFont="1" applyFill="1" applyAlignment="1">
      <alignment wrapText="1"/>
    </xf>
    <xf numFmtId="1" fontId="0" fillId="0" borderId="0" xfId="0" applyNumberFormat="1" applyAlignment="1">
      <alignment horizontal="center"/>
    </xf>
    <xf numFmtId="0" fontId="0" fillId="0" borderId="0" xfId="0" applyAlignment="1">
      <alignment horizontal="left"/>
    </xf>
    <xf numFmtId="3" fontId="0" fillId="0" borderId="0" xfId="0" applyNumberFormat="1"/>
    <xf numFmtId="10" fontId="0" fillId="0" borderId="0" xfId="0" applyNumberFormat="1"/>
    <xf numFmtId="9" fontId="0" fillId="0" borderId="0" xfId="0" applyNumberFormat="1"/>
    <xf numFmtId="9" fontId="0" fillId="0" borderId="0" xfId="2" applyFont="1"/>
    <xf numFmtId="3" fontId="1" fillId="0" borderId="0" xfId="0" applyNumberFormat="1" applyFont="1"/>
    <xf numFmtId="0" fontId="0" fillId="0" borderId="0" xfId="0" pivotButton="1"/>
    <xf numFmtId="164" fontId="1" fillId="0" borderId="0" xfId="0" applyNumberFormat="1" applyFont="1" applyAlignment="1">
      <alignment horizontal="center"/>
    </xf>
    <xf numFmtId="3" fontId="8" fillId="0" borderId="0" xfId="1" applyNumberFormat="1" applyFont="1"/>
    <xf numFmtId="3" fontId="8" fillId="0" borderId="0" xfId="0" applyNumberFormat="1" applyFont="1"/>
    <xf numFmtId="165" fontId="0" fillId="0" borderId="0" xfId="0" applyNumberFormat="1" applyAlignment="1">
      <alignment horizontal="center" vertical="center" wrapText="1"/>
    </xf>
    <xf numFmtId="3" fontId="0" fillId="0" borderId="0" xfId="0" applyNumberFormat="1" applyAlignment="1">
      <alignment horizontal="center"/>
    </xf>
    <xf numFmtId="3" fontId="1" fillId="0" borderId="0" xfId="0" applyNumberFormat="1" applyFont="1" applyAlignment="1">
      <alignment horizontal="center"/>
    </xf>
    <xf numFmtId="3" fontId="11" fillId="0" borderId="0" xfId="0" applyNumberFormat="1" applyFont="1" applyAlignment="1">
      <alignment horizontal="center"/>
    </xf>
    <xf numFmtId="3" fontId="8" fillId="0" borderId="0" xfId="0" applyNumberFormat="1" applyFont="1" applyAlignment="1">
      <alignment horizontal="center"/>
    </xf>
    <xf numFmtId="0" fontId="0" fillId="0" borderId="0" xfId="0" applyAlignment="1">
      <alignment horizontal="center"/>
    </xf>
    <xf numFmtId="0" fontId="0" fillId="0" borderId="0" xfId="0" applyAlignment="1">
      <alignment vertical="center"/>
    </xf>
    <xf numFmtId="3" fontId="1" fillId="0" borderId="0" xfId="0" applyNumberFormat="1" applyFont="1" applyAlignment="1">
      <alignment vertical="center"/>
    </xf>
    <xf numFmtId="0" fontId="1" fillId="0" borderId="0" xfId="0" applyFont="1" applyAlignment="1">
      <alignment vertical="center"/>
    </xf>
    <xf numFmtId="1" fontId="1" fillId="0" borderId="0" xfId="0" applyNumberFormat="1" applyFont="1" applyAlignment="1">
      <alignment vertical="center"/>
    </xf>
    <xf numFmtId="3" fontId="0" fillId="0" borderId="0" xfId="0" applyNumberFormat="1" applyAlignment="1">
      <alignment vertical="center"/>
    </xf>
    <xf numFmtId="0" fontId="1" fillId="0" borderId="0" xfId="0" applyFont="1" applyAlignment="1">
      <alignment horizontal="center"/>
    </xf>
    <xf numFmtId="0" fontId="12" fillId="0" borderId="0" xfId="0" applyFont="1" applyAlignment="1">
      <alignment vertical="center"/>
    </xf>
    <xf numFmtId="0" fontId="0" fillId="4" borderId="0" xfId="0" applyFill="1"/>
    <xf numFmtId="0" fontId="1" fillId="4" borderId="0" xfId="0" applyFont="1" applyFill="1" applyAlignment="1">
      <alignment vertical="center" wrapText="1"/>
    </xf>
    <xf numFmtId="0" fontId="0" fillId="4" borderId="0" xfId="0" applyFill="1" applyAlignment="1">
      <alignment vertical="center"/>
    </xf>
    <xf numFmtId="0" fontId="0" fillId="4" borderId="0" xfId="0" applyFill="1" applyAlignment="1">
      <alignment wrapText="1"/>
    </xf>
    <xf numFmtId="3" fontId="0" fillId="4" borderId="0" xfId="0" applyNumberFormat="1" applyFill="1" applyAlignment="1">
      <alignment horizontal="center"/>
    </xf>
    <xf numFmtId="3" fontId="0" fillId="5" borderId="0" xfId="0" applyNumberFormat="1" applyFill="1" applyAlignment="1">
      <alignment horizontal="center"/>
    </xf>
    <xf numFmtId="0" fontId="0" fillId="4" borderId="0" xfId="0" applyFill="1" applyAlignment="1">
      <alignment vertical="center" wrapText="1"/>
    </xf>
    <xf numFmtId="0" fontId="0" fillId="2" borderId="0" xfId="0" applyFill="1" applyAlignment="1">
      <alignment horizontal="left"/>
    </xf>
    <xf numFmtId="3" fontId="0" fillId="4" borderId="0" xfId="0" applyNumberFormat="1" applyFill="1"/>
    <xf numFmtId="0" fontId="0" fillId="0" borderId="0" xfId="0" applyAlignment="1">
      <alignment vertical="top"/>
    </xf>
    <xf numFmtId="3" fontId="0" fillId="0" borderId="0" xfId="0" applyNumberFormat="1" applyAlignment="1">
      <alignment horizontal="center" vertical="top"/>
    </xf>
    <xf numFmtId="0" fontId="13" fillId="0" borderId="0" xfId="0" applyFont="1" applyAlignment="1">
      <alignment horizontal="center" vertical="top"/>
    </xf>
    <xf numFmtId="0" fontId="13" fillId="0" borderId="0" xfId="0" applyFont="1" applyAlignment="1">
      <alignment horizontal="left" vertical="top" wrapText="1"/>
    </xf>
    <xf numFmtId="0" fontId="14" fillId="0" borderId="0" xfId="0" applyFont="1" applyAlignment="1">
      <alignment vertical="top"/>
    </xf>
    <xf numFmtId="3" fontId="13" fillId="0" borderId="0" xfId="0" applyNumberFormat="1" applyFont="1" applyAlignment="1">
      <alignment horizontal="right" vertical="top"/>
    </xf>
    <xf numFmtId="3" fontId="14" fillId="0" borderId="0" xfId="0" applyNumberFormat="1" applyFont="1" applyAlignment="1">
      <alignment horizontal="right" vertical="top"/>
    </xf>
    <xf numFmtId="3" fontId="13" fillId="0" borderId="1" xfId="0" applyNumberFormat="1" applyFont="1" applyBorder="1" applyAlignment="1">
      <alignment horizontal="right" vertical="top"/>
    </xf>
    <xf numFmtId="0" fontId="13" fillId="0" borderId="0" xfId="0" applyFont="1" applyAlignment="1">
      <alignment vertical="top" wrapText="1"/>
    </xf>
    <xf numFmtId="3" fontId="14" fillId="0" borderId="0" xfId="0" applyNumberFormat="1" applyFont="1" applyAlignment="1">
      <alignment vertical="top"/>
    </xf>
    <xf numFmtId="3" fontId="15" fillId="0" borderId="0" xfId="0" applyNumberFormat="1" applyFont="1" applyAlignment="1">
      <alignment horizontal="right" vertical="top"/>
    </xf>
    <xf numFmtId="3" fontId="16" fillId="0" borderId="0" xfId="0" applyNumberFormat="1" applyFont="1" applyAlignment="1">
      <alignment horizontal="right" vertical="top"/>
    </xf>
    <xf numFmtId="0" fontId="16" fillId="0" borderId="0" xfId="0" applyFont="1" applyAlignment="1">
      <alignment vertical="top"/>
    </xf>
    <xf numFmtId="0" fontId="14" fillId="6" borderId="0" xfId="0" applyFont="1" applyFill="1" applyAlignment="1">
      <alignment vertical="top"/>
    </xf>
    <xf numFmtId="0" fontId="15" fillId="0" borderId="0" xfId="0" applyFont="1" applyAlignment="1">
      <alignment vertical="top" wrapText="1"/>
    </xf>
    <xf numFmtId="0" fontId="14" fillId="0" borderId="0" xfId="0" applyFont="1" applyAlignment="1">
      <alignment horizontal="left" vertical="top" wrapText="1"/>
    </xf>
    <xf numFmtId="0" fontId="13" fillId="0" borderId="1" xfId="0" applyFont="1" applyBorder="1" applyAlignment="1">
      <alignment horizontal="left" vertical="top" wrapText="1"/>
    </xf>
    <xf numFmtId="0" fontId="14" fillId="0" borderId="0" xfId="0" applyFont="1" applyAlignment="1">
      <alignment vertical="top" wrapText="1"/>
    </xf>
    <xf numFmtId="0" fontId="14" fillId="6" borderId="0" xfId="0" applyFont="1" applyFill="1" applyAlignment="1">
      <alignment vertical="top" wrapText="1"/>
    </xf>
    <xf numFmtId="43" fontId="14" fillId="0" borderId="0" xfId="1" applyFont="1" applyAlignment="1">
      <alignment vertical="top" wrapText="1"/>
    </xf>
    <xf numFmtId="0" fontId="18" fillId="0" borderId="0" xfId="0" applyFont="1" applyAlignment="1">
      <alignment vertical="top" wrapText="1"/>
    </xf>
    <xf numFmtId="0" fontId="0" fillId="0" borderId="0" xfId="0" applyAlignment="1">
      <alignment vertical="top" wrapText="1"/>
    </xf>
    <xf numFmtId="164" fontId="1" fillId="0" borderId="0" xfId="0" applyNumberFormat="1" applyFont="1" applyAlignment="1">
      <alignment horizontal="center" vertical="top"/>
    </xf>
    <xf numFmtId="0" fontId="0" fillId="0" borderId="0" xfId="0" applyAlignment="1">
      <alignment horizontal="center" vertical="top"/>
    </xf>
    <xf numFmtId="3" fontId="1" fillId="0" borderId="0" xfId="0" applyNumberFormat="1" applyFont="1" applyAlignment="1">
      <alignment vertical="top"/>
    </xf>
    <xf numFmtId="3" fontId="0" fillId="0" borderId="0" xfId="0" applyNumberFormat="1" applyAlignment="1">
      <alignment vertical="top"/>
    </xf>
    <xf numFmtId="3" fontId="8" fillId="0" borderId="0" xfId="1" applyNumberFormat="1" applyFont="1" applyAlignment="1">
      <alignment vertical="top"/>
    </xf>
    <xf numFmtId="3" fontId="8" fillId="0" borderId="0" xfId="0" applyNumberFormat="1" applyFont="1" applyAlignment="1">
      <alignment vertical="top"/>
    </xf>
    <xf numFmtId="165" fontId="0" fillId="0" borderId="0" xfId="0" applyNumberFormat="1" applyAlignment="1">
      <alignment horizontal="center" vertical="top" wrapText="1"/>
    </xf>
    <xf numFmtId="0" fontId="1" fillId="0" borderId="0" xfId="0" applyFont="1" applyAlignment="1">
      <alignment vertical="top" wrapText="1"/>
    </xf>
    <xf numFmtId="3" fontId="1" fillId="0" borderId="0" xfId="0" applyNumberFormat="1" applyFont="1" applyAlignment="1">
      <alignment horizontal="center" vertical="top"/>
    </xf>
    <xf numFmtId="3" fontId="11" fillId="0" borderId="0" xfId="0" applyNumberFormat="1" applyFont="1" applyAlignment="1">
      <alignment horizontal="center" vertical="top"/>
    </xf>
    <xf numFmtId="0" fontId="1" fillId="0" borderId="0" xfId="0" applyFont="1" applyAlignment="1">
      <alignment vertical="top"/>
    </xf>
    <xf numFmtId="3" fontId="8" fillId="0" borderId="0" xfId="0" applyNumberFormat="1" applyFont="1" applyAlignment="1">
      <alignment horizontal="center" vertical="top"/>
    </xf>
    <xf numFmtId="0" fontId="0" fillId="4" borderId="0" xfId="0" applyFill="1" applyAlignment="1">
      <alignment vertical="top" wrapText="1"/>
    </xf>
    <xf numFmtId="3" fontId="0" fillId="4" borderId="0" xfId="0" applyNumberFormat="1" applyFill="1" applyAlignment="1">
      <alignment horizontal="center" vertical="top"/>
    </xf>
    <xf numFmtId="3" fontId="0" fillId="5" borderId="0" xfId="0" applyNumberFormat="1" applyFill="1" applyAlignment="1">
      <alignment horizontal="center" vertical="top"/>
    </xf>
    <xf numFmtId="0" fontId="1" fillId="4" borderId="0" xfId="0" applyFont="1" applyFill="1" applyAlignment="1">
      <alignment vertical="top" wrapText="1"/>
    </xf>
    <xf numFmtId="1" fontId="1" fillId="0" borderId="0" xfId="0" applyNumberFormat="1" applyFont="1" applyAlignment="1">
      <alignment vertical="top"/>
    </xf>
    <xf numFmtId="0" fontId="0" fillId="0" borderId="0" xfId="0" pivotButton="1" applyAlignment="1">
      <alignment vertical="top" wrapText="1"/>
    </xf>
    <xf numFmtId="0" fontId="0" fillId="0" borderId="0" xfId="0" pivotButton="1" applyAlignment="1">
      <alignment vertical="top"/>
    </xf>
    <xf numFmtId="1" fontId="0" fillId="0" borderId="0" xfId="0" applyNumberFormat="1" applyAlignment="1">
      <alignment horizontal="center" vertical="top"/>
    </xf>
    <xf numFmtId="0" fontId="0" fillId="0" borderId="0" xfId="0" applyAlignment="1">
      <alignment horizontal="left" vertical="top" wrapText="1"/>
    </xf>
    <xf numFmtId="10" fontId="0" fillId="0" borderId="0" xfId="0" applyNumberFormat="1" applyAlignment="1">
      <alignment vertical="top"/>
    </xf>
    <xf numFmtId="9" fontId="0" fillId="0" borderId="0" xfId="0" applyNumberFormat="1" applyAlignment="1">
      <alignment vertical="top"/>
    </xf>
    <xf numFmtId="9" fontId="0" fillId="0" borderId="0" xfId="2" applyFont="1" applyAlignment="1">
      <alignment vertical="top"/>
    </xf>
    <xf numFmtId="0" fontId="0" fillId="6" borderId="0" xfId="0" applyFill="1" applyAlignment="1">
      <alignment vertical="top" wrapText="1"/>
    </xf>
    <xf numFmtId="9" fontId="0" fillId="6" borderId="0" xfId="2" applyFont="1" applyFill="1" applyAlignment="1">
      <alignment vertical="top"/>
    </xf>
    <xf numFmtId="0" fontId="0" fillId="6" borderId="0" xfId="0" applyFill="1" applyAlignment="1">
      <alignment vertical="top"/>
    </xf>
    <xf numFmtId="0" fontId="19" fillId="0" borderId="0" xfId="0" applyFont="1" applyAlignment="1">
      <alignment vertical="top" wrapText="1"/>
    </xf>
    <xf numFmtId="3" fontId="0" fillId="0" borderId="0" xfId="2" applyNumberFormat="1" applyFont="1" applyAlignment="1">
      <alignment vertical="top"/>
    </xf>
    <xf numFmtId="1" fontId="0" fillId="0" borderId="0" xfId="0" applyNumberFormat="1" applyAlignment="1">
      <alignment vertical="top"/>
    </xf>
    <xf numFmtId="0" fontId="14" fillId="0" borderId="0" xfId="0" applyFont="1"/>
    <xf numFmtId="0" fontId="13" fillId="0" borderId="0" xfId="0" applyFont="1"/>
    <xf numFmtId="0" fontId="17" fillId="0" borderId="0" xfId="0" applyFont="1"/>
    <xf numFmtId="1" fontId="14" fillId="0" borderId="0" xfId="0" applyNumberFormat="1" applyFont="1"/>
    <xf numFmtId="1" fontId="0" fillId="0" borderId="0" xfId="0" applyNumberFormat="1"/>
    <xf numFmtId="165" fontId="14" fillId="0" borderId="0" xfId="2" applyNumberFormat="1" applyFont="1"/>
    <xf numFmtId="0" fontId="14" fillId="7" borderId="0" xfId="0" applyFont="1" applyFill="1" applyAlignment="1">
      <alignment vertical="top" wrapText="1"/>
    </xf>
    <xf numFmtId="3" fontId="14" fillId="7" borderId="0" xfId="0" applyNumberFormat="1" applyFont="1" applyFill="1" applyAlignment="1">
      <alignment vertical="top"/>
    </xf>
    <xf numFmtId="0" fontId="14" fillId="4" borderId="0" xfId="0" applyFont="1" applyFill="1" applyAlignment="1">
      <alignment vertical="top" wrapText="1"/>
    </xf>
    <xf numFmtId="3" fontId="14" fillId="4" borderId="0" xfId="0" applyNumberFormat="1" applyFont="1" applyFill="1" applyAlignment="1">
      <alignment vertical="top"/>
    </xf>
    <xf numFmtId="3" fontId="13" fillId="7" borderId="0" xfId="0" applyNumberFormat="1" applyFont="1" applyFill="1" applyAlignment="1">
      <alignment vertical="top"/>
    </xf>
    <xf numFmtId="3" fontId="0" fillId="7" borderId="0" xfId="0" applyNumberFormat="1" applyFill="1" applyAlignment="1">
      <alignment vertical="top"/>
    </xf>
    <xf numFmtId="10" fontId="14" fillId="0" borderId="0" xfId="2" applyNumberFormat="1" applyFont="1" applyFill="1" applyAlignment="1">
      <alignment horizontal="right" vertical="top"/>
    </xf>
    <xf numFmtId="3" fontId="6" fillId="0" borderId="0" xfId="0" applyNumberFormat="1" applyFont="1"/>
    <xf numFmtId="3" fontId="9" fillId="0" borderId="0" xfId="0" applyNumberFormat="1" applyFont="1"/>
    <xf numFmtId="3" fontId="20" fillId="0" borderId="0" xfId="0" applyNumberFormat="1" applyFont="1"/>
    <xf numFmtId="166" fontId="14" fillId="0" borderId="0" xfId="1" applyNumberFormat="1" applyFont="1" applyFill="1" applyAlignment="1">
      <alignment vertical="top"/>
    </xf>
    <xf numFmtId="43" fontId="1" fillId="0" borderId="0" xfId="1" applyFont="1" applyAlignment="1">
      <alignment vertical="top"/>
    </xf>
    <xf numFmtId="43" fontId="14" fillId="0" borderId="0" xfId="0" applyNumberFormat="1" applyFont="1" applyAlignment="1">
      <alignment vertical="top"/>
    </xf>
    <xf numFmtId="43" fontId="14" fillId="6" borderId="0" xfId="0" applyNumberFormat="1" applyFont="1" applyFill="1" applyAlignment="1">
      <alignment vertical="top"/>
    </xf>
    <xf numFmtId="3" fontId="21" fillId="0" borderId="0" xfId="0" applyNumberFormat="1" applyFont="1" applyAlignment="1">
      <alignment horizontal="right" vertical="top"/>
    </xf>
    <xf numFmtId="17" fontId="13" fillId="0" borderId="0" xfId="0" applyNumberFormat="1" applyFont="1" applyAlignment="1">
      <alignment horizontal="center" vertical="top"/>
    </xf>
    <xf numFmtId="1" fontId="14" fillId="0" borderId="0" xfId="0" applyNumberFormat="1" applyFont="1" applyAlignment="1">
      <alignment vertical="top"/>
    </xf>
    <xf numFmtId="0" fontId="13" fillId="8" borderId="0" xfId="0" applyFont="1" applyFill="1" applyAlignment="1">
      <alignment horizontal="center"/>
    </xf>
    <xf numFmtId="0" fontId="14" fillId="0" borderId="2" xfId="0" applyFont="1" applyBorder="1"/>
    <xf numFmtId="0" fontId="13" fillId="8" borderId="2" xfId="0" applyFont="1" applyFill="1" applyBorder="1" applyAlignment="1">
      <alignment horizontal="center"/>
    </xf>
    <xf numFmtId="0" fontId="14" fillId="0" borderId="2" xfId="0" applyFont="1" applyBorder="1" applyAlignment="1">
      <alignment horizontal="left"/>
    </xf>
    <xf numFmtId="1" fontId="14" fillId="0" borderId="2" xfId="0" applyNumberFormat="1" applyFont="1" applyBorder="1" applyAlignment="1">
      <alignment horizontal="center"/>
    </xf>
    <xf numFmtId="0" fontId="22" fillId="9" borderId="2" xfId="0" applyFont="1" applyFill="1" applyBorder="1" applyAlignment="1">
      <alignment horizontal="center"/>
    </xf>
    <xf numFmtId="0" fontId="14" fillId="8" borderId="0" xfId="0" applyFont="1" applyFill="1"/>
    <xf numFmtId="0" fontId="22" fillId="9" borderId="3" xfId="0" applyFont="1" applyFill="1" applyBorder="1" applyAlignment="1">
      <alignment horizontal="center"/>
    </xf>
    <xf numFmtId="3" fontId="14" fillId="0" borderId="2" xfId="0" applyNumberFormat="1" applyFont="1" applyBorder="1"/>
    <xf numFmtId="1" fontId="14" fillId="0" borderId="2" xfId="0" applyNumberFormat="1" applyFont="1" applyBorder="1"/>
    <xf numFmtId="0" fontId="14" fillId="8" borderId="2" xfId="0" applyFont="1" applyFill="1" applyBorder="1"/>
    <xf numFmtId="165" fontId="14" fillId="0" borderId="2" xfId="2" applyNumberFormat="1" applyFont="1" applyBorder="1"/>
    <xf numFmtId="165" fontId="14" fillId="0" borderId="2" xfId="2" applyNumberFormat="1" applyFont="1" applyFill="1" applyBorder="1"/>
    <xf numFmtId="165" fontId="14" fillId="0" borderId="2" xfId="0" applyNumberFormat="1" applyFont="1" applyBorder="1"/>
    <xf numFmtId="10" fontId="14" fillId="0" borderId="2" xfId="0" applyNumberFormat="1" applyFont="1" applyBorder="1"/>
    <xf numFmtId="0" fontId="14" fillId="6" borderId="2" xfId="0" applyFont="1" applyFill="1" applyBorder="1" applyAlignment="1">
      <alignment horizontal="left"/>
    </xf>
    <xf numFmtId="9" fontId="14" fillId="6" borderId="2" xfId="0" applyNumberFormat="1" applyFont="1" applyFill="1" applyBorder="1" applyAlignment="1">
      <alignment horizontal="center"/>
    </xf>
    <xf numFmtId="9" fontId="23" fillId="10" borderId="2" xfId="0" applyNumberFormat="1" applyFont="1" applyFill="1" applyBorder="1" applyAlignment="1">
      <alignment horizontal="center"/>
    </xf>
  </cellXfs>
  <cellStyles count="3">
    <cellStyle name="Comma" xfId="1" builtinId="3"/>
    <cellStyle name="Normal" xfId="0" builtinId="0"/>
    <cellStyle name="Percent" xfId="2" builtinId="5"/>
  </cellStyles>
  <dxfs count="29">
    <dxf>
      <alignment horizontal="center"/>
    </dxf>
    <dxf>
      <alignment horizontal="center"/>
    </dxf>
    <dxf>
      <numFmt numFmtId="1" formatCode="0"/>
    </dxf>
    <dxf>
      <numFmt numFmtId="1" formatCode="0"/>
    </dxf>
    <dxf>
      <alignment horizontal="right"/>
    </dxf>
    <dxf>
      <alignment horizontal="right"/>
    </dxf>
    <dxf>
      <numFmt numFmtId="2" formatCode="0.00"/>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horizontal="center"/>
    </dxf>
    <dxf>
      <alignment horizontal="center"/>
    </dxf>
    <dxf>
      <numFmt numFmtId="1" formatCode="0"/>
    </dxf>
    <dxf>
      <numFmt numFmtId="1" formatCode="0"/>
    </dxf>
    <dxf>
      <alignment horizontal="right"/>
    </dxf>
    <dxf>
      <alignment horizontal="right"/>
    </dxf>
    <dxf>
      <numFmt numFmtId="2" formatCode="0.00"/>
    </dxf>
    <dxf>
      <font>
        <color rgb="FFFF0000"/>
      </font>
    </dxf>
  </dxfs>
  <tableStyles count="1" defaultTableStyle="TableStyleMedium2" defaultPivotStyle="PivotStyleLight16">
    <tableStyle name="Invisible" pivot="0" table="0" count="0" xr9:uid="{A06C44C6-B8C1-417B-96C0-DA9AF132D96C}"/>
  </tableStyles>
  <colors>
    <mruColors>
      <color rgb="FFFF66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tx1">
                    <a:lumMod val="65000"/>
                    <a:lumOff val="35000"/>
                  </a:schemeClr>
                </a:solidFill>
                <a:latin typeface="Montserrat" panose="00000500000000000000" pitchFamily="2" charset="0"/>
                <a:ea typeface="+mn-ea"/>
                <a:cs typeface="+mn-cs"/>
              </a:defRPr>
            </a:pPr>
            <a:r>
              <a:rPr lang="en-GB"/>
              <a:t>Indicative Average Daily Repayment per Existing Active Customer</a:t>
            </a: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tx1">
                  <a:lumMod val="65000"/>
                  <a:lumOff val="35000"/>
                </a:schemeClr>
              </a:solidFill>
              <a:latin typeface="Montserrat" panose="00000500000000000000" pitchFamily="2" charset="0"/>
              <a:ea typeface="+mn-ea"/>
              <a:cs typeface="+mn-cs"/>
            </a:defRPr>
          </a:pPr>
          <a:endParaRPr lang="en-US"/>
        </a:p>
      </c:txPr>
    </c:title>
    <c:autoTitleDeleted val="0"/>
    <c:plotArea>
      <c:layout/>
      <c:lineChart>
        <c:grouping val="standard"/>
        <c:varyColors val="0"/>
        <c:ser>
          <c:idx val="0"/>
          <c:order val="0"/>
          <c:tx>
            <c:strRef>
              <c:f>'Graph LK'!$A$6</c:f>
              <c:strCache>
                <c:ptCount val="1"/>
                <c:pt idx="0">
                  <c:v>2020</c:v>
                </c:pt>
              </c:strCache>
            </c:strRef>
          </c:tx>
          <c:spPr>
            <a:ln w="28575" cap="rnd">
              <a:solidFill>
                <a:schemeClr val="accent1"/>
              </a:solidFill>
              <a:round/>
            </a:ln>
            <a:effectLst/>
          </c:spPr>
          <c:marker>
            <c:symbol val="none"/>
          </c:marker>
          <c:cat>
            <c:strRef>
              <c:f>'Graph LK'!$B$5:$M$5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LK'!$B$6:$M$6</c:f>
              <c:numCache>
                <c:formatCode>0</c:formatCode>
                <c:ptCount val="12"/>
                <c:pt idx="0">
                  <c:v>146.36733332013972</c:v>
                </c:pt>
                <c:pt idx="1">
                  <c:v>150.3925774751014</c:v>
                </c:pt>
                <c:pt idx="2">
                  <c:v>157.45803222444729</c:v>
                </c:pt>
                <c:pt idx="3">
                  <c:v>136.39116247210916</c:v>
                </c:pt>
                <c:pt idx="4">
                  <c:v>128.26396583664544</c:v>
                </c:pt>
                <c:pt idx="5">
                  <c:v>136.9217299288805</c:v>
                </c:pt>
                <c:pt idx="6">
                  <c:v>143.43673891234437</c:v>
                </c:pt>
                <c:pt idx="7">
                  <c:v>131.81769010662566</c:v>
                </c:pt>
                <c:pt idx="8">
                  <c:v>124.96075928079318</c:v>
                </c:pt>
                <c:pt idx="9">
                  <c:v>128.66866865813392</c:v>
                </c:pt>
                <c:pt idx="10">
                  <c:v>124.92766325150467</c:v>
                </c:pt>
                <c:pt idx="11">
                  <c:v>148.93709473794596</c:v>
                </c:pt>
              </c:numCache>
            </c:numRef>
          </c:val>
          <c:smooth val="0"/>
          <c:extLst>
            <c:ext xmlns:c16="http://schemas.microsoft.com/office/drawing/2014/chart" uri="{C3380CC4-5D6E-409C-BE32-E72D297353CC}">
              <c16:uniqueId val="{00000000-472F-4E8E-B666-C48386B07D9D}"/>
            </c:ext>
          </c:extLst>
        </c:ser>
        <c:ser>
          <c:idx val="1"/>
          <c:order val="1"/>
          <c:tx>
            <c:strRef>
              <c:f>'Graph LK'!$A$7</c:f>
              <c:strCache>
                <c:ptCount val="1"/>
                <c:pt idx="0">
                  <c:v>2021</c:v>
                </c:pt>
              </c:strCache>
            </c:strRef>
          </c:tx>
          <c:spPr>
            <a:ln w="28575" cap="rnd">
              <a:solidFill>
                <a:schemeClr val="accent2"/>
              </a:solidFill>
              <a:round/>
            </a:ln>
            <a:effectLst/>
          </c:spPr>
          <c:marker>
            <c:symbol val="none"/>
          </c:marker>
          <c:cat>
            <c:strRef>
              <c:f>'Graph LK'!$B$5:$M$5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LK'!$B$7:$M$7</c:f>
              <c:numCache>
                <c:formatCode>0</c:formatCode>
                <c:ptCount val="12"/>
                <c:pt idx="0">
                  <c:v>148.71841331908411</c:v>
                </c:pt>
                <c:pt idx="1">
                  <c:v>163.50420386668597</c:v>
                </c:pt>
                <c:pt idx="2">
                  <c:v>159.34164288147309</c:v>
                </c:pt>
                <c:pt idx="3">
                  <c:v>169.17543806863372</c:v>
                </c:pt>
                <c:pt idx="4">
                  <c:v>167.04000293968906</c:v>
                </c:pt>
                <c:pt idx="5">
                  <c:v>166.03993347554652</c:v>
                </c:pt>
                <c:pt idx="6">
                  <c:v>163.01309291956241</c:v>
                </c:pt>
                <c:pt idx="7">
                  <c:v>153.50061173584109</c:v>
                </c:pt>
                <c:pt idx="8">
                  <c:v>153.03377077865267</c:v>
                </c:pt>
                <c:pt idx="9">
                  <c:v>157.48338715701883</c:v>
                </c:pt>
                <c:pt idx="10">
                  <c:v>204.34596143668807</c:v>
                </c:pt>
                <c:pt idx="11">
                  <c:v>173.4035996446492</c:v>
                </c:pt>
              </c:numCache>
            </c:numRef>
          </c:val>
          <c:smooth val="0"/>
          <c:extLst>
            <c:ext xmlns:c16="http://schemas.microsoft.com/office/drawing/2014/chart" uri="{C3380CC4-5D6E-409C-BE32-E72D297353CC}">
              <c16:uniqueId val="{00000001-472F-4E8E-B666-C48386B07D9D}"/>
            </c:ext>
          </c:extLst>
        </c:ser>
        <c:ser>
          <c:idx val="2"/>
          <c:order val="2"/>
          <c:tx>
            <c:strRef>
              <c:f>'Graph LK'!$A$8</c:f>
              <c:strCache>
                <c:ptCount val="1"/>
                <c:pt idx="0">
                  <c:v>2022</c:v>
                </c:pt>
              </c:strCache>
            </c:strRef>
          </c:tx>
          <c:spPr>
            <a:ln w="28575" cap="rnd">
              <a:solidFill>
                <a:srgbClr val="00B050"/>
              </a:solidFill>
              <a:round/>
            </a:ln>
            <a:effectLst/>
          </c:spPr>
          <c:marker>
            <c:symbol val="none"/>
          </c:marker>
          <c:cat>
            <c:strRef>
              <c:f>'Graph LK'!$B$5:$M$5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LK'!$B$8:$M$8</c:f>
              <c:numCache>
                <c:formatCode>0</c:formatCode>
                <c:ptCount val="12"/>
                <c:pt idx="0">
                  <c:v>176.00072645970093</c:v>
                </c:pt>
                <c:pt idx="1">
                  <c:v>184.413066969271</c:v>
                </c:pt>
                <c:pt idx="2">
                  <c:v>203.38239588870056</c:v>
                </c:pt>
                <c:pt idx="3">
                  <c:v>187.78735990605088</c:v>
                </c:pt>
                <c:pt idx="4">
                  <c:v>191.3035557046567</c:v>
                </c:pt>
                <c:pt idx="5">
                  <c:v>195.618219349599</c:v>
                </c:pt>
                <c:pt idx="6">
                  <c:v>163.77291320424959</c:v>
                </c:pt>
                <c:pt idx="7">
                  <c:v>180.11511614798357</c:v>
                </c:pt>
                <c:pt idx="8">
                  <c:v>188.43284701114487</c:v>
                </c:pt>
                <c:pt idx="9">
                  <c:v>190.68109387609292</c:v>
                </c:pt>
                <c:pt idx="10">
                  <c:v>264.16025358085591</c:v>
                </c:pt>
                <c:pt idx="11">
                  <c:v>193.53785244230519</c:v>
                </c:pt>
              </c:numCache>
            </c:numRef>
          </c:val>
          <c:smooth val="0"/>
          <c:extLst>
            <c:ext xmlns:c16="http://schemas.microsoft.com/office/drawing/2014/chart" uri="{C3380CC4-5D6E-409C-BE32-E72D297353CC}">
              <c16:uniqueId val="{00000001-1629-4F42-B981-232B9EEEF092}"/>
            </c:ext>
          </c:extLst>
        </c:ser>
        <c:ser>
          <c:idx val="3"/>
          <c:order val="3"/>
          <c:tx>
            <c:strRef>
              <c:f>'Graph LK'!$A$9</c:f>
              <c:strCache>
                <c:ptCount val="1"/>
                <c:pt idx="0">
                  <c:v>2023</c:v>
                </c:pt>
              </c:strCache>
            </c:strRef>
          </c:tx>
          <c:spPr>
            <a:ln w="28575" cap="rnd">
              <a:solidFill>
                <a:schemeClr val="accent4"/>
              </a:solidFill>
              <a:round/>
            </a:ln>
            <a:effectLst/>
          </c:spPr>
          <c:marker>
            <c:symbol val="none"/>
          </c:marker>
          <c:cat>
            <c:strRef>
              <c:f>'Graph LK'!$B$5:$M$5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LK'!$B$9:$M$9</c:f>
              <c:numCache>
                <c:formatCode>0</c:formatCode>
                <c:ptCount val="12"/>
                <c:pt idx="0">
                  <c:v>209.07354376228466</c:v>
                </c:pt>
                <c:pt idx="1">
                  <c:v>216.47597932679565</c:v>
                </c:pt>
                <c:pt idx="2">
                  <c:v>218.88640670672578</c:v>
                </c:pt>
                <c:pt idx="3">
                  <c:v>216.11277925588075</c:v>
                </c:pt>
                <c:pt idx="4">
                  <c:v>218.33941080309523</c:v>
                </c:pt>
              </c:numCache>
            </c:numRef>
          </c:val>
          <c:smooth val="0"/>
          <c:extLst>
            <c:ext xmlns:c16="http://schemas.microsoft.com/office/drawing/2014/chart" uri="{C3380CC4-5D6E-409C-BE32-E72D297353CC}">
              <c16:uniqueId val="{00000000-3F85-44D2-9288-3B0CEBC8E830}"/>
            </c:ext>
          </c:extLst>
        </c:ser>
        <c:dLbls>
          <c:showLegendKey val="0"/>
          <c:showVal val="0"/>
          <c:showCatName val="0"/>
          <c:showSerName val="0"/>
          <c:showPercent val="0"/>
          <c:showBubbleSize val="0"/>
        </c:dLbls>
        <c:smooth val="0"/>
        <c:axId val="1196084880"/>
        <c:axId val="1196072816"/>
      </c:lineChart>
      <c:catAx>
        <c:axId val="119608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196072816"/>
        <c:crossesAt val="100"/>
        <c:auto val="1"/>
        <c:lblAlgn val="ctr"/>
        <c:lblOffset val="100"/>
        <c:noMultiLvlLbl val="0"/>
      </c:catAx>
      <c:valAx>
        <c:axId val="1196072816"/>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ontserrat" panose="00000500000000000000" pitchFamily="2" charset="0"/>
                    <a:ea typeface="+mn-ea"/>
                    <a:cs typeface="+mn-cs"/>
                  </a:defRPr>
                </a:pPr>
                <a:r>
                  <a:rPr lang="en-US"/>
                  <a:t>NGN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title>
        <c:numFmt formatCode="@"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196084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ontserrat" panose="00000500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r>
              <a:rPr lang="en-GB"/>
              <a:t>Nigeria - Gross Monthly Cash Revenue (incl VAT)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endParaRPr lang="en-US"/>
        </a:p>
      </c:txPr>
    </c:title>
    <c:autoTitleDeleted val="0"/>
    <c:plotArea>
      <c:layout/>
      <c:lineChart>
        <c:grouping val="standard"/>
        <c:varyColors val="0"/>
        <c:ser>
          <c:idx val="0"/>
          <c:order val="0"/>
          <c:tx>
            <c:strRef>
              <c:f>'Graph LK'!$A$19</c:f>
              <c:strCache>
                <c:ptCount val="1"/>
                <c:pt idx="0">
                  <c:v>2020</c:v>
                </c:pt>
              </c:strCache>
            </c:strRef>
          </c:tx>
          <c:spPr>
            <a:ln w="28575" cap="rnd">
              <a:solidFill>
                <a:schemeClr val="accent1"/>
              </a:solidFill>
              <a:round/>
            </a:ln>
            <a:effectLst/>
          </c:spPr>
          <c:marker>
            <c:symbol val="none"/>
          </c:marker>
          <c:cat>
            <c:strRef>
              <c:f>'Graph LK'!$B$18:$M$18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LK'!$B$19:$M$19</c:f>
              <c:numCache>
                <c:formatCode>0</c:formatCode>
                <c:ptCount val="12"/>
                <c:pt idx="0">
                  <c:v>485.19171245535688</c:v>
                </c:pt>
                <c:pt idx="1">
                  <c:v>471.84356630587928</c:v>
                </c:pt>
                <c:pt idx="2">
                  <c:v>540.47207680808833</c:v>
                </c:pt>
                <c:pt idx="3">
                  <c:v>445.88227698171295</c:v>
                </c:pt>
                <c:pt idx="4">
                  <c:v>453.31794187115389</c:v>
                </c:pt>
                <c:pt idx="5">
                  <c:v>470.93514690608754</c:v>
                </c:pt>
                <c:pt idx="6">
                  <c:v>502.75084444563487</c:v>
                </c:pt>
                <c:pt idx="7">
                  <c:v>480.414149353011</c:v>
                </c:pt>
                <c:pt idx="8">
                  <c:v>488.06192260461654</c:v>
                </c:pt>
                <c:pt idx="9">
                  <c:v>531.76424606331352</c:v>
                </c:pt>
                <c:pt idx="10">
                  <c:v>538.65294491559246</c:v>
                </c:pt>
                <c:pt idx="11">
                  <c:v>694.34210916720576</c:v>
                </c:pt>
              </c:numCache>
            </c:numRef>
          </c:val>
          <c:smooth val="0"/>
          <c:extLst>
            <c:ext xmlns:c16="http://schemas.microsoft.com/office/drawing/2014/chart" uri="{C3380CC4-5D6E-409C-BE32-E72D297353CC}">
              <c16:uniqueId val="{00000000-27B6-44A8-85A2-C72B37C0ED9F}"/>
            </c:ext>
          </c:extLst>
        </c:ser>
        <c:ser>
          <c:idx val="1"/>
          <c:order val="1"/>
          <c:tx>
            <c:strRef>
              <c:f>'Graph LK'!$A$20</c:f>
              <c:strCache>
                <c:ptCount val="1"/>
                <c:pt idx="0">
                  <c:v>2021</c:v>
                </c:pt>
              </c:strCache>
            </c:strRef>
          </c:tx>
          <c:spPr>
            <a:ln w="28575" cap="rnd">
              <a:solidFill>
                <a:schemeClr val="accent2"/>
              </a:solidFill>
              <a:round/>
            </a:ln>
            <a:effectLst/>
          </c:spPr>
          <c:marker>
            <c:symbol val="none"/>
          </c:marker>
          <c:cat>
            <c:strRef>
              <c:f>'Graph LK'!$B$18:$M$18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LK'!$B$20:$M$20</c:f>
              <c:numCache>
                <c:formatCode>0</c:formatCode>
                <c:ptCount val="12"/>
                <c:pt idx="0">
                  <c:v>623.80098099999998</c:v>
                </c:pt>
                <c:pt idx="1">
                  <c:v>633.41875000000005</c:v>
                </c:pt>
                <c:pt idx="2">
                  <c:v>684.76355000000001</c:v>
                </c:pt>
                <c:pt idx="3">
                  <c:v>575.19055000000003</c:v>
                </c:pt>
                <c:pt idx="4">
                  <c:v>567.75690000000009</c:v>
                </c:pt>
                <c:pt idx="5">
                  <c:v>537.44140000000004</c:v>
                </c:pt>
                <c:pt idx="6">
                  <c:v>540.02890000000002</c:v>
                </c:pt>
                <c:pt idx="7">
                  <c:v>535.95737999999994</c:v>
                </c:pt>
                <c:pt idx="8">
                  <c:v>539.49739999999997</c:v>
                </c:pt>
                <c:pt idx="9">
                  <c:v>529.07920000000001</c:v>
                </c:pt>
                <c:pt idx="10">
                  <c:v>642.39155000000005</c:v>
                </c:pt>
                <c:pt idx="11">
                  <c:v>556.33816000000002</c:v>
                </c:pt>
              </c:numCache>
            </c:numRef>
          </c:val>
          <c:smooth val="0"/>
          <c:extLst>
            <c:ext xmlns:c16="http://schemas.microsoft.com/office/drawing/2014/chart" uri="{C3380CC4-5D6E-409C-BE32-E72D297353CC}">
              <c16:uniqueId val="{00000001-27B6-44A8-85A2-C72B37C0ED9F}"/>
            </c:ext>
          </c:extLst>
        </c:ser>
        <c:ser>
          <c:idx val="2"/>
          <c:order val="2"/>
          <c:tx>
            <c:strRef>
              <c:f>'Graph LK'!$A$21</c:f>
              <c:strCache>
                <c:ptCount val="1"/>
                <c:pt idx="0">
                  <c:v>2022</c:v>
                </c:pt>
              </c:strCache>
            </c:strRef>
          </c:tx>
          <c:spPr>
            <a:ln w="28575" cap="rnd">
              <a:solidFill>
                <a:srgbClr val="00B050"/>
              </a:solidFill>
              <a:round/>
            </a:ln>
            <a:effectLst/>
          </c:spPr>
          <c:marker>
            <c:symbol val="none"/>
          </c:marker>
          <c:cat>
            <c:strRef>
              <c:f>'Graph LK'!$B$18:$M$18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LK'!$B$21:$M$21</c:f>
              <c:numCache>
                <c:formatCode>0</c:formatCode>
                <c:ptCount val="12"/>
                <c:pt idx="0">
                  <c:v>546.30507999999998</c:v>
                </c:pt>
                <c:pt idx="1">
                  <c:v>509.63846999999998</c:v>
                </c:pt>
                <c:pt idx="2">
                  <c:v>747.98458000000005</c:v>
                </c:pt>
                <c:pt idx="3">
                  <c:v>546.97703999999999</c:v>
                </c:pt>
                <c:pt idx="4">
                  <c:v>620.89341999999999</c:v>
                </c:pt>
                <c:pt idx="5">
                  <c:v>541.06626000000006</c:v>
                </c:pt>
                <c:pt idx="6">
                  <c:v>462.93362000000002</c:v>
                </c:pt>
                <c:pt idx="7">
                  <c:v>498.33177999999998</c:v>
                </c:pt>
                <c:pt idx="8">
                  <c:v>479.07074999999998</c:v>
                </c:pt>
                <c:pt idx="9">
                  <c:v>492.47467999999998</c:v>
                </c:pt>
                <c:pt idx="10">
                  <c:v>651.89408000000003</c:v>
                </c:pt>
                <c:pt idx="11">
                  <c:v>486.18364000000003</c:v>
                </c:pt>
              </c:numCache>
            </c:numRef>
          </c:val>
          <c:smooth val="0"/>
          <c:extLst>
            <c:ext xmlns:c16="http://schemas.microsoft.com/office/drawing/2014/chart" uri="{C3380CC4-5D6E-409C-BE32-E72D297353CC}">
              <c16:uniqueId val="{00000001-2A08-4AFD-B685-F2F573CF2A0A}"/>
            </c:ext>
          </c:extLst>
        </c:ser>
        <c:ser>
          <c:idx val="3"/>
          <c:order val="3"/>
          <c:tx>
            <c:strRef>
              <c:f>'Graph LK'!$A$22</c:f>
              <c:strCache>
                <c:ptCount val="1"/>
                <c:pt idx="0">
                  <c:v>2023</c:v>
                </c:pt>
              </c:strCache>
            </c:strRef>
          </c:tx>
          <c:spPr>
            <a:ln w="28575" cap="rnd">
              <a:solidFill>
                <a:schemeClr val="accent4"/>
              </a:solidFill>
              <a:round/>
            </a:ln>
            <a:effectLst/>
          </c:spPr>
          <c:marker>
            <c:symbol val="none"/>
          </c:marker>
          <c:cat>
            <c:strRef>
              <c:f>'Graph LK'!$B$18:$M$18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LK'!$B$22:$M$22</c:f>
              <c:numCache>
                <c:formatCode>0</c:formatCode>
                <c:ptCount val="12"/>
                <c:pt idx="0">
                  <c:v>487.66687000000002</c:v>
                </c:pt>
                <c:pt idx="1">
                  <c:v>434.75408499999998</c:v>
                </c:pt>
                <c:pt idx="2">
                  <c:v>480.76112999999998</c:v>
                </c:pt>
                <c:pt idx="3">
                  <c:v>449.48295999999999</c:v>
                </c:pt>
                <c:pt idx="4">
                  <c:v>460.68054999999998</c:v>
                </c:pt>
                <c:pt idx="5">
                  <c:v>0</c:v>
                </c:pt>
              </c:numCache>
            </c:numRef>
          </c:val>
          <c:smooth val="0"/>
          <c:extLst>
            <c:ext xmlns:c16="http://schemas.microsoft.com/office/drawing/2014/chart" uri="{C3380CC4-5D6E-409C-BE32-E72D297353CC}">
              <c16:uniqueId val="{00000000-F5B4-4AE9-9C64-77140D9FCD54}"/>
            </c:ext>
          </c:extLst>
        </c:ser>
        <c:dLbls>
          <c:showLegendKey val="0"/>
          <c:showVal val="0"/>
          <c:showCatName val="0"/>
          <c:showSerName val="0"/>
          <c:showPercent val="0"/>
          <c:showBubbleSize val="0"/>
        </c:dLbls>
        <c:smooth val="0"/>
        <c:axId val="1196098608"/>
        <c:axId val="1196095696"/>
      </c:lineChart>
      <c:catAx>
        <c:axId val="119609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196095696"/>
        <c:crosses val="autoZero"/>
        <c:auto val="1"/>
        <c:lblAlgn val="ctr"/>
        <c:lblOffset val="100"/>
        <c:noMultiLvlLbl val="0"/>
      </c:catAx>
      <c:valAx>
        <c:axId val="1196095696"/>
        <c:scaling>
          <c:orientation val="minMax"/>
          <c:min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ontserrat" panose="00000500000000000000" pitchFamily="2" charset="0"/>
                    <a:ea typeface="+mn-ea"/>
                    <a:cs typeface="+mn-cs"/>
                  </a:defRPr>
                </a:pPr>
                <a:r>
                  <a:rPr lang="en-US"/>
                  <a:t>NGN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19609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ontserrat" panose="000005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r>
              <a:rPr lang="en-GB"/>
              <a:t>Nigeria - Gross Monthly Existing Customer Repayment Cash Revenue (incl VAT)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endParaRPr lang="en-US"/>
        </a:p>
      </c:txPr>
    </c:title>
    <c:autoTitleDeleted val="0"/>
    <c:plotArea>
      <c:layout/>
      <c:lineChart>
        <c:grouping val="standard"/>
        <c:varyColors val="0"/>
        <c:ser>
          <c:idx val="0"/>
          <c:order val="0"/>
          <c:tx>
            <c:strRef>
              <c:f>'Graph LK'!$A$29</c:f>
              <c:strCache>
                <c:ptCount val="1"/>
                <c:pt idx="0">
                  <c:v>2020</c:v>
                </c:pt>
              </c:strCache>
            </c:strRef>
          </c:tx>
          <c:spPr>
            <a:ln w="28575" cap="rnd">
              <a:solidFill>
                <a:schemeClr val="accent1"/>
              </a:solidFill>
              <a:round/>
            </a:ln>
            <a:effectLst/>
          </c:spPr>
          <c:marker>
            <c:symbol val="none"/>
          </c:marker>
          <c:cat>
            <c:strRef>
              <c:f>'Graph LK'!$B$28:$M$28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LK'!$B$29:$M$29</c:f>
              <c:numCache>
                <c:formatCode>0</c:formatCode>
                <c:ptCount val="12"/>
                <c:pt idx="0">
                  <c:v>427.75311603677545</c:v>
                </c:pt>
                <c:pt idx="1">
                  <c:v>418.98514846871643</c:v>
                </c:pt>
                <c:pt idx="2">
                  <c:v>476.14143755234403</c:v>
                </c:pt>
                <c:pt idx="3">
                  <c:v>405.98193421448013</c:v>
                </c:pt>
                <c:pt idx="4">
                  <c:v>396.89065261540964</c:v>
                </c:pt>
                <c:pt idx="5">
                  <c:v>415.72312562736624</c:v>
                </c:pt>
                <c:pt idx="6">
                  <c:v>448.41121600407644</c:v>
                </c:pt>
                <c:pt idx="7">
                  <c:v>418.48293895840561</c:v>
                </c:pt>
                <c:pt idx="8">
                  <c:v>389.84757837384728</c:v>
                </c:pt>
                <c:pt idx="9">
                  <c:v>424.33691704233451</c:v>
                </c:pt>
                <c:pt idx="10">
                  <c:v>402.1159131973107</c:v>
                </c:pt>
                <c:pt idx="11">
                  <c:v>507.90319535601697</c:v>
                </c:pt>
              </c:numCache>
            </c:numRef>
          </c:val>
          <c:smooth val="0"/>
          <c:extLst>
            <c:ext xmlns:c16="http://schemas.microsoft.com/office/drawing/2014/chart" uri="{C3380CC4-5D6E-409C-BE32-E72D297353CC}">
              <c16:uniqueId val="{00000000-5BFA-45E4-B748-80C78B0A97A7}"/>
            </c:ext>
          </c:extLst>
        </c:ser>
        <c:ser>
          <c:idx val="1"/>
          <c:order val="1"/>
          <c:tx>
            <c:strRef>
              <c:f>'Graph LK'!$A$30</c:f>
              <c:strCache>
                <c:ptCount val="1"/>
                <c:pt idx="0">
                  <c:v>2021</c:v>
                </c:pt>
              </c:strCache>
            </c:strRef>
          </c:tx>
          <c:spPr>
            <a:ln w="28575" cap="rnd">
              <a:solidFill>
                <a:schemeClr val="accent2"/>
              </a:solidFill>
              <a:round/>
            </a:ln>
            <a:effectLst/>
          </c:spPr>
          <c:marker>
            <c:symbol val="none"/>
          </c:marker>
          <c:cat>
            <c:strRef>
              <c:f>'Graph LK'!$B$28:$M$28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LK'!$B$30:$M$30</c:f>
              <c:numCache>
                <c:formatCode>0</c:formatCode>
                <c:ptCount val="12"/>
                <c:pt idx="0">
                  <c:v>527.89444915934064</c:v>
                </c:pt>
                <c:pt idx="1">
                  <c:v>529.39521931318677</c:v>
                </c:pt>
                <c:pt idx="2">
                  <c:v>561.38944870879129</c:v>
                </c:pt>
                <c:pt idx="3">
                  <c:v>564.89708876373629</c:v>
                </c:pt>
                <c:pt idx="4">
                  <c:v>561.91672348901102</c:v>
                </c:pt>
                <c:pt idx="5">
                  <c:v>531.75783054945055</c:v>
                </c:pt>
                <c:pt idx="6">
                  <c:v>531.24940000000004</c:v>
                </c:pt>
                <c:pt idx="7">
                  <c:v>514.52437999999995</c:v>
                </c:pt>
                <c:pt idx="8">
                  <c:v>481.02339999999998</c:v>
                </c:pt>
                <c:pt idx="9">
                  <c:v>509.74270000000001</c:v>
                </c:pt>
                <c:pt idx="10">
                  <c:v>613.93904999999995</c:v>
                </c:pt>
                <c:pt idx="11">
                  <c:v>529.94480999999996</c:v>
                </c:pt>
              </c:numCache>
            </c:numRef>
          </c:val>
          <c:smooth val="0"/>
          <c:extLst>
            <c:ext xmlns:c16="http://schemas.microsoft.com/office/drawing/2014/chart" uri="{C3380CC4-5D6E-409C-BE32-E72D297353CC}">
              <c16:uniqueId val="{00000001-5BFA-45E4-B748-80C78B0A97A7}"/>
            </c:ext>
          </c:extLst>
        </c:ser>
        <c:ser>
          <c:idx val="2"/>
          <c:order val="2"/>
          <c:tx>
            <c:strRef>
              <c:f>'Graph LK'!$A$31</c:f>
              <c:strCache>
                <c:ptCount val="1"/>
                <c:pt idx="0">
                  <c:v>2022</c:v>
                </c:pt>
              </c:strCache>
            </c:strRef>
          </c:tx>
          <c:spPr>
            <a:ln w="28575" cap="rnd">
              <a:solidFill>
                <a:srgbClr val="00B050"/>
              </a:solidFill>
              <a:round/>
            </a:ln>
            <a:effectLst/>
          </c:spPr>
          <c:marker>
            <c:symbol val="none"/>
          </c:marker>
          <c:cat>
            <c:strRef>
              <c:f>'Graph LK'!$B$28:$M$28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LK'!$B$31:$M$31</c:f>
              <c:numCache>
                <c:formatCode>0</c:formatCode>
                <c:ptCount val="12"/>
                <c:pt idx="0">
                  <c:v>530.09078</c:v>
                </c:pt>
                <c:pt idx="1">
                  <c:v>490.13600000000002</c:v>
                </c:pt>
                <c:pt idx="2">
                  <c:v>584.28976</c:v>
                </c:pt>
                <c:pt idx="3">
                  <c:v>514.89603999999997</c:v>
                </c:pt>
                <c:pt idx="4">
                  <c:v>534.88742000000002</c:v>
                </c:pt>
                <c:pt idx="5">
                  <c:v>520.26426000000004</c:v>
                </c:pt>
                <c:pt idx="6">
                  <c:v>441.17261999999999</c:v>
                </c:pt>
                <c:pt idx="7">
                  <c:v>480.90717999999998</c:v>
                </c:pt>
                <c:pt idx="8">
                  <c:v>464.95805000000001</c:v>
                </c:pt>
                <c:pt idx="9">
                  <c:v>473.98858000000001</c:v>
                </c:pt>
                <c:pt idx="10">
                  <c:v>610.44793000000004</c:v>
                </c:pt>
                <c:pt idx="11">
                  <c:v>442.93788999999998</c:v>
                </c:pt>
              </c:numCache>
            </c:numRef>
          </c:val>
          <c:smooth val="0"/>
          <c:extLst>
            <c:ext xmlns:c16="http://schemas.microsoft.com/office/drawing/2014/chart" uri="{C3380CC4-5D6E-409C-BE32-E72D297353CC}">
              <c16:uniqueId val="{00000001-6F3B-4F0E-A7A4-42E6CF9B3569}"/>
            </c:ext>
          </c:extLst>
        </c:ser>
        <c:ser>
          <c:idx val="3"/>
          <c:order val="3"/>
          <c:tx>
            <c:strRef>
              <c:f>'Graph LK'!$A$32</c:f>
              <c:strCache>
                <c:ptCount val="1"/>
                <c:pt idx="0">
                  <c:v>2023</c:v>
                </c:pt>
              </c:strCache>
            </c:strRef>
          </c:tx>
          <c:spPr>
            <a:ln w="28575" cap="rnd">
              <a:solidFill>
                <a:schemeClr val="accent4"/>
              </a:solidFill>
              <a:round/>
            </a:ln>
            <a:effectLst/>
          </c:spPr>
          <c:marker>
            <c:symbol val="none"/>
          </c:marker>
          <c:cat>
            <c:strRef>
              <c:f>'Graph LK'!$B$28:$M$28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LK'!$B$32:$M$32</c:f>
              <c:numCache>
                <c:formatCode>0</c:formatCode>
                <c:ptCount val="12"/>
                <c:pt idx="0">
                  <c:v>452.06927000000002</c:v>
                </c:pt>
                <c:pt idx="1">
                  <c:v>408.381935</c:v>
                </c:pt>
                <c:pt idx="2">
                  <c:v>443.75673</c:v>
                </c:pt>
                <c:pt idx="3">
                  <c:v>409.38675999999998</c:v>
                </c:pt>
                <c:pt idx="4">
                  <c:v>416.98155000000003</c:v>
                </c:pt>
              </c:numCache>
            </c:numRef>
          </c:val>
          <c:smooth val="0"/>
          <c:extLst>
            <c:ext xmlns:c16="http://schemas.microsoft.com/office/drawing/2014/chart" uri="{C3380CC4-5D6E-409C-BE32-E72D297353CC}">
              <c16:uniqueId val="{00000000-F0F0-4196-882F-8AADAECE6E68}"/>
            </c:ext>
          </c:extLst>
        </c:ser>
        <c:dLbls>
          <c:showLegendKey val="0"/>
          <c:showVal val="0"/>
          <c:showCatName val="0"/>
          <c:showSerName val="0"/>
          <c:showPercent val="0"/>
          <c:showBubbleSize val="0"/>
        </c:dLbls>
        <c:smooth val="0"/>
        <c:axId val="1170944848"/>
        <c:axId val="1170950256"/>
      </c:lineChart>
      <c:catAx>
        <c:axId val="117094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170950256"/>
        <c:crosses val="autoZero"/>
        <c:auto val="1"/>
        <c:lblAlgn val="ctr"/>
        <c:lblOffset val="100"/>
        <c:noMultiLvlLbl val="0"/>
      </c:catAx>
      <c:valAx>
        <c:axId val="1170950256"/>
        <c:scaling>
          <c:orientation val="minMax"/>
          <c:min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ontserrat" panose="00000500000000000000" pitchFamily="2" charset="0"/>
                    <a:ea typeface="+mn-ea"/>
                    <a:cs typeface="+mn-cs"/>
                  </a:defRPr>
                </a:pPr>
                <a:r>
                  <a:rPr lang="en-US"/>
                  <a:t>NGN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17094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ontserrat" panose="000005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r>
              <a:rPr lang="en-GB"/>
              <a:t>Active Installed Base in '000s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endParaRPr lang="en-US"/>
        </a:p>
      </c:txPr>
    </c:title>
    <c:autoTitleDeleted val="0"/>
    <c:plotArea>
      <c:layout>
        <c:manualLayout>
          <c:layoutTarget val="inner"/>
          <c:xMode val="edge"/>
          <c:yMode val="edge"/>
          <c:x val="8.2025371828521432E-2"/>
          <c:y val="0.16708333333333336"/>
          <c:w val="0.89019685039370078"/>
          <c:h val="0.61498432487605714"/>
        </c:manualLayout>
      </c:layout>
      <c:lineChart>
        <c:grouping val="standard"/>
        <c:varyColors val="0"/>
        <c:ser>
          <c:idx val="0"/>
          <c:order val="0"/>
          <c:tx>
            <c:strRef>
              <c:f>'Graph LK'!$A$49</c:f>
              <c:strCache>
                <c:ptCount val="1"/>
                <c:pt idx="0">
                  <c:v>2020</c:v>
                </c:pt>
              </c:strCache>
            </c:strRef>
          </c:tx>
          <c:spPr>
            <a:ln w="28575" cap="rnd">
              <a:solidFill>
                <a:schemeClr val="accent1"/>
              </a:solidFill>
              <a:round/>
            </a:ln>
            <a:effectLst/>
          </c:spPr>
          <c:marker>
            <c:symbol val="none"/>
          </c:marker>
          <c:cat>
            <c:strRef>
              <c:f>'Graph LK'!$B$48:$M$48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LK'!$B$49:$M$49</c:f>
              <c:numCache>
                <c:formatCode>0</c:formatCode>
                <c:ptCount val="12"/>
                <c:pt idx="0">
                  <c:v>94.272999999999996</c:v>
                </c:pt>
                <c:pt idx="1">
                  <c:v>96.066999999999993</c:v>
                </c:pt>
                <c:pt idx="2">
                  <c:v>97.546000000000006</c:v>
                </c:pt>
                <c:pt idx="3">
                  <c:v>99.22</c:v>
                </c:pt>
                <c:pt idx="4">
                  <c:v>99.816999999999993</c:v>
                </c:pt>
                <c:pt idx="5">
                  <c:v>101.20699999999999</c:v>
                </c:pt>
                <c:pt idx="6">
                  <c:v>100.845</c:v>
                </c:pt>
                <c:pt idx="7">
                  <c:v>102.41</c:v>
                </c:pt>
                <c:pt idx="8">
                  <c:v>103.992</c:v>
                </c:pt>
                <c:pt idx="9">
                  <c:v>106.384</c:v>
                </c:pt>
                <c:pt idx="10">
                  <c:v>107.29300000000001</c:v>
                </c:pt>
                <c:pt idx="11">
                  <c:v>110.006</c:v>
                </c:pt>
              </c:numCache>
            </c:numRef>
          </c:val>
          <c:smooth val="0"/>
          <c:extLst>
            <c:ext xmlns:c16="http://schemas.microsoft.com/office/drawing/2014/chart" uri="{C3380CC4-5D6E-409C-BE32-E72D297353CC}">
              <c16:uniqueId val="{00000000-AA36-44F5-B347-A935C1AD8E1B}"/>
            </c:ext>
          </c:extLst>
        </c:ser>
        <c:ser>
          <c:idx val="1"/>
          <c:order val="1"/>
          <c:tx>
            <c:strRef>
              <c:f>'Graph LK'!$A$50</c:f>
              <c:strCache>
                <c:ptCount val="1"/>
                <c:pt idx="0">
                  <c:v>2021</c:v>
                </c:pt>
              </c:strCache>
            </c:strRef>
          </c:tx>
          <c:spPr>
            <a:ln w="28575" cap="rnd">
              <a:solidFill>
                <a:schemeClr val="accent2"/>
              </a:solidFill>
              <a:round/>
            </a:ln>
            <a:effectLst/>
          </c:spPr>
          <c:marker>
            <c:symbol val="none"/>
          </c:marker>
          <c:cat>
            <c:strRef>
              <c:f>'Graph LK'!$B$48:$M$48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LK'!$B$50:$M$50</c:f>
              <c:numCache>
                <c:formatCode>0</c:formatCode>
                <c:ptCount val="12"/>
                <c:pt idx="0">
                  <c:v>114.504</c:v>
                </c:pt>
                <c:pt idx="1">
                  <c:v>115.636</c:v>
                </c:pt>
                <c:pt idx="2">
                  <c:v>113.651</c:v>
                </c:pt>
                <c:pt idx="3">
                  <c:v>111.304</c:v>
                </c:pt>
                <c:pt idx="4">
                  <c:v>108.515</c:v>
                </c:pt>
                <c:pt idx="5">
                  <c:v>106.753</c:v>
                </c:pt>
                <c:pt idx="6">
                  <c:v>105.127</c:v>
                </c:pt>
                <c:pt idx="7">
                  <c:v>104.77500000000001</c:v>
                </c:pt>
                <c:pt idx="8">
                  <c:v>104.413</c:v>
                </c:pt>
                <c:pt idx="9">
                  <c:v>100.14700000000001</c:v>
                </c:pt>
                <c:pt idx="10">
                  <c:v>98.584999999999994</c:v>
                </c:pt>
                <c:pt idx="11">
                  <c:v>97.156999999999996</c:v>
                </c:pt>
              </c:numCache>
            </c:numRef>
          </c:val>
          <c:smooth val="0"/>
          <c:extLst>
            <c:ext xmlns:c16="http://schemas.microsoft.com/office/drawing/2014/chart" uri="{C3380CC4-5D6E-409C-BE32-E72D297353CC}">
              <c16:uniqueId val="{00000001-AA36-44F5-B347-A935C1AD8E1B}"/>
            </c:ext>
          </c:extLst>
        </c:ser>
        <c:ser>
          <c:idx val="2"/>
          <c:order val="2"/>
          <c:tx>
            <c:strRef>
              <c:f>'Graph LK'!$A$51</c:f>
              <c:strCache>
                <c:ptCount val="1"/>
                <c:pt idx="0">
                  <c:v>2022</c:v>
                </c:pt>
              </c:strCache>
            </c:strRef>
          </c:tx>
          <c:spPr>
            <a:ln w="28575" cap="rnd">
              <a:solidFill>
                <a:srgbClr val="00B050"/>
              </a:solidFill>
              <a:round/>
            </a:ln>
            <a:effectLst/>
          </c:spPr>
          <c:marker>
            <c:symbol val="none"/>
          </c:marker>
          <c:cat>
            <c:strRef>
              <c:f>'Graph LK'!$B$48:$M$48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LK'!$B$51:$M$51</c:f>
              <c:numCache>
                <c:formatCode>0</c:formatCode>
                <c:ptCount val="12"/>
                <c:pt idx="0">
                  <c:v>94.921999999999997</c:v>
                </c:pt>
                <c:pt idx="1">
                  <c:v>92.512</c:v>
                </c:pt>
                <c:pt idx="2">
                  <c:v>91.397000000000006</c:v>
                </c:pt>
                <c:pt idx="3">
                  <c:v>90.194000000000003</c:v>
                </c:pt>
                <c:pt idx="4">
                  <c:v>88.653000000000006</c:v>
                </c:pt>
                <c:pt idx="5">
                  <c:v>86.897000000000006</c:v>
                </c:pt>
                <c:pt idx="6">
                  <c:v>86.129000000000005</c:v>
                </c:pt>
                <c:pt idx="7">
                  <c:v>82.25</c:v>
                </c:pt>
                <c:pt idx="8">
                  <c:v>80.186000000000007</c:v>
                </c:pt>
                <c:pt idx="9">
                  <c:v>77.03</c:v>
                </c:pt>
                <c:pt idx="10">
                  <c:v>73.826999999999998</c:v>
                </c:pt>
                <c:pt idx="11">
                  <c:v>71.534999999999997</c:v>
                </c:pt>
              </c:numCache>
            </c:numRef>
          </c:val>
          <c:smooth val="0"/>
          <c:extLst>
            <c:ext xmlns:c16="http://schemas.microsoft.com/office/drawing/2014/chart" uri="{C3380CC4-5D6E-409C-BE32-E72D297353CC}">
              <c16:uniqueId val="{00000001-C624-4E3C-9F25-E1E4BE101DAE}"/>
            </c:ext>
          </c:extLst>
        </c:ser>
        <c:ser>
          <c:idx val="3"/>
          <c:order val="3"/>
          <c:tx>
            <c:strRef>
              <c:f>'Graph LK'!$A$52</c:f>
              <c:strCache>
                <c:ptCount val="1"/>
                <c:pt idx="0">
                  <c:v>2023</c:v>
                </c:pt>
              </c:strCache>
            </c:strRef>
          </c:tx>
          <c:spPr>
            <a:ln w="28575" cap="rnd">
              <a:solidFill>
                <a:schemeClr val="accent4"/>
              </a:solidFill>
              <a:round/>
            </a:ln>
            <a:effectLst/>
          </c:spPr>
          <c:marker>
            <c:symbol val="none"/>
          </c:marker>
          <c:cat>
            <c:strRef>
              <c:f>'Graph LK'!$B$48:$M$48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LK'!$B$52:$M$52</c:f>
              <c:numCache>
                <c:formatCode>0</c:formatCode>
                <c:ptCount val="12"/>
                <c:pt idx="0">
                  <c:v>67.375</c:v>
                </c:pt>
                <c:pt idx="1">
                  <c:v>65.397999999999996</c:v>
                </c:pt>
                <c:pt idx="2">
                  <c:v>63.143999999999998</c:v>
                </c:pt>
                <c:pt idx="3">
                  <c:v>61.606000000000002</c:v>
                </c:pt>
                <c:pt idx="4">
                  <c:v>59.896000000000001</c:v>
                </c:pt>
              </c:numCache>
            </c:numRef>
          </c:val>
          <c:smooth val="0"/>
          <c:extLst>
            <c:ext xmlns:c16="http://schemas.microsoft.com/office/drawing/2014/chart" uri="{C3380CC4-5D6E-409C-BE32-E72D297353CC}">
              <c16:uniqueId val="{00000000-5767-4B3E-9824-6411D0F3A87E}"/>
            </c:ext>
          </c:extLst>
        </c:ser>
        <c:dLbls>
          <c:showLegendKey val="0"/>
          <c:showVal val="0"/>
          <c:showCatName val="0"/>
          <c:showSerName val="0"/>
          <c:showPercent val="0"/>
          <c:showBubbleSize val="0"/>
        </c:dLbls>
        <c:smooth val="0"/>
        <c:axId val="1850198368"/>
        <c:axId val="1850197120"/>
      </c:lineChart>
      <c:catAx>
        <c:axId val="18501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850197120"/>
        <c:crosses val="autoZero"/>
        <c:auto val="1"/>
        <c:lblAlgn val="ctr"/>
        <c:lblOffset val="100"/>
        <c:noMultiLvlLbl val="0"/>
      </c:catAx>
      <c:valAx>
        <c:axId val="1850197120"/>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85019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ontserrat" panose="00000500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r>
              <a:rPr lang="en-GB"/>
              <a:t>New Customer Aquisition</a:t>
            </a:r>
          </a:p>
        </c:rich>
      </c:tx>
      <c:overlay val="0"/>
      <c:spPr>
        <a:noFill/>
        <a:ln>
          <a:noFill/>
        </a:ln>
        <a:effectLst/>
      </c:spPr>
    </c:title>
    <c:autoTitleDeleted val="0"/>
    <c:plotArea>
      <c:layout/>
      <c:lineChart>
        <c:grouping val="standard"/>
        <c:varyColors val="0"/>
        <c:ser>
          <c:idx val="0"/>
          <c:order val="3"/>
          <c:tx>
            <c:strRef>
              <c:f>'Graph LK'!$A$56</c:f>
              <c:strCache>
                <c:ptCount val="1"/>
                <c:pt idx="0">
                  <c:v>2020</c:v>
                </c:pt>
              </c:strCache>
            </c:strRef>
          </c:tx>
          <c:spPr>
            <a:ln w="28575" cap="rnd">
              <a:solidFill>
                <a:schemeClr val="accent1"/>
              </a:solidFill>
              <a:round/>
            </a:ln>
            <a:effectLst/>
          </c:spPr>
          <c:marker>
            <c:symbol val="none"/>
          </c:marker>
          <c:cat>
            <c:strRef>
              <c:f>'Graph LK'!$B$55:$M$55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LK'!$B$56:$M$56</c:f>
              <c:numCache>
                <c:formatCode>#,##0</c:formatCode>
                <c:ptCount val="12"/>
                <c:pt idx="0">
                  <c:v>2796</c:v>
                </c:pt>
                <c:pt idx="1">
                  <c:v>2563</c:v>
                </c:pt>
                <c:pt idx="2">
                  <c:v>3114</c:v>
                </c:pt>
                <c:pt idx="3">
                  <c:v>1865</c:v>
                </c:pt>
                <c:pt idx="4">
                  <c:v>2728</c:v>
                </c:pt>
                <c:pt idx="5">
                  <c:v>2557</c:v>
                </c:pt>
                <c:pt idx="6">
                  <c:v>2533</c:v>
                </c:pt>
                <c:pt idx="7">
                  <c:v>2727</c:v>
                </c:pt>
                <c:pt idx="8">
                  <c:v>2751</c:v>
                </c:pt>
                <c:pt idx="9">
                  <c:v>2927</c:v>
                </c:pt>
                <c:pt idx="10">
                  <c:v>3783</c:v>
                </c:pt>
                <c:pt idx="11">
                  <c:v>5384</c:v>
                </c:pt>
              </c:numCache>
            </c:numRef>
          </c:val>
          <c:smooth val="0"/>
          <c:extLst>
            <c:ext xmlns:c16="http://schemas.microsoft.com/office/drawing/2014/chart" uri="{C3380CC4-5D6E-409C-BE32-E72D297353CC}">
              <c16:uniqueId val="{00000002-5E40-4A29-B0F5-283B20DB1F10}"/>
            </c:ext>
          </c:extLst>
        </c:ser>
        <c:ser>
          <c:idx val="1"/>
          <c:order val="4"/>
          <c:tx>
            <c:strRef>
              <c:f>'Graph LK'!$A$57</c:f>
              <c:strCache>
                <c:ptCount val="1"/>
                <c:pt idx="0">
                  <c:v>2021</c:v>
                </c:pt>
              </c:strCache>
            </c:strRef>
          </c:tx>
          <c:spPr>
            <a:ln w="28575" cap="rnd">
              <a:solidFill>
                <a:schemeClr val="accent2"/>
              </a:solidFill>
              <a:round/>
            </a:ln>
            <a:effectLst/>
          </c:spPr>
          <c:marker>
            <c:symbol val="none"/>
          </c:marker>
          <c:cat>
            <c:strRef>
              <c:f>'Graph LK'!$B$55:$M$55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LK'!$B$57:$M$57</c:f>
              <c:numCache>
                <c:formatCode>#,##0</c:formatCode>
                <c:ptCount val="12"/>
                <c:pt idx="0">
                  <c:v>2602</c:v>
                </c:pt>
                <c:pt idx="1">
                  <c:v>2770</c:v>
                </c:pt>
                <c:pt idx="2">
                  <c:v>3284</c:v>
                </c:pt>
                <c:pt idx="3">
                  <c:v>95</c:v>
                </c:pt>
                <c:pt idx="4">
                  <c:v>30</c:v>
                </c:pt>
                <c:pt idx="5">
                  <c:v>31</c:v>
                </c:pt>
                <c:pt idx="6">
                  <c:v>111</c:v>
                </c:pt>
                <c:pt idx="7">
                  <c:v>475</c:v>
                </c:pt>
                <c:pt idx="8">
                  <c:v>623</c:v>
                </c:pt>
                <c:pt idx="9">
                  <c:v>406</c:v>
                </c:pt>
                <c:pt idx="10">
                  <c:v>405</c:v>
                </c:pt>
                <c:pt idx="11">
                  <c:v>179</c:v>
                </c:pt>
              </c:numCache>
            </c:numRef>
          </c:val>
          <c:smooth val="0"/>
          <c:extLst>
            <c:ext xmlns:c16="http://schemas.microsoft.com/office/drawing/2014/chart" uri="{C3380CC4-5D6E-409C-BE32-E72D297353CC}">
              <c16:uniqueId val="{00000004-5E40-4A29-B0F5-283B20DB1F10}"/>
            </c:ext>
          </c:extLst>
        </c:ser>
        <c:ser>
          <c:idx val="2"/>
          <c:order val="5"/>
          <c:tx>
            <c:strRef>
              <c:f>'Graph LK'!$A$58</c:f>
              <c:strCache>
                <c:ptCount val="1"/>
                <c:pt idx="0">
                  <c:v>2022</c:v>
                </c:pt>
              </c:strCache>
            </c:strRef>
          </c:tx>
          <c:spPr>
            <a:ln w="28575" cap="rnd">
              <a:solidFill>
                <a:srgbClr val="00B050"/>
              </a:solidFill>
              <a:round/>
            </a:ln>
            <a:effectLst/>
          </c:spPr>
          <c:marker>
            <c:symbol val="none"/>
          </c:marker>
          <c:cat>
            <c:strRef>
              <c:f>'Graph LK'!$B$55:$M$55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LK'!$B$58:$M$58</c:f>
              <c:numCache>
                <c:formatCode>#,##0</c:formatCode>
                <c:ptCount val="12"/>
                <c:pt idx="0">
                  <c:v>142</c:v>
                </c:pt>
                <c:pt idx="1">
                  <c:v>198</c:v>
                </c:pt>
                <c:pt idx="2">
                  <c:v>1068</c:v>
                </c:pt>
                <c:pt idx="3">
                  <c:v>318</c:v>
                </c:pt>
                <c:pt idx="4">
                  <c:v>609</c:v>
                </c:pt>
                <c:pt idx="5">
                  <c:v>125</c:v>
                </c:pt>
                <c:pt idx="6">
                  <c:v>125</c:v>
                </c:pt>
                <c:pt idx="7">
                  <c:v>107</c:v>
                </c:pt>
                <c:pt idx="8">
                  <c:v>87</c:v>
                </c:pt>
                <c:pt idx="9">
                  <c:v>107</c:v>
                </c:pt>
                <c:pt idx="10">
                  <c:v>267</c:v>
                </c:pt>
                <c:pt idx="11">
                  <c:v>261</c:v>
                </c:pt>
              </c:numCache>
            </c:numRef>
          </c:val>
          <c:smooth val="0"/>
          <c:extLst>
            <c:ext xmlns:c16="http://schemas.microsoft.com/office/drawing/2014/chart" uri="{C3380CC4-5D6E-409C-BE32-E72D297353CC}">
              <c16:uniqueId val="{00000006-5E40-4A29-B0F5-283B20DB1F10}"/>
            </c:ext>
          </c:extLst>
        </c:ser>
        <c:ser>
          <c:idx val="6"/>
          <c:order val="6"/>
          <c:tx>
            <c:strRef>
              <c:f>'Graph LK'!$A$59</c:f>
              <c:strCache>
                <c:ptCount val="1"/>
                <c:pt idx="0">
                  <c:v>2023</c:v>
                </c:pt>
              </c:strCache>
            </c:strRef>
          </c:tx>
          <c:spPr>
            <a:ln>
              <a:solidFill>
                <a:srgbClr val="FFC000"/>
              </a:solidFill>
            </a:ln>
          </c:spPr>
          <c:marker>
            <c:symbol val="none"/>
          </c:marker>
          <c:cat>
            <c:strRef>
              <c:f>'Graph LK'!$B$55:$M$55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LK'!$B$59:$M$59</c:f>
              <c:numCache>
                <c:formatCode>#,##0</c:formatCode>
                <c:ptCount val="12"/>
                <c:pt idx="0">
                  <c:v>244</c:v>
                </c:pt>
                <c:pt idx="1">
                  <c:v>185</c:v>
                </c:pt>
                <c:pt idx="2">
                  <c:v>269</c:v>
                </c:pt>
                <c:pt idx="3">
                  <c:v>259</c:v>
                </c:pt>
                <c:pt idx="4">
                  <c:v>296</c:v>
                </c:pt>
              </c:numCache>
            </c:numRef>
          </c:val>
          <c:smooth val="0"/>
          <c:extLst>
            <c:ext xmlns:c16="http://schemas.microsoft.com/office/drawing/2014/chart" uri="{C3380CC4-5D6E-409C-BE32-E72D297353CC}">
              <c16:uniqueId val="{00000000-EACB-4CEC-AADD-DB4E885F2CFC}"/>
            </c:ext>
          </c:extLst>
        </c:ser>
        <c:dLbls>
          <c:showLegendKey val="0"/>
          <c:showVal val="0"/>
          <c:showCatName val="0"/>
          <c:showSerName val="0"/>
          <c:showPercent val="0"/>
          <c:showBubbleSize val="0"/>
        </c:dLbls>
        <c:smooth val="0"/>
        <c:axId val="1844683552"/>
        <c:axId val="1844679808"/>
        <c:extLst>
          <c:ext xmlns:c15="http://schemas.microsoft.com/office/drawing/2012/chart" uri="{02D57815-91ED-43cb-92C2-25804820EDAC}">
            <c15:filteredLineSeries>
              <c15:ser>
                <c:idx val="3"/>
                <c:order val="0"/>
                <c:tx>
                  <c:strRef>
                    <c:extLst>
                      <c:ext uri="{02D57815-91ED-43cb-92C2-25804820EDAC}">
                        <c15:formulaRef>
                          <c15:sqref>'Graph LK'!$A$56</c15:sqref>
                        </c15:formulaRef>
                      </c:ext>
                    </c:extLst>
                    <c:strCache>
                      <c:ptCount val="1"/>
                      <c:pt idx="0">
                        <c:v>2020</c:v>
                      </c:pt>
                    </c:strCache>
                  </c:strRef>
                </c:tx>
                <c:marker>
                  <c:symbol val="none"/>
                </c:marker>
                <c:cat>
                  <c:strRef>
                    <c:extLst>
                      <c:ext uri="{02D57815-91ED-43cb-92C2-25804820EDAC}">
                        <c15:formulaRef>
                          <c15:sqref>'Graph LK'!$B$55:$M$55</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'Graph LK'!$B$56:$M$56</c15:sqref>
                        </c15:formulaRef>
                      </c:ext>
                    </c:extLst>
                    <c:numCache>
                      <c:formatCode>#,##0</c:formatCode>
                      <c:ptCount val="12"/>
                      <c:pt idx="0">
                        <c:v>2796</c:v>
                      </c:pt>
                      <c:pt idx="1">
                        <c:v>2563</c:v>
                      </c:pt>
                      <c:pt idx="2">
                        <c:v>3114</c:v>
                      </c:pt>
                      <c:pt idx="3">
                        <c:v>1865</c:v>
                      </c:pt>
                      <c:pt idx="4">
                        <c:v>2728</c:v>
                      </c:pt>
                      <c:pt idx="5">
                        <c:v>2557</c:v>
                      </c:pt>
                      <c:pt idx="6">
                        <c:v>2533</c:v>
                      </c:pt>
                      <c:pt idx="7">
                        <c:v>2727</c:v>
                      </c:pt>
                      <c:pt idx="8">
                        <c:v>2751</c:v>
                      </c:pt>
                      <c:pt idx="9">
                        <c:v>2927</c:v>
                      </c:pt>
                      <c:pt idx="10">
                        <c:v>3783</c:v>
                      </c:pt>
                      <c:pt idx="11">
                        <c:v>5384</c:v>
                      </c:pt>
                    </c:numCache>
                  </c:numRef>
                </c:val>
                <c:smooth val="0"/>
                <c:extLst>
                  <c:ext xmlns:c16="http://schemas.microsoft.com/office/drawing/2014/chart" uri="{C3380CC4-5D6E-409C-BE32-E72D297353CC}">
                    <c16:uniqueId val="{00000007-5E40-4A29-B0F5-283B20DB1F10}"/>
                  </c:ext>
                </c:extLst>
              </c15:ser>
            </c15:filteredLineSeries>
            <c15:filteredLineSeries>
              <c15:ser>
                <c:idx val="4"/>
                <c:order val="1"/>
                <c:tx>
                  <c:strRef>
                    <c:extLst xmlns:c15="http://schemas.microsoft.com/office/drawing/2012/chart">
                      <c:ext xmlns:c15="http://schemas.microsoft.com/office/drawing/2012/chart" uri="{02D57815-91ED-43cb-92C2-25804820EDAC}">
                        <c15:formulaRef>
                          <c15:sqref>'Graph LK'!$A$57</c15:sqref>
                        </c15:formulaRef>
                      </c:ext>
                    </c:extLst>
                    <c:strCache>
                      <c:ptCount val="1"/>
                      <c:pt idx="0">
                        <c:v>2021</c:v>
                      </c:pt>
                    </c:strCache>
                  </c:strRef>
                </c:tx>
                <c:marker>
                  <c:symbol val="none"/>
                </c:marker>
                <c:cat>
                  <c:strRef>
                    <c:extLst xmlns:c15="http://schemas.microsoft.com/office/drawing/2012/chart">
                      <c:ext xmlns:c15="http://schemas.microsoft.com/office/drawing/2012/chart" uri="{02D57815-91ED-43cb-92C2-25804820EDAC}">
                        <c15:formulaRef>
                          <c15:sqref>'Graph LK'!$B$55:$M$55</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xmlns:c15="http://schemas.microsoft.com/office/drawing/2012/chart">
                      <c:ext xmlns:c15="http://schemas.microsoft.com/office/drawing/2012/chart" uri="{02D57815-91ED-43cb-92C2-25804820EDAC}">
                        <c15:formulaRef>
                          <c15:sqref>'Graph LK'!$B$57:$M$57</c15:sqref>
                        </c15:formulaRef>
                      </c:ext>
                    </c:extLst>
                    <c:numCache>
                      <c:formatCode>#,##0</c:formatCode>
                      <c:ptCount val="12"/>
                      <c:pt idx="0">
                        <c:v>2602</c:v>
                      </c:pt>
                      <c:pt idx="1">
                        <c:v>2770</c:v>
                      </c:pt>
                      <c:pt idx="2">
                        <c:v>3284</c:v>
                      </c:pt>
                      <c:pt idx="3">
                        <c:v>95</c:v>
                      </c:pt>
                      <c:pt idx="4">
                        <c:v>30</c:v>
                      </c:pt>
                      <c:pt idx="5">
                        <c:v>31</c:v>
                      </c:pt>
                      <c:pt idx="6">
                        <c:v>111</c:v>
                      </c:pt>
                      <c:pt idx="7">
                        <c:v>475</c:v>
                      </c:pt>
                      <c:pt idx="8">
                        <c:v>623</c:v>
                      </c:pt>
                      <c:pt idx="9">
                        <c:v>406</c:v>
                      </c:pt>
                      <c:pt idx="10">
                        <c:v>405</c:v>
                      </c:pt>
                      <c:pt idx="11">
                        <c:v>179</c:v>
                      </c:pt>
                    </c:numCache>
                  </c:numRef>
                </c:val>
                <c:smooth val="0"/>
                <c:extLst xmlns:c15="http://schemas.microsoft.com/office/drawing/2012/chart">
                  <c:ext xmlns:c16="http://schemas.microsoft.com/office/drawing/2014/chart" uri="{C3380CC4-5D6E-409C-BE32-E72D297353CC}">
                    <c16:uniqueId val="{00000008-5E40-4A29-B0F5-283B20DB1F10}"/>
                  </c:ext>
                </c:extLst>
              </c15:ser>
            </c15:filteredLineSeries>
            <c15:filteredLineSeries>
              <c15:ser>
                <c:idx val="5"/>
                <c:order val="2"/>
                <c:tx>
                  <c:strRef>
                    <c:extLst xmlns:c15="http://schemas.microsoft.com/office/drawing/2012/chart">
                      <c:ext xmlns:c15="http://schemas.microsoft.com/office/drawing/2012/chart" uri="{02D57815-91ED-43cb-92C2-25804820EDAC}">
                        <c15:formulaRef>
                          <c15:sqref>'Graph LK'!$A$58</c15:sqref>
                        </c15:formulaRef>
                      </c:ext>
                    </c:extLst>
                    <c:strCache>
                      <c:ptCount val="1"/>
                      <c:pt idx="0">
                        <c:v>2022</c:v>
                      </c:pt>
                    </c:strCache>
                  </c:strRef>
                </c:tx>
                <c:marker>
                  <c:symbol val="none"/>
                </c:marker>
                <c:cat>
                  <c:strRef>
                    <c:extLst xmlns:c15="http://schemas.microsoft.com/office/drawing/2012/chart">
                      <c:ext xmlns:c15="http://schemas.microsoft.com/office/drawing/2012/chart" uri="{02D57815-91ED-43cb-92C2-25804820EDAC}">
                        <c15:formulaRef>
                          <c15:sqref>'Graph LK'!$B$55:$M$55</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xmlns:c15="http://schemas.microsoft.com/office/drawing/2012/chart">
                      <c:ext xmlns:c15="http://schemas.microsoft.com/office/drawing/2012/chart" uri="{02D57815-91ED-43cb-92C2-25804820EDAC}">
                        <c15:formulaRef>
                          <c15:sqref>'Graph LK'!$B$58:$M$58</c15:sqref>
                        </c15:formulaRef>
                      </c:ext>
                    </c:extLst>
                    <c:numCache>
                      <c:formatCode>#,##0</c:formatCode>
                      <c:ptCount val="12"/>
                      <c:pt idx="0">
                        <c:v>142</c:v>
                      </c:pt>
                      <c:pt idx="1">
                        <c:v>198</c:v>
                      </c:pt>
                      <c:pt idx="2">
                        <c:v>1068</c:v>
                      </c:pt>
                      <c:pt idx="3">
                        <c:v>318</c:v>
                      </c:pt>
                      <c:pt idx="4">
                        <c:v>609</c:v>
                      </c:pt>
                      <c:pt idx="5">
                        <c:v>125</c:v>
                      </c:pt>
                      <c:pt idx="6">
                        <c:v>125</c:v>
                      </c:pt>
                      <c:pt idx="7">
                        <c:v>107</c:v>
                      </c:pt>
                      <c:pt idx="8">
                        <c:v>87</c:v>
                      </c:pt>
                      <c:pt idx="9">
                        <c:v>107</c:v>
                      </c:pt>
                      <c:pt idx="10">
                        <c:v>267</c:v>
                      </c:pt>
                      <c:pt idx="11">
                        <c:v>261</c:v>
                      </c:pt>
                    </c:numCache>
                  </c:numRef>
                </c:val>
                <c:smooth val="0"/>
                <c:extLst xmlns:c15="http://schemas.microsoft.com/office/drawing/2012/chart">
                  <c:ext xmlns:c16="http://schemas.microsoft.com/office/drawing/2014/chart" uri="{C3380CC4-5D6E-409C-BE32-E72D297353CC}">
                    <c16:uniqueId val="{00000009-5E40-4A29-B0F5-283B20DB1F10}"/>
                  </c:ext>
                </c:extLst>
              </c15:ser>
            </c15:filteredLineSeries>
          </c:ext>
        </c:extLst>
      </c:lineChart>
      <c:catAx>
        <c:axId val="184468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844679808"/>
        <c:crosses val="autoZero"/>
        <c:auto val="1"/>
        <c:lblAlgn val="ctr"/>
        <c:lblOffset val="100"/>
        <c:noMultiLvlLbl val="0"/>
      </c:catAx>
      <c:valAx>
        <c:axId val="1844679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184468355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legend>
    <c:plotVisOnly val="1"/>
    <c:dispBlanksAs val="gap"/>
    <c:showDLblsOverMax val="0"/>
  </c:chart>
  <c:txPr>
    <a:bodyPr/>
    <a:lstStyle/>
    <a:p>
      <a:pPr>
        <a:defRPr>
          <a:latin typeface="Montserrat" panose="00000500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r>
              <a:rPr lang="en-GB">
                <a:latin typeface="Montserrat" panose="00000500000000000000" pitchFamily="2" charset="0"/>
              </a:rPr>
              <a:t>Net Monthly Churn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ontserrat" panose="00000500000000000000" pitchFamily="2" charset="0"/>
              <a:ea typeface="+mn-ea"/>
              <a:cs typeface="+mn-cs"/>
            </a:defRPr>
          </a:pPr>
          <a:endParaRPr lang="en-US"/>
        </a:p>
      </c:txPr>
    </c:title>
    <c:autoTitleDeleted val="0"/>
    <c:plotArea>
      <c:layout/>
      <c:lineChart>
        <c:grouping val="standard"/>
        <c:varyColors val="0"/>
        <c:ser>
          <c:idx val="0"/>
          <c:order val="0"/>
          <c:tx>
            <c:strRef>
              <c:f>'Graph LK'!$A$63</c:f>
              <c:strCache>
                <c:ptCount val="1"/>
                <c:pt idx="0">
                  <c:v>2020</c:v>
                </c:pt>
              </c:strCache>
            </c:strRef>
          </c:tx>
          <c:spPr>
            <a:ln w="28575" cap="rnd">
              <a:solidFill>
                <a:schemeClr val="accent1"/>
              </a:solidFill>
              <a:round/>
            </a:ln>
            <a:effectLst/>
          </c:spPr>
          <c:marker>
            <c:symbol val="none"/>
          </c:marker>
          <c:cat>
            <c:strRef>
              <c:f>'Graph LK'!$B$62:$M$62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LK'!$B$63:$M$63</c:f>
              <c:numCache>
                <c:formatCode>0.0%</c:formatCode>
                <c:ptCount val="12"/>
                <c:pt idx="0">
                  <c:v>0.01</c:v>
                </c:pt>
                <c:pt idx="1">
                  <c:v>1.0999999999999999E-2</c:v>
                </c:pt>
                <c:pt idx="2">
                  <c:v>1.4999999999999999E-2</c:v>
                </c:pt>
                <c:pt idx="3">
                  <c:v>1.2999999999999999E-2</c:v>
                </c:pt>
                <c:pt idx="4">
                  <c:v>1.2E-2</c:v>
                </c:pt>
                <c:pt idx="5">
                  <c:v>1.6E-2</c:v>
                </c:pt>
                <c:pt idx="6">
                  <c:v>0.01</c:v>
                </c:pt>
                <c:pt idx="7">
                  <c:v>1.0999999999999999E-2</c:v>
                </c:pt>
                <c:pt idx="8">
                  <c:v>1.2999999999999999E-2</c:v>
                </c:pt>
                <c:pt idx="9">
                  <c:v>0.01</c:v>
                </c:pt>
                <c:pt idx="10">
                  <c:v>0.01</c:v>
                </c:pt>
                <c:pt idx="11">
                  <c:v>8.0000000000000002E-3</c:v>
                </c:pt>
              </c:numCache>
            </c:numRef>
          </c:val>
          <c:smooth val="0"/>
          <c:extLst>
            <c:ext xmlns:c16="http://schemas.microsoft.com/office/drawing/2014/chart" uri="{C3380CC4-5D6E-409C-BE32-E72D297353CC}">
              <c16:uniqueId val="{00000000-6F1E-4E55-A55A-7EE8E4EAEF3A}"/>
            </c:ext>
          </c:extLst>
        </c:ser>
        <c:ser>
          <c:idx val="1"/>
          <c:order val="1"/>
          <c:tx>
            <c:strRef>
              <c:f>'Graph LK'!$A$64</c:f>
              <c:strCache>
                <c:ptCount val="1"/>
                <c:pt idx="0">
                  <c:v>2021</c:v>
                </c:pt>
              </c:strCache>
            </c:strRef>
          </c:tx>
          <c:spPr>
            <a:ln w="28575" cap="rnd">
              <a:solidFill>
                <a:schemeClr val="accent2"/>
              </a:solidFill>
              <a:round/>
            </a:ln>
            <a:effectLst/>
          </c:spPr>
          <c:marker>
            <c:symbol val="none"/>
          </c:marker>
          <c:cat>
            <c:strRef>
              <c:f>'Graph LK'!$B$62:$M$62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LK'!$B$64:$M$64</c:f>
              <c:numCache>
                <c:formatCode>0.00%</c:formatCode>
                <c:ptCount val="12"/>
                <c:pt idx="0" formatCode="0.0%">
                  <c:v>1.24E-2</c:v>
                </c:pt>
                <c:pt idx="1">
                  <c:v>1.9E-2</c:v>
                </c:pt>
                <c:pt idx="2">
                  <c:v>1.4E-2</c:v>
                </c:pt>
                <c:pt idx="3">
                  <c:v>1.7000000000000001E-2</c:v>
                </c:pt>
                <c:pt idx="4">
                  <c:v>2.5000000000000001E-2</c:v>
                </c:pt>
                <c:pt idx="5">
                  <c:v>1.4E-2</c:v>
                </c:pt>
                <c:pt idx="6" formatCode="0.0%">
                  <c:v>1.95E-2</c:v>
                </c:pt>
                <c:pt idx="7">
                  <c:v>2.1999999999999999E-2</c:v>
                </c:pt>
                <c:pt idx="8" formatCode="0.0%">
                  <c:v>1.8499999999999999E-2</c:v>
                </c:pt>
                <c:pt idx="9" formatCode="0.0%">
                  <c:v>2.4E-2</c:v>
                </c:pt>
                <c:pt idx="10" formatCode="0.0%">
                  <c:v>1.2E-2</c:v>
                </c:pt>
                <c:pt idx="11" formatCode="0.0%">
                  <c:v>1.37E-2</c:v>
                </c:pt>
              </c:numCache>
            </c:numRef>
          </c:val>
          <c:smooth val="0"/>
          <c:extLst>
            <c:ext xmlns:c16="http://schemas.microsoft.com/office/drawing/2014/chart" uri="{C3380CC4-5D6E-409C-BE32-E72D297353CC}">
              <c16:uniqueId val="{00000001-6F1E-4E55-A55A-7EE8E4EAEF3A}"/>
            </c:ext>
          </c:extLst>
        </c:ser>
        <c:ser>
          <c:idx val="2"/>
          <c:order val="2"/>
          <c:tx>
            <c:strRef>
              <c:f>'Graph LK'!$A$65</c:f>
              <c:strCache>
                <c:ptCount val="1"/>
                <c:pt idx="0">
                  <c:v>2022</c:v>
                </c:pt>
              </c:strCache>
            </c:strRef>
          </c:tx>
          <c:spPr>
            <a:ln w="28575" cap="rnd">
              <a:solidFill>
                <a:srgbClr val="00B050"/>
              </a:solidFill>
              <a:round/>
            </a:ln>
            <a:effectLst/>
          </c:spPr>
          <c:marker>
            <c:symbol val="none"/>
          </c:marker>
          <c:cat>
            <c:strRef>
              <c:f>'Graph LK'!$B$62:$M$62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LK'!$B$65:$M$65</c:f>
              <c:numCache>
                <c:formatCode>0.00%</c:formatCode>
                <c:ptCount val="12"/>
                <c:pt idx="0">
                  <c:v>2.1000000000000001E-2</c:v>
                </c:pt>
                <c:pt idx="1">
                  <c:v>2.3E-2</c:v>
                </c:pt>
                <c:pt idx="2">
                  <c:v>1.2200000000000001E-2</c:v>
                </c:pt>
                <c:pt idx="3">
                  <c:v>0.01</c:v>
                </c:pt>
                <c:pt idx="4">
                  <c:v>1.32E-2</c:v>
                </c:pt>
                <c:pt idx="5">
                  <c:v>1.15E-2</c:v>
                </c:pt>
                <c:pt idx="6">
                  <c:v>1.5E-3</c:v>
                </c:pt>
                <c:pt idx="7">
                  <c:v>3.3925855402942101E-2</c:v>
                </c:pt>
                <c:pt idx="8">
                  <c:v>8.8000000000000005E-3</c:v>
                </c:pt>
                <c:pt idx="9">
                  <c:v>2.0522106533876566E-2</c:v>
                </c:pt>
                <c:pt idx="10">
                  <c:v>7.808098937522108E-3</c:v>
                </c:pt>
                <c:pt idx="11">
                  <c:v>1.3295541680359294E-2</c:v>
                </c:pt>
              </c:numCache>
            </c:numRef>
          </c:val>
          <c:smooth val="0"/>
          <c:extLst>
            <c:ext xmlns:c16="http://schemas.microsoft.com/office/drawing/2014/chart" uri="{C3380CC4-5D6E-409C-BE32-E72D297353CC}">
              <c16:uniqueId val="{00000002-6F1E-4E55-A55A-7EE8E4EAEF3A}"/>
            </c:ext>
          </c:extLst>
        </c:ser>
        <c:ser>
          <c:idx val="3"/>
          <c:order val="3"/>
          <c:tx>
            <c:strRef>
              <c:f>'Graph LK'!$A$66</c:f>
              <c:strCache>
                <c:ptCount val="1"/>
                <c:pt idx="0">
                  <c:v>2023</c:v>
                </c:pt>
              </c:strCache>
            </c:strRef>
          </c:tx>
          <c:spPr>
            <a:ln w="28575" cap="rnd">
              <a:solidFill>
                <a:schemeClr val="accent4"/>
              </a:solidFill>
              <a:round/>
            </a:ln>
            <a:effectLst/>
          </c:spPr>
          <c:marker>
            <c:symbol val="none"/>
          </c:marker>
          <c:cat>
            <c:strRef>
              <c:f>'Graph LK'!$B$62:$M$62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 LK'!$B$66:$M$66</c:f>
              <c:numCache>
                <c:formatCode>0.00%</c:formatCode>
                <c:ptCount val="12"/>
                <c:pt idx="0">
                  <c:v>2.2046764103978288E-2</c:v>
                </c:pt>
                <c:pt idx="1">
                  <c:v>1.7243193673987883E-2</c:v>
                </c:pt>
                <c:pt idx="2">
                  <c:v>2.2435999999999998E-2</c:v>
                </c:pt>
                <c:pt idx="3">
                  <c:v>9.8971660309950266E-3</c:v>
                </c:pt>
                <c:pt idx="4">
                  <c:v>8.2609999999999992E-3</c:v>
                </c:pt>
              </c:numCache>
            </c:numRef>
          </c:val>
          <c:smooth val="0"/>
          <c:extLst>
            <c:ext xmlns:c16="http://schemas.microsoft.com/office/drawing/2014/chart" uri="{C3380CC4-5D6E-409C-BE32-E72D297353CC}">
              <c16:uniqueId val="{00000000-25FE-4FC2-9B6F-C4534B04D6F2}"/>
            </c:ext>
          </c:extLst>
        </c:ser>
        <c:dLbls>
          <c:showLegendKey val="0"/>
          <c:showVal val="0"/>
          <c:showCatName val="0"/>
          <c:showSerName val="0"/>
          <c:showPercent val="0"/>
          <c:showBubbleSize val="0"/>
        </c:dLbls>
        <c:smooth val="0"/>
        <c:axId val="805345200"/>
        <c:axId val="805347280"/>
      </c:lineChart>
      <c:catAx>
        <c:axId val="80534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805347280"/>
        <c:crosses val="autoZero"/>
        <c:auto val="1"/>
        <c:lblAlgn val="ctr"/>
        <c:lblOffset val="100"/>
        <c:noMultiLvlLbl val="0"/>
      </c:catAx>
      <c:valAx>
        <c:axId val="805347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crossAx val="80534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ontserrat"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Indicative Average Daily Repayment per Active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85931776519058"/>
          <c:y val="0.16043731203381009"/>
          <c:w val="0.85624235953908467"/>
          <c:h val="0.57993026953380922"/>
        </c:manualLayout>
      </c:layout>
      <c:lineChart>
        <c:grouping val="standard"/>
        <c:varyColors val="0"/>
        <c:ser>
          <c:idx val="0"/>
          <c:order val="0"/>
          <c:tx>
            <c:strRef>
              <c:f>Graph!$A$5</c:f>
              <c:strCache>
                <c:ptCount val="1"/>
                <c:pt idx="0">
                  <c:v>2020</c:v>
                </c:pt>
              </c:strCache>
            </c:strRef>
          </c:tx>
          <c:spPr>
            <a:ln w="28575" cap="rnd">
              <a:solidFill>
                <a:schemeClr val="accent1"/>
              </a:solidFill>
              <a:round/>
            </a:ln>
            <a:effectLst/>
          </c:spPr>
          <c:marker>
            <c:symbol val="none"/>
          </c:marker>
          <c:cat>
            <c:strRef>
              <c:f>Graph!$B$4:$M$4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Graph!$B$5:$M$5</c:f>
              <c:numCache>
                <c:formatCode>0</c:formatCode>
                <c:ptCount val="12"/>
                <c:pt idx="0">
                  <c:v>146.86224331509308</c:v>
                </c:pt>
                <c:pt idx="1">
                  <c:v>143.10248764539114</c:v>
                </c:pt>
                <c:pt idx="2">
                  <c:v>152.00605056451786</c:v>
                </c:pt>
                <c:pt idx="3">
                  <c:v>139.07964863279136</c:v>
                </c:pt>
                <c:pt idx="4">
                  <c:v>137.58604764264689</c:v>
                </c:pt>
                <c:pt idx="5">
                  <c:v>139.50305279683388</c:v>
                </c:pt>
                <c:pt idx="6">
                  <c:v>142.37007268406876</c:v>
                </c:pt>
                <c:pt idx="7">
                  <c:v>140.16892076611282</c:v>
                </c:pt>
                <c:pt idx="8">
                  <c:v>143.77032725471798</c:v>
                </c:pt>
                <c:pt idx="9">
                  <c:v>146.36243688802071</c:v>
                </c:pt>
                <c:pt idx="10">
                  <c:v>146.6852124590001</c:v>
                </c:pt>
                <c:pt idx="11">
                  <c:v>175.91685888816426</c:v>
                </c:pt>
              </c:numCache>
            </c:numRef>
          </c:val>
          <c:smooth val="0"/>
          <c:extLst>
            <c:ext xmlns:c16="http://schemas.microsoft.com/office/drawing/2014/chart" uri="{C3380CC4-5D6E-409C-BE32-E72D297353CC}">
              <c16:uniqueId val="{00000000-23BC-4EF3-BABC-C8A6FC7D9EB3}"/>
            </c:ext>
          </c:extLst>
        </c:ser>
        <c:ser>
          <c:idx val="1"/>
          <c:order val="1"/>
          <c:tx>
            <c:strRef>
              <c:f>Graph!$A$6</c:f>
              <c:strCache>
                <c:ptCount val="1"/>
                <c:pt idx="0">
                  <c:v>2021</c:v>
                </c:pt>
              </c:strCache>
            </c:strRef>
          </c:tx>
          <c:spPr>
            <a:ln w="28575" cap="rnd">
              <a:solidFill>
                <a:schemeClr val="accent2"/>
              </a:solidFill>
              <a:round/>
            </a:ln>
            <a:effectLst/>
          </c:spPr>
          <c:marker>
            <c:symbol val="none"/>
          </c:marker>
          <c:cat>
            <c:strRef>
              <c:f>Graph!$B$4:$M$4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Graph!$B$6:$M$6</c:f>
              <c:numCache>
                <c:formatCode>0</c:formatCode>
                <c:ptCount val="12"/>
                <c:pt idx="0">
                  <c:v>167.67067909720237</c:v>
                </c:pt>
                <c:pt idx="1">
                  <c:v>185.56060197176868</c:v>
                </c:pt>
                <c:pt idx="2">
                  <c:v>183.45903239509414</c:v>
                </c:pt>
                <c:pt idx="3">
                  <c:v>169.89505017967483</c:v>
                </c:pt>
                <c:pt idx="4">
                  <c:v>167.26744753867226</c:v>
                </c:pt>
                <c:pt idx="5">
                  <c:v>166.28817350739635</c:v>
                </c:pt>
                <c:pt idx="6">
                  <c:v>165.45622084747265</c:v>
                </c:pt>
                <c:pt idx="7">
                  <c:v>163.92265453621818</c:v>
                </c:pt>
                <c:pt idx="8">
                  <c:v>170.98921270978391</c:v>
                </c:pt>
              </c:numCache>
            </c:numRef>
          </c:val>
          <c:smooth val="0"/>
          <c:extLst>
            <c:ext xmlns:c16="http://schemas.microsoft.com/office/drawing/2014/chart" uri="{C3380CC4-5D6E-409C-BE32-E72D297353CC}">
              <c16:uniqueId val="{00000001-23BC-4EF3-BABC-C8A6FC7D9EB3}"/>
            </c:ext>
          </c:extLst>
        </c:ser>
        <c:dLbls>
          <c:showLegendKey val="0"/>
          <c:showVal val="0"/>
          <c:showCatName val="0"/>
          <c:showSerName val="0"/>
          <c:showPercent val="0"/>
          <c:showBubbleSize val="0"/>
        </c:dLbls>
        <c:smooth val="0"/>
        <c:axId val="56746512"/>
        <c:axId val="56745680"/>
      </c:lineChart>
      <c:catAx>
        <c:axId val="567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45680"/>
        <c:crosses val="autoZero"/>
        <c:auto val="1"/>
        <c:lblAlgn val="ctr"/>
        <c:lblOffset val="100"/>
        <c:noMultiLvlLbl val="0"/>
      </c:catAx>
      <c:valAx>
        <c:axId val="56745680"/>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NGN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46512"/>
        <c:crosses val="autoZero"/>
        <c:crossBetween val="between"/>
      </c:valAx>
      <c:spPr>
        <a:noFill/>
        <a:ln>
          <a:noFill/>
        </a:ln>
        <a:effectLst/>
      </c:spPr>
    </c:plotArea>
    <c:legend>
      <c:legendPos val="b"/>
      <c:layout>
        <c:manualLayout>
          <c:xMode val="edge"/>
          <c:yMode val="edge"/>
          <c:x val="0.37253816523495548"/>
          <c:y val="0.8431505658171965"/>
          <c:w val="0.2806470943033964"/>
          <c:h val="8.45517511287296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Nigeria</a:t>
            </a:r>
            <a:r>
              <a:rPr lang="en-GB" baseline="0"/>
              <a:t> - Gross Monthly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Graph!$A$19</c:f>
              <c:strCache>
                <c:ptCount val="1"/>
                <c:pt idx="0">
                  <c:v>2020</c:v>
                </c:pt>
              </c:strCache>
            </c:strRef>
          </c:tx>
          <c:spPr>
            <a:ln w="28575" cap="rnd">
              <a:solidFill>
                <a:schemeClr val="accent1"/>
              </a:solidFill>
              <a:round/>
            </a:ln>
            <a:effectLst/>
          </c:spPr>
          <c:marker>
            <c:symbol val="none"/>
          </c:marker>
          <c:cat>
            <c:strRef>
              <c:f>Graph!$B$18:$M$18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Graph!$B$19:$M$19</c:f>
              <c:numCache>
                <c:formatCode>0</c:formatCode>
                <c:ptCount val="12"/>
                <c:pt idx="0">
                  <c:v>485.19171245535688</c:v>
                </c:pt>
                <c:pt idx="1">
                  <c:v>471.84356630587928</c:v>
                </c:pt>
                <c:pt idx="2">
                  <c:v>540.47207680808833</c:v>
                </c:pt>
                <c:pt idx="3">
                  <c:v>445.88227698171295</c:v>
                </c:pt>
                <c:pt idx="4">
                  <c:v>453.31794187115389</c:v>
                </c:pt>
                <c:pt idx="5">
                  <c:v>470.93514690608754</c:v>
                </c:pt>
                <c:pt idx="6">
                  <c:v>502.75084444563487</c:v>
                </c:pt>
                <c:pt idx="7">
                  <c:v>480.414149353011</c:v>
                </c:pt>
                <c:pt idx="8">
                  <c:v>488.06192260461654</c:v>
                </c:pt>
                <c:pt idx="9">
                  <c:v>531.76424606331352</c:v>
                </c:pt>
                <c:pt idx="10">
                  <c:v>538.65294491559246</c:v>
                </c:pt>
                <c:pt idx="11">
                  <c:v>694.34210916720576</c:v>
                </c:pt>
              </c:numCache>
            </c:numRef>
          </c:val>
          <c:smooth val="0"/>
          <c:extLst>
            <c:ext xmlns:c16="http://schemas.microsoft.com/office/drawing/2014/chart" uri="{C3380CC4-5D6E-409C-BE32-E72D297353CC}">
              <c16:uniqueId val="{00000000-C74D-4059-B1EB-182091EB0DE9}"/>
            </c:ext>
          </c:extLst>
        </c:ser>
        <c:ser>
          <c:idx val="1"/>
          <c:order val="1"/>
          <c:tx>
            <c:strRef>
              <c:f>Graph!$A$20</c:f>
              <c:strCache>
                <c:ptCount val="1"/>
                <c:pt idx="0">
                  <c:v>2021</c:v>
                </c:pt>
              </c:strCache>
            </c:strRef>
          </c:tx>
          <c:spPr>
            <a:ln w="28575" cap="rnd">
              <a:solidFill>
                <a:schemeClr val="accent2"/>
              </a:solidFill>
              <a:round/>
            </a:ln>
            <a:effectLst/>
          </c:spPr>
          <c:marker>
            <c:symbol val="none"/>
          </c:marker>
          <c:cat>
            <c:strRef>
              <c:f>Graph!$B$18:$M$18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Graph!$B$20:$M$20</c:f>
              <c:numCache>
                <c:formatCode>0</c:formatCode>
                <c:ptCount val="12"/>
                <c:pt idx="0">
                  <c:v>623.80098099999998</c:v>
                </c:pt>
                <c:pt idx="1">
                  <c:v>633.41875000000005</c:v>
                </c:pt>
                <c:pt idx="2">
                  <c:v>684.76355000000001</c:v>
                </c:pt>
                <c:pt idx="3">
                  <c:v>575.19055000000003</c:v>
                </c:pt>
                <c:pt idx="4">
                  <c:v>567.75689999999997</c:v>
                </c:pt>
                <c:pt idx="5">
                  <c:v>537.44140000000004</c:v>
                </c:pt>
                <c:pt idx="6">
                  <c:v>540.02890000000002</c:v>
                </c:pt>
                <c:pt idx="7">
                  <c:v>535.95737999999994</c:v>
                </c:pt>
                <c:pt idx="8">
                  <c:v>539.49739999999997</c:v>
                </c:pt>
              </c:numCache>
            </c:numRef>
          </c:val>
          <c:smooth val="0"/>
          <c:extLst>
            <c:ext xmlns:c16="http://schemas.microsoft.com/office/drawing/2014/chart" uri="{C3380CC4-5D6E-409C-BE32-E72D297353CC}">
              <c16:uniqueId val="{00000001-C74D-4059-B1EB-182091EB0DE9}"/>
            </c:ext>
          </c:extLst>
        </c:ser>
        <c:dLbls>
          <c:showLegendKey val="0"/>
          <c:showVal val="0"/>
          <c:showCatName val="0"/>
          <c:showSerName val="0"/>
          <c:showPercent val="0"/>
          <c:showBubbleSize val="0"/>
        </c:dLbls>
        <c:smooth val="0"/>
        <c:axId val="380239216"/>
        <c:axId val="380240048"/>
      </c:lineChart>
      <c:catAx>
        <c:axId val="38023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40048"/>
        <c:crosses val="autoZero"/>
        <c:auto val="1"/>
        <c:lblAlgn val="ctr"/>
        <c:lblOffset val="100"/>
        <c:noMultiLvlLbl val="0"/>
      </c:catAx>
      <c:valAx>
        <c:axId val="380240048"/>
        <c:scaling>
          <c:orientation val="minMax"/>
          <c:min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NGN</a:t>
                </a:r>
                <a:r>
                  <a:rPr lang="en-GB" baseline="0"/>
                  <a:t> '000,000</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3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26</xdr:col>
      <xdr:colOff>520453</xdr:colOff>
      <xdr:row>0</xdr:row>
      <xdr:rowOff>64213</xdr:rowOff>
    </xdr:from>
    <xdr:to>
      <xdr:col>34</xdr:col>
      <xdr:colOff>64216</xdr:colOff>
      <xdr:row>19</xdr:row>
      <xdr:rowOff>149831</xdr:rowOff>
    </xdr:to>
    <xdr:graphicFrame macro="">
      <xdr:nvGraphicFramePr>
        <xdr:cNvPr id="2" name="Chart 1">
          <a:extLst>
            <a:ext uri="{FF2B5EF4-FFF2-40B4-BE49-F238E27FC236}">
              <a16:creationId xmlns:a16="http://schemas.microsoft.com/office/drawing/2014/main" id="{A2C7A94F-E807-4E77-899D-EADDA9D76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187325</xdr:colOff>
      <xdr:row>0</xdr:row>
      <xdr:rowOff>47625</xdr:rowOff>
    </xdr:from>
    <xdr:to>
      <xdr:col>26</xdr:col>
      <xdr:colOff>313933</xdr:colOff>
      <xdr:row>19</xdr:row>
      <xdr:rowOff>142696</xdr:rowOff>
    </xdr:to>
    <xdr:graphicFrame macro="">
      <xdr:nvGraphicFramePr>
        <xdr:cNvPr id="3" name="Chart 2">
          <a:extLst>
            <a:ext uri="{FF2B5EF4-FFF2-40B4-BE49-F238E27FC236}">
              <a16:creationId xmlns:a16="http://schemas.microsoft.com/office/drawing/2014/main" id="{7988CF47-6F89-48DD-A2D9-BC454CCFF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449495</xdr:colOff>
      <xdr:row>20</xdr:row>
      <xdr:rowOff>78518</xdr:rowOff>
    </xdr:from>
    <xdr:to>
      <xdr:col>34</xdr:col>
      <xdr:colOff>99888</xdr:colOff>
      <xdr:row>42</xdr:row>
      <xdr:rowOff>92753</xdr:rowOff>
    </xdr:to>
    <xdr:graphicFrame macro="">
      <xdr:nvGraphicFramePr>
        <xdr:cNvPr id="4" name="Chart 3">
          <a:extLst>
            <a:ext uri="{FF2B5EF4-FFF2-40B4-BE49-F238E27FC236}">
              <a16:creationId xmlns:a16="http://schemas.microsoft.com/office/drawing/2014/main" id="{DDECD576-B4F4-48AE-B461-B82F18763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175444</xdr:colOff>
      <xdr:row>21</xdr:row>
      <xdr:rowOff>6351</xdr:rowOff>
    </xdr:from>
    <xdr:to>
      <xdr:col>26</xdr:col>
      <xdr:colOff>285393</xdr:colOff>
      <xdr:row>42</xdr:row>
      <xdr:rowOff>85619</xdr:rowOff>
    </xdr:to>
    <xdr:graphicFrame macro="">
      <xdr:nvGraphicFramePr>
        <xdr:cNvPr id="5" name="Chart 4">
          <a:extLst>
            <a:ext uri="{FF2B5EF4-FFF2-40B4-BE49-F238E27FC236}">
              <a16:creationId xmlns:a16="http://schemas.microsoft.com/office/drawing/2014/main" id="{FE8B3C25-DCEE-4C3B-A831-B42899DC7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243155</xdr:colOff>
      <xdr:row>20</xdr:row>
      <xdr:rowOff>80875</xdr:rowOff>
    </xdr:from>
    <xdr:to>
      <xdr:col>41</xdr:col>
      <xdr:colOff>544816</xdr:colOff>
      <xdr:row>42</xdr:row>
      <xdr:rowOff>92752</xdr:rowOff>
    </xdr:to>
    <xdr:graphicFrame macro="">
      <xdr:nvGraphicFramePr>
        <xdr:cNvPr id="6" name="Chart 5">
          <a:extLst>
            <a:ext uri="{FF2B5EF4-FFF2-40B4-BE49-F238E27FC236}">
              <a16:creationId xmlns:a16="http://schemas.microsoft.com/office/drawing/2014/main" id="{31E1AAB0-C24C-431A-AE4B-BAA4B93EC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212725</xdr:colOff>
      <xdr:row>0</xdr:row>
      <xdr:rowOff>57080</xdr:rowOff>
    </xdr:from>
    <xdr:to>
      <xdr:col>41</xdr:col>
      <xdr:colOff>499438</xdr:colOff>
      <xdr:row>19</xdr:row>
      <xdr:rowOff>128428</xdr:rowOff>
    </xdr:to>
    <xdr:graphicFrame macro="">
      <xdr:nvGraphicFramePr>
        <xdr:cNvPr id="7" name="Chart 6">
          <a:extLst>
            <a:ext uri="{FF2B5EF4-FFF2-40B4-BE49-F238E27FC236}">
              <a16:creationId xmlns:a16="http://schemas.microsoft.com/office/drawing/2014/main" id="{B843C7DF-A099-49ED-AFFB-DFF6D7BB6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312912</xdr:colOff>
      <xdr:row>0</xdr:row>
      <xdr:rowOff>98780</xdr:rowOff>
    </xdr:from>
    <xdr:to>
      <xdr:col>21</xdr:col>
      <xdr:colOff>10935</xdr:colOff>
      <xdr:row>14</xdr:row>
      <xdr:rowOff>77613</xdr:rowOff>
    </xdr:to>
    <xdr:graphicFrame macro="">
      <xdr:nvGraphicFramePr>
        <xdr:cNvPr id="4" name="Chart 3">
          <a:extLst>
            <a:ext uri="{FF2B5EF4-FFF2-40B4-BE49-F238E27FC236}">
              <a16:creationId xmlns:a16="http://schemas.microsoft.com/office/drawing/2014/main" id="{F3BAC13B-8D50-4AD8-A17E-ED63242FA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281781</xdr:colOff>
      <xdr:row>16</xdr:row>
      <xdr:rowOff>112713</xdr:rowOff>
    </xdr:from>
    <xdr:to>
      <xdr:col>22</xdr:col>
      <xdr:colOff>575469</xdr:colOff>
      <xdr:row>31</xdr:row>
      <xdr:rowOff>117475</xdr:rowOff>
    </xdr:to>
    <xdr:graphicFrame macro="">
      <xdr:nvGraphicFramePr>
        <xdr:cNvPr id="5" name="Chart 4">
          <a:extLst>
            <a:ext uri="{FF2B5EF4-FFF2-40B4-BE49-F238E27FC236}">
              <a16:creationId xmlns:a16="http://schemas.microsoft.com/office/drawing/2014/main" id="{F44C86D2-F458-4F43-9E6A-A44D42D0B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etayo.odebo/Desktop/Nominal%20Ledger_rEVENU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tayo Odebo" refreshedDate="44483.462546643517" createdVersion="7" refreshedVersion="7" minRefreshableVersion="3" recordCount="1431" xr:uid="{49C214F9-80A2-4486-B857-5C48521F5032}">
  <cacheSource type="worksheet">
    <worksheetSource ref="A1:P1432" sheet="Sheet1" r:id="rId2"/>
  </cacheSource>
  <cacheFields count="16">
    <cacheField name="Account No." numFmtId="0">
      <sharedItems/>
    </cacheField>
    <cacheField name="Description" numFmtId="0">
      <sharedItems count="4">
        <s v="Income MTN Sales Usage only"/>
        <s v="Income NON MTN Sales Usage"/>
        <s v="Income MTN set up fee only"/>
        <s v="Income NON MTN Joining fees"/>
      </sharedItems>
    </cacheField>
    <cacheField name="Opening Bal" numFmtId="0">
      <sharedItems containsSemiMixedTypes="0" containsString="0" containsNumber="1" containsInteger="1" minValue="0" maxValue="0"/>
    </cacheField>
    <cacheField name="Transaction Date" numFmtId="14">
      <sharedItems containsDate="1" containsMixedTypes="1" minDate="2020-01-02T00:00:00" maxDate="2020-12-13T00:00:00"/>
    </cacheField>
    <cacheField name="Due Date" numFmtId="0">
      <sharedItems containsDate="1" containsMixedTypes="1" minDate="2020-01-03T00:00:00" maxDate="1900-01-06T05:50:04"/>
    </cacheField>
    <cacheField name="Refer. 1" numFmtId="0">
      <sharedItems containsBlank="1"/>
    </cacheField>
    <cacheField name="Refer. 2" numFmtId="0">
      <sharedItems containsBlank="1"/>
    </cacheField>
    <cacheField name="Details" numFmtId="0">
      <sharedItems/>
    </cacheField>
    <cacheField name="Contra Account" numFmtId="0">
      <sharedItems/>
    </cacheField>
    <cacheField name="Journal Entry No." numFmtId="0">
      <sharedItems/>
    </cacheField>
    <cacheField name="Entry Code" numFmtId="0">
      <sharedItems/>
    </cacheField>
    <cacheField name="Debit" numFmtId="0">
      <sharedItems containsSemiMixedTypes="0" containsString="0" containsNumber="1" minValue="-10893488.369999999" maxValue="18477033.68"/>
    </cacheField>
    <cacheField name="Credit" numFmtId="0">
      <sharedItems containsSemiMixedTypes="0" containsString="0" containsNumber="1" minValue="-1918837.27" maxValue="375012147.5"/>
    </cacheField>
    <cacheField name="Net" numFmtId="43">
      <sharedItems containsSemiMixedTypes="0" containsString="0" containsNumber="1" minValue="-18477033.68" maxValue="375012147.5"/>
    </cacheField>
    <cacheField name="Curr" numFmtId="0">
      <sharedItems/>
    </cacheField>
    <cacheField name="MONTH" numFmtId="1">
      <sharedItems containsSemiMixedTypes="0" containsDate="1" containsString="0" containsMixedTypes="1" minDate="1899-12-31T04:01:03" maxDate="1900-01-12T00:00:00" count="26">
        <n v="1"/>
        <n v="2"/>
        <n v="3"/>
        <n v="4"/>
        <n v="5"/>
        <n v="6"/>
        <n v="7"/>
        <n v="8"/>
        <n v="9"/>
        <n v="10"/>
        <n v="11"/>
        <n v="12"/>
        <d v="1900-01-07T00:00:00" u="1"/>
        <d v="1899-12-31T00:00:00" u="1"/>
        <d v="1900-01-05T00:00:00" u="1"/>
        <n v="99" u="1"/>
        <d v="1900-01-10T00:00:00" u="1"/>
        <d v="1900-01-03T00:00:00" u="1"/>
        <d v="1900-01-08T00:00:00" u="1"/>
        <d v="1900-01-01T00:00:00" u="1"/>
        <d v="1900-01-06T00:00:00" u="1"/>
        <d v="1899-12-30T00:00:00" u="1"/>
        <d v="1900-01-11T00:00:00" u="1"/>
        <d v="1900-01-04T00:00:00" u="1"/>
        <d v="1900-01-09T00:00:00" u="1"/>
        <d v="1900-01-02T00:00:0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1">
  <r>
    <s v="400-01"/>
    <x v="0"/>
    <n v="0"/>
    <s v="31/01/20"/>
    <d v="2020-01-03T00:00:00"/>
    <s v="SI206N00408"/>
    <m/>
    <s v="VAS SUBSCRIPTION JAN2020"/>
    <s v="120001"/>
    <s v="20001468"/>
    <s v="MSH"/>
    <n v="0"/>
    <n v="291395779.05000001"/>
    <n v="291395779.05000001"/>
    <s v="NG"/>
    <x v="0"/>
  </r>
  <r>
    <s v="400-01"/>
    <x v="0"/>
    <n v="0"/>
    <s v="29/02/20"/>
    <s v="29/02/20"/>
    <s v="SI206N01094"/>
    <m/>
    <s v="VAS FOR FEB 2020"/>
    <s v="120001"/>
    <s v="20004795"/>
    <s v="MSH"/>
    <n v="0"/>
    <n v="263261742.75999999"/>
    <n v="263261742.75999999"/>
    <s v="NG"/>
    <x v="1"/>
  </r>
  <r>
    <s v="400-01"/>
    <x v="0"/>
    <n v="0"/>
    <s v="31/03/20"/>
    <s v="30/04/20"/>
    <s v="SI206N01095"/>
    <m/>
    <s v="MTN VAS FOR MARCH 2020"/>
    <s v="120001"/>
    <s v="20004796"/>
    <s v="MSH"/>
    <n v="0"/>
    <n v="295392023.93000001"/>
    <n v="295392023.93000001"/>
    <s v="NG"/>
    <x v="2"/>
  </r>
  <r>
    <s v="400-01"/>
    <x v="0"/>
    <n v="0"/>
    <s v="30/04/20"/>
    <s v="30/04/20"/>
    <s v="SI206N01648"/>
    <m/>
    <s v="VAS FO APRIL 2020"/>
    <s v="120001"/>
    <s v="20007168"/>
    <s v="MSH"/>
    <n v="0"/>
    <n v="259874668.47"/>
    <n v="259874668.47"/>
    <s v="NG"/>
    <x v="3"/>
  </r>
  <r>
    <s v="400-01"/>
    <x v="0"/>
    <n v="0"/>
    <s v="20/05/20"/>
    <s v="19/06/20"/>
    <s v="CR207N00008"/>
    <m/>
    <s v="CREDIT NOTE MAR 2020 VAS"/>
    <s v="120001"/>
    <s v="20006957"/>
    <s v="CRD"/>
    <n v="3190008.25"/>
    <n v="0"/>
    <n v="-3190008.25"/>
    <s v="NG"/>
    <x v="4"/>
  </r>
  <r>
    <s v="400-01"/>
    <x v="0"/>
    <n v="0"/>
    <s v="31/05/20"/>
    <s v="30/06/20"/>
    <s v="SI206N01807"/>
    <m/>
    <s v="VAS MAY 2020"/>
    <s v="120001"/>
    <s v="20007919"/>
    <s v="MSH"/>
    <n v="0"/>
    <n v="269143306.02999997"/>
    <n v="269143306.02999997"/>
    <s v="NG"/>
    <x v="4"/>
  </r>
  <r>
    <s v="400-01"/>
    <x v="0"/>
    <n v="0"/>
    <s v="30/06/20"/>
    <s v="30/06/20"/>
    <s v="SI206N02155"/>
    <m/>
    <s v="VAS FOR JUNE 2020"/>
    <s v="120001"/>
    <s v="20009473"/>
    <s v="MSH"/>
    <n v="0"/>
    <n v="259449991.66"/>
    <n v="259449991.66"/>
    <s v="NG"/>
    <x v="5"/>
  </r>
  <r>
    <s v="400-01"/>
    <x v="0"/>
    <n v="0"/>
    <s v="31/07/20"/>
    <s v="31/07/20"/>
    <s v="SI206N02553"/>
    <m/>
    <s v="JULY VAS SUBSCRIPTION"/>
    <s v="120001"/>
    <s v="20011578"/>
    <s v="MSH"/>
    <n v="0"/>
    <n v="272045764.99000001"/>
    <n v="272045764.99000001"/>
    <s v="NG"/>
    <x v="6"/>
  </r>
  <r>
    <s v="400-01"/>
    <x v="0"/>
    <n v="0"/>
    <s v="31/08/20"/>
    <s v="31/08/20"/>
    <s v="SI206N03047"/>
    <m/>
    <s v="VAS FOR AUGUST 2020"/>
    <s v="120001"/>
    <s v="20013435"/>
    <s v="MSH"/>
    <n v="0"/>
    <n v="270160361.70999998"/>
    <n v="270160361.70999998"/>
    <s v="NG"/>
    <x v="7"/>
  </r>
  <r>
    <s v="400-01"/>
    <x v="0"/>
    <n v="0"/>
    <s v="30/09/20"/>
    <s v="30/09/20"/>
    <s v="SI206N03627"/>
    <m/>
    <s v="VAS FOR SEPT 2020"/>
    <s v="120001"/>
    <s v="20015459"/>
    <s v="MSH"/>
    <n v="0"/>
    <n v="277351247.23000002"/>
    <n v="277351247.23000002"/>
    <s v="NG"/>
    <x v="8"/>
  </r>
  <r>
    <s v="400-01"/>
    <x v="0"/>
    <n v="0"/>
    <s v="31/10/20"/>
    <s v="30/11/20"/>
    <s v="SI206N04083"/>
    <m/>
    <s v="VAS OCTOBER 2020"/>
    <s v="120001"/>
    <s v="20017386"/>
    <s v="MSH"/>
    <n v="0"/>
    <n v="294999638.83999997"/>
    <n v="294999638.83999997"/>
    <s v="NG"/>
    <x v="9"/>
  </r>
  <r>
    <s v="400-01"/>
    <x v="0"/>
    <n v="0"/>
    <s v="30/11/20"/>
    <s v="30/11/20"/>
    <s v="SI206N04814"/>
    <m/>
    <s v="VAS  FOR NOVEMBER 20"/>
    <s v="120001"/>
    <s v="20020308"/>
    <s v="MSH"/>
    <n v="0"/>
    <n v="291340506.26999998"/>
    <n v="291340506.26999998"/>
    <s v="NG"/>
    <x v="10"/>
  </r>
  <r>
    <s v="400-01"/>
    <x v="0"/>
    <n v="0"/>
    <s v="31/12/20"/>
    <s v="30/01/21"/>
    <s v="SI206N05508"/>
    <m/>
    <s v="ADDITIONAL VAS AUG 2020"/>
    <s v="120001"/>
    <s v="20022832"/>
    <s v="MSH"/>
    <n v="0"/>
    <n v="3989544.19"/>
    <n v="3989544.19"/>
    <s v="NG"/>
    <x v="11"/>
  </r>
  <r>
    <s v="400-01"/>
    <x v="0"/>
    <n v="0"/>
    <s v="31/12/20"/>
    <s v="30/01/21"/>
    <s v="SI206N05517"/>
    <m/>
    <s v="VAS DEC 2020"/>
    <s v="120001"/>
    <s v="20022861"/>
    <s v="MSH"/>
    <n v="0"/>
    <n v="375012147.5"/>
    <n v="375012147.5"/>
    <s v="NG"/>
    <x v="11"/>
  </r>
  <r>
    <s v="400-04"/>
    <x v="1"/>
    <n v="0"/>
    <s v="31/01/20"/>
    <s v="31/01/20"/>
    <s v="SI206N00353"/>
    <m/>
    <s v="SETUP FEE &amp;USAGE GTB JAN"/>
    <s v="120006"/>
    <s v="20001313"/>
    <s v="MSH"/>
    <n v="0"/>
    <n v="582952.30000000005"/>
    <n v="582952.30000000005"/>
    <s v="NG"/>
    <x v="0"/>
  </r>
  <r>
    <s v="400-04"/>
    <x v="1"/>
    <n v="0"/>
    <s v="31/01/20"/>
    <s v="31/01/20"/>
    <s v="SI206N00354"/>
    <m/>
    <s v="Reversal of 20001313"/>
    <s v="120006"/>
    <s v="20001314"/>
    <s v="MSH"/>
    <n v="0"/>
    <n v="-582952.30000000005"/>
    <n v="-582952.30000000005"/>
    <s v="NG"/>
    <x v="0"/>
  </r>
  <r>
    <s v="400-04"/>
    <x v="1"/>
    <n v="0"/>
    <s v="31/01/20"/>
    <s v="31/01/20"/>
    <s v="SI206N00377"/>
    <m/>
    <s v="SETUP FEE &amp;USAGE GTB JAN"/>
    <s v="120006"/>
    <s v="20001337"/>
    <s v="MSH"/>
    <n v="0"/>
    <n v="582952.36"/>
    <n v="582952.36"/>
    <s v="NG"/>
    <x v="0"/>
  </r>
  <r>
    <s v="400-04"/>
    <x v="1"/>
    <n v="0"/>
    <s v="31/01/20"/>
    <s v="31/01/20"/>
    <s v="SI206N00385"/>
    <m/>
    <s v="SETUP FEE&amp; USAGE ZENI"/>
    <s v="120006"/>
    <s v="20001359"/>
    <s v="MSH"/>
    <n v="0"/>
    <n v="448666.67"/>
    <n v="448666.67"/>
    <s v="NG"/>
    <x v="0"/>
  </r>
  <r>
    <s v="400-04"/>
    <x v="1"/>
    <n v="0"/>
    <s v="31/01/20"/>
    <s v="31/01/20"/>
    <s v="SI206N00394"/>
    <m/>
    <s v="2 MTHS SUBS PRIME"/>
    <s v="120006"/>
    <s v="20001394"/>
    <s v="MSH"/>
    <n v="0"/>
    <n v="11333.33"/>
    <n v="11333.33"/>
    <s v="NG"/>
    <x v="0"/>
  </r>
  <r>
    <s v="400-04"/>
    <x v="1"/>
    <n v="0"/>
    <s v="31/01/20"/>
    <s v="31/01/20"/>
    <s v="SI206N00398"/>
    <m/>
    <s v="1 PRIME 1 ECO USAGE"/>
    <s v="120006"/>
    <s v="20001403"/>
    <s v="MSH"/>
    <n v="0"/>
    <n v="9904.76"/>
    <n v="9904.76"/>
    <s v="NG"/>
    <x v="0"/>
  </r>
  <r>
    <s v="400-04"/>
    <x v="1"/>
    <n v="0"/>
    <s v="31/01/20"/>
    <s v="31/01/20"/>
    <s v="SI206N00404"/>
    <m/>
    <s v="USAGE ECO"/>
    <s v="120006"/>
    <s v="20001416"/>
    <s v="MSH"/>
    <n v="0"/>
    <n v="4238.09"/>
    <n v="4238.09"/>
    <s v="NG"/>
    <x v="0"/>
  </r>
  <r>
    <s v="400-04"/>
    <x v="1"/>
    <n v="0"/>
    <s v="29/02/20"/>
    <s v="29/02/20"/>
    <s v="SI206N00743"/>
    <m/>
    <s v="SETUP FEE&amp; USAGE GTB"/>
    <s v="120006"/>
    <s v="20002643"/>
    <s v="MSH"/>
    <n v="0"/>
    <n v="692476.24"/>
    <n v="692476.24"/>
    <s v="NG"/>
    <x v="1"/>
  </r>
  <r>
    <s v="400-04"/>
    <x v="1"/>
    <n v="0"/>
    <s v="29/02/20"/>
    <s v="29/02/20"/>
    <s v="SI206N00744"/>
    <m/>
    <s v="SETUP FEE&amp; USAGE ZENITH"/>
    <s v="120006"/>
    <s v="20002644"/>
    <s v="MSH"/>
    <n v="0"/>
    <n v="685476.2"/>
    <n v="685476.2"/>
    <s v="NG"/>
    <x v="1"/>
  </r>
  <r>
    <s v="400-04"/>
    <x v="1"/>
    <n v="0"/>
    <s v="29/02/20"/>
    <s v="29/02/20"/>
    <s v="SI206N00745"/>
    <m/>
    <s v="1 USAGE ECO"/>
    <s v="120006"/>
    <s v="20002648"/>
    <s v="MSH"/>
    <n v="0"/>
    <n v="4238.09"/>
    <n v="4238.09"/>
    <s v="NG"/>
    <x v="1"/>
  </r>
  <r>
    <s v="400-04"/>
    <x v="1"/>
    <n v="0"/>
    <s v="29/02/20"/>
    <s v="29/02/20"/>
    <s v="SI206N00767"/>
    <m/>
    <s v="4 USAGE FEE"/>
    <s v="120006"/>
    <s v="20002863"/>
    <s v="MSH"/>
    <n v="0"/>
    <n v="22666.67"/>
    <n v="22666.67"/>
    <s v="NG"/>
    <x v="1"/>
  </r>
  <r>
    <s v="400-04"/>
    <x v="1"/>
    <n v="0"/>
    <s v="29/02/20"/>
    <s v="29/02/20"/>
    <s v="SI206N00785"/>
    <m/>
    <s v="Reversal of 20002643"/>
    <s v="120006"/>
    <s v="20002995"/>
    <s v="MSH"/>
    <n v="0"/>
    <n v="-692476.24"/>
    <n v="-692476.24"/>
    <s v="NG"/>
    <x v="1"/>
  </r>
  <r>
    <s v="400-04"/>
    <x v="1"/>
    <n v="0"/>
    <s v="29/02/20"/>
    <s v="29/02/20"/>
    <m/>
    <m/>
    <s v="USAGE OUTPUT VAT ADJ"/>
    <s v="205-1"/>
    <s v="20002996"/>
    <s v="M"/>
    <n v="626"/>
    <n v="0"/>
    <n v="-626"/>
    <s v="NG"/>
    <x v="1"/>
  </r>
  <r>
    <s v="400-04"/>
    <x v="1"/>
    <n v="0"/>
    <s v="29/02/20"/>
    <s v="29/02/20"/>
    <s v="SI206N00786"/>
    <m/>
    <s v="SETUP FEE&amp; USAGE GTB"/>
    <s v="120006"/>
    <s v="20002997"/>
    <s v="MSH"/>
    <n v="0"/>
    <n v="676372.15"/>
    <n v="676372.15"/>
    <s v="NG"/>
    <x v="1"/>
  </r>
  <r>
    <s v="400-04"/>
    <x v="1"/>
    <n v="0"/>
    <s v="29/02/20"/>
    <s v="29/02/20"/>
    <s v="SI206N00787"/>
    <m/>
    <s v="Reversal of 20002644"/>
    <s v="120006"/>
    <s v="20002998"/>
    <s v="MSH"/>
    <n v="0"/>
    <n v="-685476.2"/>
    <n v="-685476.2"/>
    <s v="NG"/>
    <x v="1"/>
  </r>
  <r>
    <s v="400-04"/>
    <x v="1"/>
    <n v="0"/>
    <s v="29/02/20"/>
    <s v="29/02/20"/>
    <s v="SI206N00788"/>
    <m/>
    <s v="SETUP FEE&amp; USAGE ZENITH"/>
    <s v="120006"/>
    <s v="20002999"/>
    <s v="MSH"/>
    <n v="0"/>
    <n v="669534.92000000004"/>
    <n v="669534.92000000004"/>
    <s v="NG"/>
    <x v="1"/>
  </r>
  <r>
    <s v="400-04"/>
    <x v="1"/>
    <n v="0"/>
    <s v="29/02/20"/>
    <s v="29/02/20"/>
    <s v="SI206N00818"/>
    <m/>
    <s v="1 PRIME"/>
    <s v="100008"/>
    <s v="20003094"/>
    <s v="MSH"/>
    <n v="0"/>
    <n v="200000"/>
    <n v="200000"/>
    <s v="NG"/>
    <x v="1"/>
  </r>
  <r>
    <s v="400-04"/>
    <x v="1"/>
    <n v="0"/>
    <s v="29/02/20"/>
    <s v="29/02/20"/>
    <s v="SI206N00819"/>
    <m/>
    <s v="1 PRIME"/>
    <s v="100008"/>
    <s v="20003096"/>
    <s v="MSH"/>
    <n v="0"/>
    <n v="200000"/>
    <n v="200000"/>
    <s v="NG"/>
    <x v="1"/>
  </r>
  <r>
    <s v="400-04"/>
    <x v="1"/>
    <n v="0"/>
    <s v="29/02/20"/>
    <s v="29/02/20"/>
    <s v="SI206N00823"/>
    <m/>
    <s v="1 PRIME SYS"/>
    <s v="120099"/>
    <s v="20003113"/>
    <s v="MSH"/>
    <n v="0"/>
    <n v="5534.88"/>
    <n v="5534.88"/>
    <s v="NG"/>
    <x v="1"/>
  </r>
  <r>
    <s v="400-04"/>
    <x v="1"/>
    <n v="0"/>
    <s v="16/03/20"/>
    <s v="16/03/20"/>
    <s v="SI206N00932"/>
    <m/>
    <s v="OUTRIGHT SALES 1 PRIME"/>
    <s v="120098"/>
    <s v="20003580"/>
    <s v="MSH"/>
    <n v="0"/>
    <n v="200000"/>
    <n v="200000"/>
    <s v="NG"/>
    <x v="2"/>
  </r>
  <r>
    <s v="400-04"/>
    <x v="1"/>
    <n v="0"/>
    <s v="16/03/20"/>
    <s v="16/03/20"/>
    <m/>
    <m/>
    <s v="OUTRIGHT SALES 1 PRIME"/>
    <s v="400-08"/>
    <s v="20004759"/>
    <s v="M"/>
    <n v="200000"/>
    <n v="0"/>
    <n v="-200000"/>
    <s v="NG"/>
    <x v="2"/>
  </r>
  <r>
    <s v="400-04"/>
    <x v="1"/>
    <n v="0"/>
    <s v="31/03/20"/>
    <s v="31/03/20"/>
    <s v="SI206N01028"/>
    <m/>
    <s v="SETUP FEE&amp; USAGE ZENITH"/>
    <s v="120006"/>
    <s v="20003944"/>
    <s v="MSH"/>
    <n v="0"/>
    <n v="625534.88"/>
    <n v="625534.88"/>
    <s v="NG"/>
    <x v="2"/>
  </r>
  <r>
    <s v="400-04"/>
    <x v="1"/>
    <n v="0"/>
    <s v="31/03/20"/>
    <s v="31/03/20"/>
    <s v="SI206N01029"/>
    <m/>
    <s v="SETUP FEE&amp; USAGE GTB"/>
    <s v="120006"/>
    <s v="20003945"/>
    <s v="MSH"/>
    <n v="0"/>
    <n v="1141999.94"/>
    <n v="1141999.94"/>
    <s v="NG"/>
    <x v="2"/>
  </r>
  <r>
    <s v="400-04"/>
    <x v="1"/>
    <n v="0"/>
    <s v="31/03/20"/>
    <s v="31/03/20"/>
    <s v="SI206N01039"/>
    <m/>
    <s v="4 MTHS PRIME SUB GTB"/>
    <s v="120006"/>
    <s v="20004020"/>
    <s v="MSH"/>
    <n v="0"/>
    <n v="20465.12"/>
    <n v="20465.12"/>
    <s v="NG"/>
    <x v="2"/>
  </r>
  <r>
    <s v="400-04"/>
    <x v="1"/>
    <n v="0"/>
    <s v="31/03/20"/>
    <s v="31/03/20"/>
    <s v="SI206N01040"/>
    <m/>
    <s v="1 PRIME SUB GTB"/>
    <s v="120006"/>
    <s v="20004027"/>
    <s v="MSH"/>
    <n v="0"/>
    <n v="5534.88"/>
    <n v="5534.88"/>
    <s v="NG"/>
    <x v="2"/>
  </r>
  <r>
    <s v="400-04"/>
    <x v="1"/>
    <n v="0"/>
    <s v="31/03/20"/>
    <s v="31/03/20"/>
    <s v="SI206N01041"/>
    <m/>
    <s v="1 MTH PRIME SUB GTB"/>
    <s v="120006"/>
    <s v="20004031"/>
    <s v="MSH"/>
    <n v="0"/>
    <n v="5534.88"/>
    <n v="5534.88"/>
    <s v="NG"/>
    <x v="2"/>
  </r>
  <r>
    <s v="400-04"/>
    <x v="1"/>
    <n v="0"/>
    <s v="31/03/20"/>
    <s v="31/03/20"/>
    <s v="SI206N01042"/>
    <m/>
    <s v="1 MTH PRIME SUB GTB"/>
    <s v="120006"/>
    <s v="20004034"/>
    <s v="MSH"/>
    <n v="0"/>
    <n v="5534.88"/>
    <n v="5534.88"/>
    <s v="NG"/>
    <x v="2"/>
  </r>
  <r>
    <s v="400-04"/>
    <x v="1"/>
    <n v="0"/>
    <s v="31/03/20"/>
    <s v="31/03/20"/>
    <s v="SI206N01043"/>
    <m/>
    <s v="1 MTH PRIME GTB"/>
    <s v="120006"/>
    <s v="20004043"/>
    <s v="MSH"/>
    <n v="0"/>
    <n v="5534.88"/>
    <n v="5534.88"/>
    <s v="NG"/>
    <x v="2"/>
  </r>
  <r>
    <s v="400-04"/>
    <x v="1"/>
    <n v="0"/>
    <s v="31/03/20"/>
    <s v="31/03/20"/>
    <s v="SI206N01044"/>
    <m/>
    <s v="1 MTH PRIME GTB"/>
    <s v="120006"/>
    <s v="20004045"/>
    <s v="MSH"/>
    <n v="0"/>
    <n v="5534.88"/>
    <n v="5534.88"/>
    <s v="NG"/>
    <x v="2"/>
  </r>
  <r>
    <s v="400-04"/>
    <x v="1"/>
    <n v="0"/>
    <s v="31/03/20"/>
    <s v="31/03/20"/>
    <s v="SI206N01045"/>
    <m/>
    <s v="1 MTH PRIME GTB"/>
    <s v="120006"/>
    <s v="20004048"/>
    <s v="MSH"/>
    <n v="0"/>
    <n v="5534.88"/>
    <n v="5534.88"/>
    <s v="NG"/>
    <x v="2"/>
  </r>
  <r>
    <s v="400-04"/>
    <x v="1"/>
    <n v="0"/>
    <s v="31/03/20"/>
    <s v="31/03/20"/>
    <s v="SI206N01046"/>
    <m/>
    <s v="1 MTH PRIME GTB"/>
    <s v="120006"/>
    <s v="20004052"/>
    <s v="MSH"/>
    <n v="0"/>
    <n v="5534.88"/>
    <n v="5534.88"/>
    <s v="NG"/>
    <x v="2"/>
  </r>
  <r>
    <s v="400-04"/>
    <x v="1"/>
    <n v="0"/>
    <s v="31/03/20"/>
    <s v="31/03/20"/>
    <s v="SI206N01047"/>
    <m/>
    <s v="3 MTH PRIME GTB"/>
    <s v="120006"/>
    <s v="20004055"/>
    <s v="MSH"/>
    <n v="0"/>
    <n v="14930.23"/>
    <n v="14930.23"/>
    <s v="NG"/>
    <x v="2"/>
  </r>
  <r>
    <s v="400-04"/>
    <x v="1"/>
    <n v="0"/>
    <s v="31/03/20"/>
    <s v="31/03/20"/>
    <s v="SI206N01048"/>
    <m/>
    <s v="1 MTH PRIME GTB"/>
    <s v="120006"/>
    <s v="20004060"/>
    <s v="MSH"/>
    <n v="0"/>
    <n v="5534.88"/>
    <n v="5534.88"/>
    <s v="NG"/>
    <x v="2"/>
  </r>
  <r>
    <s v="400-04"/>
    <x v="1"/>
    <n v="0"/>
    <s v="31/03/20"/>
    <s v="31/03/20"/>
    <s v="SI206N01083"/>
    <m/>
    <s v="1 MTH PRIME SUB GTB"/>
    <s v="120006"/>
    <s v="20004176"/>
    <s v="MSH"/>
    <n v="0"/>
    <n v="5534.88"/>
    <n v="5534.88"/>
    <s v="NG"/>
    <x v="2"/>
  </r>
  <r>
    <s v="400-04"/>
    <x v="1"/>
    <n v="0"/>
    <s v="31/03/20"/>
    <s v="31/03/20"/>
    <s v="SI206N01084"/>
    <m/>
    <s v="PRIME GTB"/>
    <s v="120006"/>
    <s v="20004183"/>
    <s v="MSH"/>
    <n v="0"/>
    <n v="20465.12"/>
    <n v="20465.12"/>
    <s v="NG"/>
    <x v="2"/>
  </r>
  <r>
    <s v="400-04"/>
    <x v="1"/>
    <n v="0"/>
    <s v="31/03/20"/>
    <s v="31/03/20"/>
    <s v="SI206N01088"/>
    <m/>
    <s v="1 PRIME GTB"/>
    <s v="120006"/>
    <s v="20004379"/>
    <s v="MSH"/>
    <n v="0"/>
    <n v="5534.88"/>
    <n v="5534.88"/>
    <s v="NG"/>
    <x v="2"/>
  </r>
  <r>
    <s v="400-04"/>
    <x v="1"/>
    <n v="0"/>
    <s v="31/03/20"/>
    <s v="31/03/20"/>
    <s v="SI206N01089"/>
    <m/>
    <s v="SETUP &amp; USAGE GTB"/>
    <s v="120006"/>
    <s v="20004384"/>
    <s v="MSH"/>
    <n v="0"/>
    <n v="5534.88"/>
    <n v="5534.88"/>
    <s v="NG"/>
    <x v="2"/>
  </r>
  <r>
    <s v="400-04"/>
    <x v="1"/>
    <n v="0"/>
    <s v="31/03/20"/>
    <s v="31/03/20"/>
    <s v="SI206N01090"/>
    <m/>
    <s v="1 ECO NIBSS GTB"/>
    <s v="120006"/>
    <s v="20004544"/>
    <s v="MSH"/>
    <n v="0"/>
    <n v="4139.54"/>
    <n v="4139.54"/>
    <s v="NG"/>
    <x v="2"/>
  </r>
  <r>
    <s v="400-04"/>
    <x v="1"/>
    <n v="0"/>
    <s v="14/04/20"/>
    <s v="14/04/20"/>
    <s v="SI206N01098"/>
    <m/>
    <s v="PRIME &amp; ECO GTB"/>
    <s v="120006"/>
    <s v="20004804"/>
    <s v="MSH"/>
    <n v="0"/>
    <n v="483674.48"/>
    <n v="483674.48"/>
    <s v="NG"/>
    <x v="3"/>
  </r>
  <r>
    <s v="400-04"/>
    <x v="1"/>
    <n v="0"/>
    <s v="14/04/20"/>
    <s v="14/04/20"/>
    <s v="SI206N01099"/>
    <m/>
    <s v="SV GAMING LTD"/>
    <s v="120006"/>
    <s v="20004806"/>
    <s v="MSH"/>
    <n v="0"/>
    <n v="901953.56"/>
    <n v="901953.56"/>
    <s v="NG"/>
    <x v="3"/>
  </r>
  <r>
    <s v="400-04"/>
    <x v="1"/>
    <n v="0"/>
    <s v="14/04/20"/>
    <s v="14/04/20"/>
    <s v="SI206N01100"/>
    <m/>
    <s v="CSCS LTD 6 CUSTOMERS"/>
    <s v="120006"/>
    <s v="20004809"/>
    <s v="MSH"/>
    <n v="0"/>
    <n v="89581.39"/>
    <n v="89581.39"/>
    <s v="NG"/>
    <x v="3"/>
  </r>
  <r>
    <s v="400-04"/>
    <x v="1"/>
    <n v="0"/>
    <s v="20/04/20"/>
    <s v="20/04/20"/>
    <s v="SI206N01158"/>
    <m/>
    <s v="2 MTHS PRIME SUB"/>
    <s v="120006"/>
    <s v="20004999"/>
    <s v="MSH"/>
    <n v="0"/>
    <n v="11069.77"/>
    <n v="11069.77"/>
    <s v="NG"/>
    <x v="3"/>
  </r>
  <r>
    <s v="400-04"/>
    <x v="1"/>
    <n v="0"/>
    <s v="20/04/20"/>
    <s v="20/04/20"/>
    <s v="SI206N01159"/>
    <m/>
    <s v="1 MTH PRIME SUB"/>
    <s v="120006"/>
    <s v="20005002"/>
    <s v="MSH"/>
    <n v="0"/>
    <n v="5534.88"/>
    <n v="5534.88"/>
    <s v="NG"/>
    <x v="3"/>
  </r>
  <r>
    <s v="400-04"/>
    <x v="1"/>
    <n v="0"/>
    <s v="20/04/20"/>
    <s v="20/04/20"/>
    <s v="SI206N01160"/>
    <m/>
    <s v="1 MTH SUB PRIME GTB"/>
    <s v="120006"/>
    <s v="20005008"/>
    <s v="MSH"/>
    <n v="0"/>
    <n v="5534.88"/>
    <n v="5534.88"/>
    <s v="NG"/>
    <x v="3"/>
  </r>
  <r>
    <s v="400-04"/>
    <x v="1"/>
    <n v="0"/>
    <s v="20/04/20"/>
    <s v="20/04/20"/>
    <s v="SI206N01161"/>
    <m/>
    <s v="2MTHS SUB PRIME GTB"/>
    <s v="120006"/>
    <s v="20005012"/>
    <s v="MSH"/>
    <n v="0"/>
    <n v="10511.63"/>
    <n v="10511.63"/>
    <s v="NG"/>
    <x v="3"/>
  </r>
  <r>
    <s v="400-04"/>
    <x v="1"/>
    <n v="0"/>
    <s v="20/04/20"/>
    <s v="20/04/20"/>
    <s v="SI206N01162"/>
    <m/>
    <s v="1 MTH SUB PRIME GTB"/>
    <s v="120006"/>
    <s v="20005015"/>
    <s v="MSH"/>
    <n v="0"/>
    <n v="5534.88"/>
    <n v="5534.88"/>
    <s v="NG"/>
    <x v="3"/>
  </r>
  <r>
    <s v="400-04"/>
    <x v="1"/>
    <n v="0"/>
    <s v="20/04/20"/>
    <s v="20/04/20"/>
    <s v="SI206N01163"/>
    <m/>
    <s v="1 MTH ECO SUB GTB"/>
    <s v="120006"/>
    <s v="20005018"/>
    <s v="MSH"/>
    <n v="0"/>
    <n v="4139.54"/>
    <n v="4139.54"/>
    <s v="NG"/>
    <x v="3"/>
  </r>
  <r>
    <s v="400-04"/>
    <x v="1"/>
    <n v="0"/>
    <s v="30/04/20"/>
    <s v="30/04/20"/>
    <s v="SI206N01310"/>
    <m/>
    <s v="149 PRIME&amp; 16 ECO ZENITH"/>
    <s v="120006"/>
    <s v="20005607"/>
    <s v="MSH"/>
    <n v="0"/>
    <n v="942000"/>
    <n v="942000"/>
    <s v="NG"/>
    <x v="3"/>
  </r>
  <r>
    <s v="400-04"/>
    <x v="1"/>
    <n v="0"/>
    <s v="30/04/20"/>
    <s v="30/04/20"/>
    <s v="SI206N01311"/>
    <m/>
    <s v="PRIME &amp; ECO GTB"/>
    <s v="120006"/>
    <s v="20005609"/>
    <s v="MSH"/>
    <n v="0"/>
    <n v="840883.74"/>
    <n v="840883.74"/>
    <s v="NG"/>
    <x v="3"/>
  </r>
  <r>
    <s v="400-04"/>
    <x v="1"/>
    <n v="0"/>
    <s v="30/04/20"/>
    <s v="30/04/20"/>
    <s v="SI206N01312"/>
    <m/>
    <s v="SV GAME PRIME GTB"/>
    <s v="120006"/>
    <s v="20005621"/>
    <s v="MSH"/>
    <n v="0"/>
    <n v="56372.09"/>
    <n v="56372.09"/>
    <s v="NG"/>
    <x v="3"/>
  </r>
  <r>
    <s v="400-04"/>
    <x v="1"/>
    <n v="0"/>
    <s v="30/04/20"/>
    <s v="30/04/20"/>
    <s v="SI206N01314"/>
    <m/>
    <s v="7 PRIME GTB CSCS"/>
    <s v="120006"/>
    <s v="20005623"/>
    <s v="MSH"/>
    <n v="0"/>
    <n v="104511.62"/>
    <n v="104511.62"/>
    <s v="NG"/>
    <x v="3"/>
  </r>
  <r>
    <s v="400-04"/>
    <x v="1"/>
    <n v="0"/>
    <s v="30/04/20"/>
    <s v="30/04/20"/>
    <s v="SI206N01315"/>
    <m/>
    <s v="1 PRIME GTB"/>
    <s v="120006"/>
    <s v="20005630"/>
    <s v="MSH"/>
    <n v="0"/>
    <n v="5534.88"/>
    <n v="5534.88"/>
    <s v="NG"/>
    <x v="3"/>
  </r>
  <r>
    <s v="400-04"/>
    <x v="1"/>
    <n v="0"/>
    <s v="30/04/20"/>
    <s v="30/04/20"/>
    <s v="SI206N01316"/>
    <m/>
    <s v="1 PRIME GTB"/>
    <s v="120006"/>
    <s v="20005631"/>
    <s v="MSH"/>
    <n v="0"/>
    <n v="5534.88"/>
    <n v="5534.88"/>
    <s v="NG"/>
    <x v="3"/>
  </r>
  <r>
    <s v="400-04"/>
    <x v="1"/>
    <n v="0"/>
    <s v="30/04/20"/>
    <s v="30/04/20"/>
    <s v="SI206N01317"/>
    <m/>
    <s v="1 PRIME GTB"/>
    <s v="120006"/>
    <s v="20005632"/>
    <s v="MSH"/>
    <n v="0"/>
    <n v="5534.88"/>
    <n v="5534.88"/>
    <s v="NG"/>
    <x v="3"/>
  </r>
  <r>
    <s v="400-04"/>
    <x v="1"/>
    <n v="0"/>
    <s v="30/04/20"/>
    <s v="30/04/20"/>
    <s v="SI206N01318"/>
    <m/>
    <s v="1 PRIME GTB"/>
    <s v="120006"/>
    <s v="20005633"/>
    <s v="MSH"/>
    <n v="0"/>
    <n v="5534.88"/>
    <n v="5534.88"/>
    <s v="NG"/>
    <x v="3"/>
  </r>
  <r>
    <s v="400-04"/>
    <x v="1"/>
    <n v="0"/>
    <s v="30/04/20"/>
    <s v="30/04/20"/>
    <s v="SI206N01319"/>
    <m/>
    <s v="1 PRIME GTB"/>
    <s v="120006"/>
    <s v="20005634"/>
    <s v="MSH"/>
    <n v="0"/>
    <n v="5534.88"/>
    <n v="5534.88"/>
    <s v="NG"/>
    <x v="3"/>
  </r>
  <r>
    <s v="400-04"/>
    <x v="1"/>
    <n v="0"/>
    <s v="30/04/20"/>
    <s v="30/04/20"/>
    <s v="SI206N01320"/>
    <m/>
    <s v="1 ECO GTB"/>
    <s v="120006"/>
    <s v="20005635"/>
    <s v="MSH"/>
    <n v="0"/>
    <n v="4139.54"/>
    <n v="4139.54"/>
    <s v="NG"/>
    <x v="3"/>
  </r>
  <r>
    <s v="400-04"/>
    <x v="1"/>
    <n v="0"/>
    <s v="30/04/20"/>
    <s v="30/04/20"/>
    <s v="SI206N01323"/>
    <m/>
    <s v="PAGA SUB 2PRIME 1ECO"/>
    <s v="120006"/>
    <s v="20005803"/>
    <s v="MSH"/>
    <n v="0"/>
    <n v="15209.3"/>
    <n v="15209.3"/>
    <s v="NG"/>
    <x v="3"/>
  </r>
  <r>
    <s v="400-04"/>
    <x v="1"/>
    <n v="0"/>
    <s v="15/05/20"/>
    <s v="15/05/20"/>
    <s v="SI206N01561"/>
    <m/>
    <s v="GTB PRIME &amp; ECO"/>
    <s v="120006"/>
    <s v="20006730"/>
    <s v="MSH"/>
    <n v="0"/>
    <n v="1037767.33"/>
    <n v="1037767.33"/>
    <s v="NG"/>
    <x v="4"/>
  </r>
  <r>
    <s v="400-04"/>
    <x v="1"/>
    <n v="0"/>
    <s v="15/05/20"/>
    <s v="15/05/20"/>
    <s v="SI206N01562"/>
    <m/>
    <s v="3 PRIME SV GAMING"/>
    <s v="120006"/>
    <s v="20006734"/>
    <s v="MSH"/>
    <n v="0"/>
    <n v="84558.14"/>
    <n v="84558.14"/>
    <s v="NG"/>
    <x v="4"/>
  </r>
  <r>
    <s v="400-04"/>
    <x v="1"/>
    <n v="0"/>
    <s v="15/05/20"/>
    <s v="15/05/20"/>
    <s v="SI206N01563"/>
    <m/>
    <s v="2 PRIME FOR CSCS"/>
    <s v="120006"/>
    <s v="20006736"/>
    <s v="MSH"/>
    <n v="0"/>
    <n v="29860.46"/>
    <n v="29860.46"/>
    <s v="NG"/>
    <x v="4"/>
  </r>
  <r>
    <s v="400-04"/>
    <x v="1"/>
    <n v="0"/>
    <s v="15/05/20"/>
    <s v="15/05/20"/>
    <s v="SI206N01564"/>
    <m/>
    <s v="50 PRIME FOR HIS"/>
    <s v="120006"/>
    <s v="20006738"/>
    <s v="MSH"/>
    <n v="0"/>
    <n v="1409302.43"/>
    <n v="1409302.43"/>
    <s v="NG"/>
    <x v="4"/>
  </r>
  <r>
    <s v="400-04"/>
    <x v="1"/>
    <n v="0"/>
    <s v="15/05/20"/>
    <s v="15/05/20"/>
    <s v="SI206N01578"/>
    <m/>
    <s v="18 PRIME &amp; 1 ECO GTB"/>
    <s v="120006"/>
    <s v="20006828"/>
    <s v="MSH"/>
    <n v="0"/>
    <n v="119255.81"/>
    <n v="119255.81"/>
    <s v="NG"/>
    <x v="4"/>
  </r>
  <r>
    <s v="400-04"/>
    <x v="1"/>
    <n v="0"/>
    <s v="15/05/20"/>
    <s v="15/05/20"/>
    <s v="SI206N01602"/>
    <m/>
    <s v="RECONNECTN OMOPARIOLA"/>
    <s v="120006"/>
    <s v="20006899"/>
    <s v="MSH"/>
    <n v="0"/>
    <n v="6046.51"/>
    <n v="6046.51"/>
    <s v="NG"/>
    <x v="4"/>
  </r>
  <r>
    <s v="400-04"/>
    <x v="1"/>
    <n v="0"/>
    <s v="15/05/20"/>
    <s v="15/05/20"/>
    <s v="SI206N01603"/>
    <m/>
    <s v="RECONNECTN AKINYINKA"/>
    <s v="120006"/>
    <s v="20006900"/>
    <s v="MSH"/>
    <n v="0"/>
    <n v="6046.51"/>
    <n v="6046.51"/>
    <s v="NG"/>
    <x v="4"/>
  </r>
  <r>
    <s v="400-04"/>
    <x v="1"/>
    <n v="0"/>
    <s v="15/05/20"/>
    <s v="15/05/20"/>
    <s v="SI206N01604"/>
    <m/>
    <s v="RECONNECTN OLUWASEUN"/>
    <s v="120006"/>
    <s v="20006901"/>
    <s v="MSH"/>
    <n v="0"/>
    <n v="6046.51"/>
    <n v="6046.51"/>
    <s v="NG"/>
    <x v="4"/>
  </r>
  <r>
    <s v="400-04"/>
    <x v="1"/>
    <n v="0"/>
    <s v="31/05/20"/>
    <s v="31/05/20"/>
    <s v="SI206N01774"/>
    <m/>
    <s v="GTB PRIME &amp; ECO MAY"/>
    <s v="120006"/>
    <s v="20007425"/>
    <s v="MSH"/>
    <n v="0"/>
    <n v="1333255.8600000001"/>
    <n v="1333255.8600000001"/>
    <s v="NG"/>
    <x v="4"/>
  </r>
  <r>
    <s v="400-04"/>
    <x v="1"/>
    <n v="0"/>
    <s v="31/05/20"/>
    <s v="31/05/20"/>
    <s v="SI206N01775"/>
    <m/>
    <s v="SV GAMING 7 SYS"/>
    <s v="120006"/>
    <s v="20007427"/>
    <s v="MSH"/>
    <n v="0"/>
    <n v="197302.34"/>
    <n v="197302.34"/>
    <s v="NG"/>
    <x v="4"/>
  </r>
  <r>
    <s v="400-04"/>
    <x v="1"/>
    <n v="0"/>
    <s v="31/05/20"/>
    <s v="31/05/20"/>
    <s v="SI206N01776"/>
    <m/>
    <s v="ZENITH PRIME &amp; ECO VAS"/>
    <s v="120006"/>
    <s v="20007430"/>
    <s v="MSH"/>
    <n v="0"/>
    <n v="937581.4"/>
    <n v="937581.4"/>
    <s v="NG"/>
    <x v="4"/>
  </r>
  <r>
    <s v="400-04"/>
    <x v="1"/>
    <n v="0"/>
    <s v="31/05/20"/>
    <s v="31/05/20"/>
    <s v="SI206N01777"/>
    <m/>
    <s v="GTB 9 PRIME&amp; 3 ECO"/>
    <s v="120006"/>
    <s v="20007615"/>
    <s v="MSH"/>
    <n v="0"/>
    <n v="71627.91"/>
    <n v="71627.91"/>
    <s v="NG"/>
    <x v="4"/>
  </r>
  <r>
    <s v="400-04"/>
    <x v="1"/>
    <n v="0"/>
    <s v="31/05/20"/>
    <s v="31/05/20"/>
    <s v="SI206N01778"/>
    <m/>
    <s v="IHS 50 PRIME 2ND BATCH"/>
    <s v="120006"/>
    <s v="20007630"/>
    <s v="MSH"/>
    <n v="0"/>
    <n v="1409302.43"/>
    <n v="1409302.43"/>
    <s v="NG"/>
    <x v="4"/>
  </r>
  <r>
    <s v="400-04"/>
    <x v="1"/>
    <n v="0"/>
    <s v="31/05/20"/>
    <s v="31/05/20"/>
    <s v="SI206N01801"/>
    <m/>
    <s v="GTB PRIME"/>
    <s v="120006"/>
    <s v="20007721"/>
    <s v="MSH"/>
    <n v="0"/>
    <n v="52465.120000000003"/>
    <n v="52465.120000000003"/>
    <s v="NG"/>
    <x v="4"/>
  </r>
  <r>
    <s v="400-04"/>
    <x v="1"/>
    <n v="0"/>
    <s v="15/06/20"/>
    <s v="15/06/20"/>
    <s v="SI206N01869"/>
    <m/>
    <s v="GTB 235PRIME &amp; 22ECO"/>
    <s v="120006"/>
    <s v="20008120"/>
    <s v="MSH"/>
    <n v="0"/>
    <n v="1434325.55"/>
    <n v="1434325.55"/>
    <s v="NG"/>
    <x v="5"/>
  </r>
  <r>
    <s v="400-04"/>
    <x v="1"/>
    <n v="0"/>
    <s v="15/06/20"/>
    <s v="15/06/20"/>
    <s v="SI206N01891"/>
    <m/>
    <s v="WAVES 25 PRIME"/>
    <s v="120006"/>
    <s v="20008210"/>
    <s v="MSH"/>
    <n v="0"/>
    <n v="704651.21"/>
    <n v="704651.21"/>
    <s v="NG"/>
    <x v="5"/>
  </r>
  <r>
    <s v="400-04"/>
    <x v="1"/>
    <n v="0"/>
    <s v="15/06/20"/>
    <s v="15/06/20"/>
    <s v="SI206N01895"/>
    <m/>
    <s v="WAVES 2 PRIME"/>
    <s v="120006"/>
    <s v="20008214"/>
    <s v="MSH"/>
    <n v="0"/>
    <n v="56372.09"/>
    <n v="56372.09"/>
    <s v="NG"/>
    <x v="5"/>
  </r>
  <r>
    <s v="400-04"/>
    <x v="1"/>
    <n v="0"/>
    <s v="15/06/20"/>
    <s v="15/06/20"/>
    <s v="SI206N01896"/>
    <m/>
    <s v="SV GAMING 4 PRIME"/>
    <s v="120006"/>
    <s v="20008215"/>
    <s v="MSH"/>
    <n v="0"/>
    <n v="112744.19"/>
    <n v="112744.19"/>
    <s v="NG"/>
    <x v="5"/>
  </r>
  <r>
    <s v="400-04"/>
    <x v="1"/>
    <n v="0"/>
    <s v="15/06/20"/>
    <s v="15/06/20"/>
    <s v="SI206N01905"/>
    <m/>
    <s v="GTB 13 PRIME"/>
    <s v="120006"/>
    <s v="20008238"/>
    <s v="MSH"/>
    <n v="0"/>
    <n v="76930.23"/>
    <n v="76930.23"/>
    <s v="NG"/>
    <x v="5"/>
  </r>
  <r>
    <s v="400-04"/>
    <x v="1"/>
    <n v="0"/>
    <s v="27/06/20"/>
    <s v="27/06/20"/>
    <s v="SI206N02028"/>
    <m/>
    <s v="50 PRIME IHS"/>
    <s v="120006"/>
    <s v="20008720"/>
    <s v="MSH"/>
    <n v="0"/>
    <n v="1409302.5"/>
    <n v="1409302.5"/>
    <s v="NG"/>
    <x v="5"/>
  </r>
  <r>
    <s v="400-04"/>
    <x v="1"/>
    <n v="0"/>
    <s v="30/06/20"/>
    <s v="30/06/20"/>
    <s v="SI206N02029"/>
    <m/>
    <s v="GTB PRIME &amp; ECO"/>
    <s v="120006"/>
    <s v="20008756"/>
    <s v="MSH"/>
    <n v="0"/>
    <n v="1918837.27"/>
    <n v="1918837.27"/>
    <s v="NG"/>
    <x v="5"/>
  </r>
  <r>
    <s v="400-04"/>
    <x v="1"/>
    <n v="0"/>
    <s v="30/06/20"/>
    <s v="30/06/20"/>
    <s v="SI206N02030"/>
    <m/>
    <s v="SV GAMING CORPORATE SALE"/>
    <s v="120006"/>
    <s v="20008759"/>
    <s v="MSH"/>
    <n v="0"/>
    <n v="112744.19"/>
    <n v="112744.19"/>
    <s v="NG"/>
    <x v="5"/>
  </r>
  <r>
    <s v="400-04"/>
    <x v="1"/>
    <n v="0"/>
    <s v="30/06/20"/>
    <s v="30/06/20"/>
    <s v="SI206N02031"/>
    <m/>
    <s v="ZENITH PRIME &amp; ECO"/>
    <s v="120006"/>
    <s v="20008760"/>
    <s v="MSH"/>
    <n v="0"/>
    <n v="1162186.05"/>
    <n v="1162186.05"/>
    <s v="NG"/>
    <x v="5"/>
  </r>
  <r>
    <s v="400-04"/>
    <x v="1"/>
    <n v="0"/>
    <s v="30/06/20"/>
    <s v="30/06/20"/>
    <s v="SI206N02085"/>
    <m/>
    <s v="GTB 9 PRIME 4 ECO"/>
    <s v="120006"/>
    <s v="20008901"/>
    <s v="MSH"/>
    <n v="0"/>
    <n v="71348.84"/>
    <n v="71348.84"/>
    <s v="NG"/>
    <x v="5"/>
  </r>
  <r>
    <s v="400-04"/>
    <x v="1"/>
    <n v="0"/>
    <s v="30/06/20"/>
    <s v="30/06/20"/>
    <s v="SI206N02086"/>
    <m/>
    <s v="RECONNECTN FEE"/>
    <s v="120006"/>
    <s v="20008903"/>
    <s v="MSH"/>
    <n v="0"/>
    <n v="6046.51"/>
    <n v="6046.51"/>
    <s v="NG"/>
    <x v="5"/>
  </r>
  <r>
    <s v="400-04"/>
    <x v="1"/>
    <n v="0"/>
    <s v="30/06/20"/>
    <s v="30/06/20"/>
    <s v="SI206N02125"/>
    <m/>
    <s v="GTB BLAZE 2 SYS"/>
    <s v="120006"/>
    <s v="20009272"/>
    <s v="MSH"/>
    <n v="0"/>
    <n v="13581.4"/>
    <n v="13581.4"/>
    <s v="NG"/>
    <x v="5"/>
  </r>
  <r>
    <s v="400-04"/>
    <x v="1"/>
    <n v="0"/>
    <s v="30/06/20"/>
    <s v="30/06/20"/>
    <s v="SI206N02126"/>
    <m/>
    <s v="GTB PRIME SUB"/>
    <s v="120006"/>
    <s v="20009274"/>
    <s v="MSH"/>
    <n v="0"/>
    <n v="20465.12"/>
    <n v="20465.12"/>
    <s v="NG"/>
    <x v="5"/>
  </r>
  <r>
    <s v="400-04"/>
    <x v="1"/>
    <n v="0"/>
    <s v="30/06/20"/>
    <s v="30/06/20"/>
    <s v="SI206N02135"/>
    <m/>
    <s v="GTB 4 PRIME"/>
    <s v="120006"/>
    <s v="20009334"/>
    <s v="MSH"/>
    <n v="0"/>
    <n v="31534.89"/>
    <n v="31534.89"/>
    <s v="NG"/>
    <x v="5"/>
  </r>
  <r>
    <s v="400-04"/>
    <x v="1"/>
    <n v="0"/>
    <s v="30/06/20"/>
    <s v="30/06/20"/>
    <s v="SI206N02136"/>
    <m/>
    <s v="PYMT  FOR PRIME SUB(11M)"/>
    <s v="120006"/>
    <s v="20009335"/>
    <s v="MSH"/>
    <n v="0"/>
    <n v="55860.42"/>
    <n v="55860.42"/>
    <s v="NG"/>
    <x v="5"/>
  </r>
  <r>
    <s v="400-04"/>
    <x v="1"/>
    <n v="0"/>
    <s v="30/06/20"/>
    <s v="30/06/20"/>
    <s v="SI206N02139"/>
    <m/>
    <s v="Reversal of 20008756"/>
    <s v="120006"/>
    <s v="20009389"/>
    <s v="MSH"/>
    <n v="0"/>
    <n v="-1918837.27"/>
    <n v="-1918837.27"/>
    <s v="NG"/>
    <x v="5"/>
  </r>
  <r>
    <s v="400-04"/>
    <x v="1"/>
    <n v="0"/>
    <s v="30/06/20"/>
    <s v="30/06/20"/>
    <s v="SI206N02140"/>
    <m/>
    <s v="GTB PRIME &amp; ECO"/>
    <s v="120006"/>
    <s v="20009391"/>
    <s v="MSH"/>
    <n v="0"/>
    <n v="1913302.42"/>
    <n v="1913302.42"/>
    <s v="NG"/>
    <x v="5"/>
  </r>
  <r>
    <s v="400-04"/>
    <x v="1"/>
    <n v="0"/>
    <d v="2020-08-07T00:00:00"/>
    <d v="2020-08-07T00:00:00"/>
    <s v="SI206N02145"/>
    <m/>
    <s v="GTB B2C PRIME &amp; ECO"/>
    <s v="120006"/>
    <s v="20009423"/>
    <s v="MSH"/>
    <n v="0"/>
    <n v="955395.36"/>
    <n v="955395.36"/>
    <s v="NG"/>
    <x v="6"/>
  </r>
  <r>
    <s v="400-04"/>
    <x v="1"/>
    <n v="0"/>
    <d v="2020-08-07T00:00:00"/>
    <d v="2020-08-07T00:00:00"/>
    <s v="SI206N02146"/>
    <m/>
    <s v="GTB L2O PRIME &amp; ECO"/>
    <s v="120006"/>
    <s v="20009425"/>
    <s v="MSH"/>
    <n v="0"/>
    <n v="516418.61"/>
    <n v="516418.61"/>
    <s v="NG"/>
    <x v="6"/>
  </r>
  <r>
    <s v="400-04"/>
    <x v="1"/>
    <n v="0"/>
    <d v="2020-08-07T00:00:00"/>
    <d v="2020-08-07T00:00:00"/>
    <s v="ECO L2O"/>
    <s v="SI206N02146"/>
    <s v="ADJ FOR 1PRIM ISSUED AS"/>
    <s v="120006"/>
    <s v="20010990"/>
    <s v="M"/>
    <n v="0"/>
    <n v="416.25"/>
    <n v="416.25"/>
    <s v="NG"/>
    <x v="6"/>
  </r>
  <r>
    <s v="400-04"/>
    <x v="1"/>
    <n v="0"/>
    <d v="2020-12-07T00:00:00"/>
    <d v="2020-12-07T00:00:00"/>
    <s v="WRONGLY REC (B2C"/>
    <s v="0"/>
    <s v="ADJ 2SYS BY DANIEL"/>
    <s v="120006"/>
    <s v="20011104"/>
    <s v="M"/>
    <n v="28027.5"/>
    <n v="0"/>
    <n v="-28027.5"/>
    <s v="NG"/>
    <x v="6"/>
  </r>
  <r>
    <s v="400-04"/>
    <x v="1"/>
    <n v="0"/>
    <d v="2020-12-07T00:00:00"/>
    <d v="2020-12-07T00:00:00"/>
    <s v="WRONGLY REC (B2C"/>
    <s v="0"/>
    <s v="Reversal of 20011104"/>
    <s v="120006"/>
    <s v="20011120"/>
    <s v="M"/>
    <n v="-28027.5"/>
    <n v="0"/>
    <n v="28027.5"/>
    <s v="NG"/>
    <x v="6"/>
  </r>
  <r>
    <s v="400-04"/>
    <x v="1"/>
    <n v="0"/>
    <d v="2020-12-07T00:00:00"/>
    <d v="2020-12-07T00:00:00"/>
    <s v="0"/>
    <m/>
    <s v="ADJ 2SYST DANIEL AYUBA"/>
    <s v="120099"/>
    <s v="20011189"/>
    <s v="M"/>
    <n v="28027.5"/>
    <n v="0"/>
    <n v="-28027.5"/>
    <s v="NG"/>
    <x v="6"/>
  </r>
  <r>
    <s v="400-04"/>
    <x v="1"/>
    <n v="0"/>
    <s v="20/07/20"/>
    <s v="20/07/20"/>
    <s v="SI206N02236"/>
    <m/>
    <s v="GTB LTO PRIME &amp; ECO"/>
    <s v="120006"/>
    <s v="20009836"/>
    <s v="MSH"/>
    <n v="0"/>
    <n v="581023.23"/>
    <n v="581023.23"/>
    <s v="NG"/>
    <x v="6"/>
  </r>
  <r>
    <s v="400-04"/>
    <x v="1"/>
    <n v="0"/>
    <s v="20/07/20"/>
    <s v="20/07/20"/>
    <s v="SI206N02237"/>
    <m/>
    <s v="GTB RENTAL PRIME&amp;ECO"/>
    <s v="120006"/>
    <s v="20009837"/>
    <s v="MSH"/>
    <n v="0"/>
    <n v="1168939.53"/>
    <n v="1168939.53"/>
    <s v="NG"/>
    <x v="6"/>
  </r>
  <r>
    <s v="400-04"/>
    <x v="1"/>
    <n v="0"/>
    <s v="20/07/20"/>
    <s v="20/07/20"/>
    <s v="SI206N02238"/>
    <m/>
    <s v="CSCS USAGE FEE"/>
    <s v="120006"/>
    <s v="20009838"/>
    <s v="MSH"/>
    <n v="0"/>
    <n v="80232.56"/>
    <n v="80232.56"/>
    <s v="NG"/>
    <x v="6"/>
  </r>
  <r>
    <s v="400-04"/>
    <x v="1"/>
    <n v="0"/>
    <s v="20/07/20"/>
    <s v="20/07/20"/>
    <s v="SI206N02257"/>
    <m/>
    <s v="8 PRIME FOR SV GAMING"/>
    <s v="120006"/>
    <s v="20010050"/>
    <s v="MSH"/>
    <n v="0"/>
    <n v="285023.27"/>
    <n v="285023.27"/>
    <s v="NG"/>
    <x v="6"/>
  </r>
  <r>
    <s v="400-04"/>
    <x v="1"/>
    <n v="0"/>
    <s v="28/07/20"/>
    <s v="28/07/20"/>
    <s v="SI206N02332"/>
    <m/>
    <s v="LTO PRIME"/>
    <s v="120006"/>
    <s v="20010476"/>
    <s v="MSH"/>
    <n v="0"/>
    <n v="6790.7"/>
    <n v="6790.7"/>
    <s v="NG"/>
    <x v="6"/>
  </r>
  <r>
    <s v="400-04"/>
    <x v="1"/>
    <n v="0"/>
    <s v="28/07/20"/>
    <s v="28/07/20"/>
    <s v="SI206N02333"/>
    <m/>
    <s v="LTO PRIME"/>
    <s v="120006"/>
    <s v="20010477"/>
    <s v="MSH"/>
    <n v="0"/>
    <n v="13162.79"/>
    <n v="13162.79"/>
    <s v="NG"/>
    <x v="6"/>
  </r>
  <r>
    <s v="400-04"/>
    <x v="1"/>
    <n v="0"/>
    <s v="28/07/20"/>
    <s v="28/07/20"/>
    <s v="SI206N02334"/>
    <m/>
    <s v="BTC PRIME"/>
    <s v="120006"/>
    <s v="20010478"/>
    <s v="MSH"/>
    <n v="0"/>
    <n v="5534.88"/>
    <n v="5534.88"/>
    <s v="NG"/>
    <x v="6"/>
  </r>
  <r>
    <s v="400-04"/>
    <x v="1"/>
    <n v="0"/>
    <s v="28/07/20"/>
    <s v="28/07/20"/>
    <s v="SI206N02335"/>
    <m/>
    <s v="ZENITH L2O &amp; BTC"/>
    <s v="120006"/>
    <s v="20010482"/>
    <s v="MSH"/>
    <n v="0"/>
    <n v="652744.18999999994"/>
    <n v="652744.18999999994"/>
    <s v="NG"/>
    <x v="6"/>
  </r>
  <r>
    <s v="400-04"/>
    <x v="1"/>
    <n v="0"/>
    <s v="31/07/20"/>
    <s v="31/07/20"/>
    <s v="SI206N02338"/>
    <m/>
    <s v="GTB BTC PRIME&amp;ECO"/>
    <s v="120006"/>
    <s v="20010500"/>
    <s v="MSH"/>
    <n v="0"/>
    <n v="1156930.7"/>
    <n v="1156930.7"/>
    <s v="NG"/>
    <x v="6"/>
  </r>
  <r>
    <s v="400-04"/>
    <x v="1"/>
    <n v="0"/>
    <s v="31/07/20"/>
    <s v="31/07/20"/>
    <s v="SI206N02339"/>
    <m/>
    <s v="GTB LTO PRIME &amp;ECO"/>
    <s v="120006"/>
    <s v="20010504"/>
    <s v="MSH"/>
    <n v="0"/>
    <n v="961255.78"/>
    <n v="961255.78"/>
    <s v="NG"/>
    <x v="6"/>
  </r>
  <r>
    <s v="400-04"/>
    <x v="1"/>
    <n v="0"/>
    <s v="31/07/20"/>
    <s v="31/07/20"/>
    <s v="SI206N02340"/>
    <m/>
    <s v="BETKING 2 SYS"/>
    <s v="120006"/>
    <s v="20010514"/>
    <s v="MSH"/>
    <n v="0"/>
    <n v="56372.1"/>
    <n v="56372.1"/>
    <s v="NG"/>
    <x v="6"/>
  </r>
  <r>
    <s v="400-04"/>
    <x v="1"/>
    <n v="0"/>
    <s v="31/07/20"/>
    <s v="31/07/20"/>
    <s v="SI206N02362"/>
    <m/>
    <s v="1 PRIME CORPORATE"/>
    <s v="120006"/>
    <s v="20010814"/>
    <s v="MSH"/>
    <n v="0"/>
    <n v="28186.05"/>
    <n v="28186.05"/>
    <s v="NG"/>
    <x v="6"/>
  </r>
  <r>
    <s v="400-04"/>
    <x v="1"/>
    <n v="0"/>
    <s v="31/07/20"/>
    <s v="31/07/20"/>
    <s v="SI206N02363"/>
    <m/>
    <s v="GTB 11PRIME 2 ECO"/>
    <s v="120006"/>
    <s v="20010817"/>
    <s v="MSH"/>
    <n v="0"/>
    <n v="69162.789999999994"/>
    <n v="69162.789999999994"/>
    <s v="NG"/>
    <x v="6"/>
  </r>
  <r>
    <s v="400-04"/>
    <x v="1"/>
    <n v="0"/>
    <s v="31/07/20"/>
    <s v="31/07/20"/>
    <s v="SI206N02364"/>
    <m/>
    <s v="2 LTO 2 BTC PRIME"/>
    <s v="120006"/>
    <s v="20010824"/>
    <s v="MSH"/>
    <n v="0"/>
    <n v="24651.16"/>
    <n v="24651.16"/>
    <s v="NG"/>
    <x v="6"/>
  </r>
  <r>
    <s v="400-04"/>
    <x v="1"/>
    <n v="0"/>
    <s v="31/07/20"/>
    <s v="31/07/20"/>
    <s v="SI206N02368"/>
    <m/>
    <s v="2 LTO 2 BTC"/>
    <s v="120006"/>
    <s v="20010853"/>
    <s v="MSH"/>
    <n v="0"/>
    <n v="24651.16"/>
    <n v="24651.16"/>
    <s v="NG"/>
    <x v="6"/>
  </r>
  <r>
    <s v="400-04"/>
    <x v="1"/>
    <n v="0"/>
    <s v="31/07/20"/>
    <s v="31/07/20"/>
    <s v="SI206N02369"/>
    <m/>
    <s v="Multi-Shipmt Inv"/>
    <s v="120006"/>
    <s v="20010854"/>
    <s v="MSH"/>
    <n v="0"/>
    <n v="117441.86"/>
    <n v="117441.86"/>
    <s v="NG"/>
    <x v="6"/>
  </r>
  <r>
    <s v="400-04"/>
    <x v="1"/>
    <n v="0"/>
    <s v="31/07/20"/>
    <s v="31/07/20"/>
    <s v="SI206N02372"/>
    <m/>
    <s v="12 BTC 1 LTO 2 ECO"/>
    <s v="120006"/>
    <s v="20010863"/>
    <s v="MSH"/>
    <n v="0"/>
    <n v="90883.72"/>
    <n v="90883.72"/>
    <s v="NG"/>
    <x v="6"/>
  </r>
  <r>
    <s v="400-04"/>
    <x v="1"/>
    <n v="0"/>
    <s v="31/07/20"/>
    <s v="31/07/20"/>
    <s v="SI206N02378"/>
    <m/>
    <s v="GTB LTO PRIME 4"/>
    <s v="120006"/>
    <s v="20010880"/>
    <s v="MSH"/>
    <n v="0"/>
    <n v="152000"/>
    <n v="152000"/>
    <s v="NG"/>
    <x v="6"/>
  </r>
  <r>
    <s v="400-04"/>
    <x v="1"/>
    <n v="0"/>
    <s v="31/07/20"/>
    <s v="31/07/20"/>
    <s v="SI206N02379"/>
    <m/>
    <s v="GTB BTC PRIME 2"/>
    <s v="120006"/>
    <s v="20010881"/>
    <s v="MSH"/>
    <n v="0"/>
    <n v="44232.56"/>
    <n v="44232.56"/>
    <s v="NG"/>
    <x v="6"/>
  </r>
  <r>
    <s v="400-04"/>
    <x v="1"/>
    <n v="0"/>
    <s v="31/07/20"/>
    <s v="31/07/20"/>
    <s v="SI206N02380"/>
    <m/>
    <s v="Reversal of 20010881"/>
    <s v="120006"/>
    <s v="20010885"/>
    <s v="MSH"/>
    <n v="0"/>
    <n v="-44232.56"/>
    <n v="-44232.56"/>
    <s v="NG"/>
    <x v="6"/>
  </r>
  <r>
    <s v="400-04"/>
    <x v="1"/>
    <n v="0"/>
    <s v="31/07/20"/>
    <s v="31/07/20"/>
    <s v="SI206N02381"/>
    <m/>
    <s v="GTB BTC PRIME 2"/>
    <s v="120006"/>
    <s v="20010886"/>
    <s v="MSH"/>
    <n v="0"/>
    <n v="44279.07"/>
    <n v="44279.07"/>
    <s v="NG"/>
    <x v="6"/>
  </r>
  <r>
    <s v="400-04"/>
    <x v="1"/>
    <n v="0"/>
    <s v="31/07/20"/>
    <s v="31/07/20"/>
    <s v="SI206N02382"/>
    <m/>
    <s v="GTB PRIME LTO 1"/>
    <s v="120006"/>
    <s v="20010887"/>
    <s v="MSH"/>
    <n v="0"/>
    <n v="66790.7"/>
    <n v="66790.7"/>
    <s v="NG"/>
    <x v="6"/>
  </r>
  <r>
    <s v="400-04"/>
    <x v="1"/>
    <n v="0"/>
    <s v="31/07/20"/>
    <s v="31/07/20"/>
    <s v="SI206N02392"/>
    <m/>
    <s v="ZENITH L20 49PRIM&amp;25ECO"/>
    <s v="120006"/>
    <s v="20010930"/>
    <s v="MSH"/>
    <n v="0"/>
    <n v="477906.98"/>
    <n v="477906.98"/>
    <s v="NG"/>
    <x v="6"/>
  </r>
  <r>
    <s v="400-04"/>
    <x v="1"/>
    <n v="0"/>
    <s v="31/07/20"/>
    <d v="2020-08-07T00:00:00"/>
    <s v="SI206N02411"/>
    <m/>
    <s v="Reversal of 20009423"/>
    <s v="120006"/>
    <s v="20011001"/>
    <s v="MSH"/>
    <n v="0"/>
    <n v="-955395.36"/>
    <n v="-955395.36"/>
    <s v="NG"/>
    <x v="6"/>
  </r>
  <r>
    <s v="400-04"/>
    <x v="1"/>
    <n v="0"/>
    <s v="31/07/20"/>
    <s v="31/07/20"/>
    <s v="SI206N02412"/>
    <m/>
    <s v="GTB B2C PRIME &amp; ECO"/>
    <s v="120006"/>
    <s v="20011002"/>
    <s v="MSH"/>
    <n v="0"/>
    <n v="916279.06"/>
    <n v="916279.06"/>
    <s v="NG"/>
    <x v="6"/>
  </r>
  <r>
    <s v="400-04"/>
    <x v="1"/>
    <n v="0"/>
    <s v="31/07/20"/>
    <s v="31/07/20"/>
    <s v="SI206N02431"/>
    <m/>
    <s v="2MNTH ECO SUB SEGUN BENJ"/>
    <s v="120006"/>
    <s v="20011172"/>
    <s v="MSH"/>
    <n v="0"/>
    <n v="9906.98"/>
    <n v="9906.98"/>
    <s v="NG"/>
    <x v="6"/>
  </r>
  <r>
    <s v="400-04"/>
    <x v="1"/>
    <n v="0"/>
    <d v="2020-01-08T00:00:00"/>
    <d v="2020-01-08T00:00:00"/>
    <s v="SI206N02434"/>
    <m/>
    <s v="15 PRIME SYS-01/08"/>
    <s v="120006"/>
    <s v="20011208"/>
    <s v="MSH"/>
    <n v="0"/>
    <n v="83023.259999999995"/>
    <n v="83023.259999999995"/>
    <s v="NG"/>
    <x v="7"/>
  </r>
  <r>
    <s v="400-04"/>
    <x v="1"/>
    <n v="0"/>
    <d v="2020-01-08T00:00:00"/>
    <d v="2020-01-08T00:00:00"/>
    <s v="SI206N02435"/>
    <m/>
    <s v="2 ECO SYS-01/08"/>
    <s v="120006"/>
    <s v="20011210"/>
    <s v="MSH"/>
    <n v="0"/>
    <n v="8279.07"/>
    <n v="8279.07"/>
    <s v="NG"/>
    <x v="7"/>
  </r>
  <r>
    <s v="400-04"/>
    <x v="1"/>
    <n v="0"/>
    <d v="2020-01-08T00:00:00"/>
    <d v="2020-01-08T00:00:00"/>
    <s v="SI206N02436"/>
    <m/>
    <s v="4 PRIME SYS-01/08"/>
    <s v="120006"/>
    <s v="20011212"/>
    <s v="MSH"/>
    <n v="0"/>
    <n v="22139.54"/>
    <n v="22139.54"/>
    <s v="NG"/>
    <x v="7"/>
  </r>
  <r>
    <s v="400-04"/>
    <x v="1"/>
    <n v="0"/>
    <d v="2020-01-08T00:00:00"/>
    <d v="2020-01-08T00:00:00"/>
    <s v="SI206N02437"/>
    <m/>
    <s v="3 LTO ECO-01/08"/>
    <s v="120006"/>
    <s v="20011214"/>
    <s v="MSH"/>
    <n v="0"/>
    <n v="15348.84"/>
    <n v="15348.84"/>
    <s v="NG"/>
    <x v="7"/>
  </r>
  <r>
    <s v="400-04"/>
    <x v="1"/>
    <n v="0"/>
    <d v="2020-01-08T00:00:00"/>
    <d v="2020-01-08T00:00:00"/>
    <s v="SI206N02438"/>
    <m/>
    <s v="10 LTO PRIME-01/08"/>
    <s v="120006"/>
    <s v="20011216"/>
    <s v="MSH"/>
    <n v="0"/>
    <n v="67906.97"/>
    <n v="67906.97"/>
    <s v="NG"/>
    <x v="7"/>
  </r>
  <r>
    <s v="400-04"/>
    <x v="1"/>
    <n v="0"/>
    <d v="2020-01-08T00:00:00"/>
    <d v="2020-01-08T00:00:00"/>
    <s v="SI206N02439"/>
    <m/>
    <s v="1 LTO PRIME-01/08"/>
    <s v="120006"/>
    <s v="20011218"/>
    <s v="MSH"/>
    <n v="0"/>
    <n v="6790.7"/>
    <n v="6790.7"/>
    <s v="NG"/>
    <x v="7"/>
  </r>
  <r>
    <s v="400-04"/>
    <x v="1"/>
    <n v="0"/>
    <d v="2020-01-08T00:00:00"/>
    <d v="2020-01-08T00:00:00"/>
    <s v="SI206N02440"/>
    <m/>
    <s v="3 MONTHS PRIME-01/08"/>
    <s v="120006"/>
    <s v="20011220"/>
    <s v="MSH"/>
    <n v="0"/>
    <n v="14930.23"/>
    <n v="14930.23"/>
    <s v="NG"/>
    <x v="7"/>
  </r>
  <r>
    <s v="400-04"/>
    <x v="1"/>
    <n v="0"/>
    <d v="2020-01-08T00:00:00"/>
    <d v="2020-01-08T00:00:00"/>
    <s v="SI206N02441"/>
    <m/>
    <s v="1 MONTHS PRIME(9)-02/08"/>
    <s v="120006"/>
    <s v="20011222"/>
    <s v="MSH"/>
    <n v="0"/>
    <n v="49813.96"/>
    <n v="49813.96"/>
    <s v="NG"/>
    <x v="7"/>
  </r>
  <r>
    <s v="400-04"/>
    <x v="1"/>
    <n v="0"/>
    <d v="2020-01-08T00:00:00"/>
    <d v="2020-01-08T00:00:00"/>
    <s v="SI206N02442"/>
    <m/>
    <s v="1M LTO PRIME(4)-02/08"/>
    <s v="120006"/>
    <s v="20011224"/>
    <s v="MSH"/>
    <n v="0"/>
    <n v="27162.79"/>
    <n v="27162.79"/>
    <s v="NG"/>
    <x v="7"/>
  </r>
  <r>
    <s v="400-04"/>
    <x v="1"/>
    <n v="0"/>
    <d v="2020-01-08T00:00:00"/>
    <d v="2020-01-08T00:00:00"/>
    <s v="SI206N02443"/>
    <m/>
    <s v="2M RENTAL PRIME(1)-02/08"/>
    <s v="120006"/>
    <s v="20011226"/>
    <s v="MSH"/>
    <n v="0"/>
    <n v="10511.63"/>
    <n v="10511.63"/>
    <s v="NG"/>
    <x v="7"/>
  </r>
  <r>
    <s v="400-04"/>
    <x v="1"/>
    <n v="0"/>
    <d v="2020-01-08T00:00:00"/>
    <d v="2020-01-08T00:00:00"/>
    <s v="SI206N02444"/>
    <m/>
    <s v="2M LTO PRIME(1)-02/08"/>
    <s v="120006"/>
    <s v="20011228"/>
    <s v="MSH"/>
    <n v="0"/>
    <n v="13162.79"/>
    <n v="13162.79"/>
    <s v="NG"/>
    <x v="7"/>
  </r>
  <r>
    <s v="400-04"/>
    <x v="1"/>
    <n v="0"/>
    <d v="2020-01-08T00:00:00"/>
    <d v="2020-01-08T00:00:00"/>
    <s v="SI206N02445"/>
    <m/>
    <s v="1M RENTAL ECO(1)-03/08"/>
    <s v="120006"/>
    <s v="20011230"/>
    <s v="MSH"/>
    <n v="0"/>
    <n v="4139.54"/>
    <n v="4139.54"/>
    <s v="NG"/>
    <x v="7"/>
  </r>
  <r>
    <s v="400-04"/>
    <x v="1"/>
    <n v="0"/>
    <d v="2020-01-08T00:00:00"/>
    <d v="2020-01-08T00:00:00"/>
    <s v="SI206N02446"/>
    <m/>
    <s v="1M LTO ECO(4)-03/08"/>
    <s v="120006"/>
    <s v="20011232"/>
    <s v="MSH"/>
    <n v="0"/>
    <n v="20465.12"/>
    <n v="20465.12"/>
    <s v="NG"/>
    <x v="7"/>
  </r>
  <r>
    <s v="400-04"/>
    <x v="1"/>
    <n v="0"/>
    <d v="2020-01-08T00:00:00"/>
    <d v="2020-01-08T00:00:00"/>
    <s v="SI206N02447"/>
    <m/>
    <s v="1M RENTAL PRIME(24)03/08"/>
    <s v="120006"/>
    <s v="20011234"/>
    <s v="MSH"/>
    <n v="0"/>
    <n v="132837.21"/>
    <n v="132837.21"/>
    <s v="NG"/>
    <x v="7"/>
  </r>
  <r>
    <s v="400-04"/>
    <x v="1"/>
    <n v="0"/>
    <d v="2020-01-08T00:00:00"/>
    <d v="2020-01-08T00:00:00"/>
    <s v="SI206N02448"/>
    <m/>
    <s v="1M LTO PRIME(14)-03/08"/>
    <s v="120006"/>
    <s v="20011236"/>
    <s v="MSH"/>
    <n v="0"/>
    <n v="95069.759999999995"/>
    <n v="95069.759999999995"/>
    <s v="NG"/>
    <x v="7"/>
  </r>
  <r>
    <s v="400-04"/>
    <x v="1"/>
    <n v="0"/>
    <d v="2020-01-08T00:00:00"/>
    <d v="2020-01-08T00:00:00"/>
    <s v="SI206N02449"/>
    <m/>
    <s v="2M RENTAL PRIME(1)-03/08"/>
    <s v="120006"/>
    <s v="20011238"/>
    <s v="MSH"/>
    <n v="0"/>
    <n v="10511.63"/>
    <n v="10511.63"/>
    <s v="NG"/>
    <x v="7"/>
  </r>
  <r>
    <s v="400-04"/>
    <x v="1"/>
    <n v="0"/>
    <d v="2020-01-08T00:00:00"/>
    <d v="2020-01-08T00:00:00"/>
    <s v="SI206N02450"/>
    <m/>
    <s v="1M LTO &amp; RNTL PRME-03/08"/>
    <s v="120006"/>
    <s v="20011240"/>
    <s v="MSH"/>
    <n v="0"/>
    <n v="12325.58"/>
    <n v="12325.58"/>
    <s v="NG"/>
    <x v="7"/>
  </r>
  <r>
    <s v="400-04"/>
    <x v="1"/>
    <n v="0"/>
    <d v="2020-01-08T00:00:00"/>
    <d v="2020-01-08T00:00:00"/>
    <s v="SI206N02451"/>
    <m/>
    <s v="2M LTO PRIME(1)-03/08"/>
    <s v="120006"/>
    <s v="20011242"/>
    <s v="MSH"/>
    <n v="0"/>
    <n v="13162.79"/>
    <n v="13162.79"/>
    <s v="NG"/>
    <x v="7"/>
  </r>
  <r>
    <s v="400-04"/>
    <x v="1"/>
    <n v="0"/>
    <d v="2020-01-08T00:00:00"/>
    <d v="2020-01-08T00:00:00"/>
    <s v="SI206N02452"/>
    <m/>
    <s v="1M LTO PRIME(2)-03/08"/>
    <s v="120006"/>
    <s v="20011244"/>
    <s v="MSH"/>
    <n v="0"/>
    <n v="13581.39"/>
    <n v="13581.39"/>
    <s v="NG"/>
    <x v="7"/>
  </r>
  <r>
    <s v="400-04"/>
    <x v="1"/>
    <n v="0"/>
    <d v="2020-01-08T00:00:00"/>
    <d v="2020-01-08T00:00:00"/>
    <s v="SI206N02453"/>
    <m/>
    <s v="1M LTO ECO(3)-04/08"/>
    <s v="120006"/>
    <s v="20011246"/>
    <s v="MSH"/>
    <n v="0"/>
    <n v="12418.61"/>
    <n v="12418.61"/>
    <s v="NG"/>
    <x v="7"/>
  </r>
  <r>
    <s v="400-04"/>
    <x v="1"/>
    <n v="0"/>
    <d v="2020-01-08T00:00:00"/>
    <d v="2020-01-08T00:00:00"/>
    <s v="SI206N02454"/>
    <m/>
    <s v="1M RENTAL ECO(1)-04/08"/>
    <s v="120006"/>
    <s v="20011248"/>
    <s v="MSH"/>
    <n v="0"/>
    <n v="4139.54"/>
    <n v="4139.54"/>
    <s v="NG"/>
    <x v="7"/>
  </r>
  <r>
    <s v="400-04"/>
    <x v="1"/>
    <n v="0"/>
    <d v="2020-01-08T00:00:00"/>
    <d v="2020-01-08T00:00:00"/>
    <s v="SI206N02455"/>
    <m/>
    <s v="1M LTO ECO(2)-04/08"/>
    <s v="120006"/>
    <s v="20011250"/>
    <s v="MSH"/>
    <n v="0"/>
    <n v="10232.56"/>
    <n v="10232.56"/>
    <s v="NG"/>
    <x v="7"/>
  </r>
  <r>
    <s v="400-04"/>
    <x v="1"/>
    <n v="0"/>
    <d v="2020-01-08T00:00:00"/>
    <d v="2020-01-08T00:00:00"/>
    <s v="SI206N02456"/>
    <m/>
    <s v="1M RENTL PRIME(17)-04/08"/>
    <s v="120006"/>
    <s v="20011252"/>
    <s v="MSH"/>
    <n v="0"/>
    <n v="94093.02"/>
    <n v="94093.02"/>
    <s v="NG"/>
    <x v="7"/>
  </r>
  <r>
    <s v="400-04"/>
    <x v="1"/>
    <n v="0"/>
    <d v="2020-01-08T00:00:00"/>
    <d v="2020-01-08T00:00:00"/>
    <s v="SI206N02457"/>
    <m/>
    <s v="1M RENTL PRIME(1)-04/08"/>
    <s v="120006"/>
    <s v="20011254"/>
    <s v="MSH"/>
    <n v="0"/>
    <n v="5534.88"/>
    <n v="5534.88"/>
    <s v="NG"/>
    <x v="7"/>
  </r>
  <r>
    <s v="400-04"/>
    <x v="1"/>
    <n v="0"/>
    <d v="2020-01-08T00:00:00"/>
    <d v="2020-01-08T00:00:00"/>
    <s v="SI206N02458"/>
    <m/>
    <s v="1M LTO PRIME(17)-04/08"/>
    <s v="120006"/>
    <s v="20011256"/>
    <s v="MSH"/>
    <n v="0"/>
    <n v="115441.86"/>
    <n v="115441.86"/>
    <s v="NG"/>
    <x v="7"/>
  </r>
  <r>
    <s v="400-04"/>
    <x v="1"/>
    <n v="0"/>
    <d v="2020-01-08T00:00:00"/>
    <d v="2020-01-08T00:00:00"/>
    <s v="SI206N02459"/>
    <m/>
    <s v="1M LTO PRIME(1)-04/08"/>
    <s v="120006"/>
    <s v="20011258"/>
    <s v="MSH"/>
    <n v="0"/>
    <n v="6790.7"/>
    <n v="6790.7"/>
    <s v="NG"/>
    <x v="7"/>
  </r>
  <r>
    <s v="400-04"/>
    <x v="1"/>
    <n v="0"/>
    <d v="2020-01-08T00:00:00"/>
    <d v="2020-01-08T00:00:00"/>
    <s v="SI206N02460"/>
    <m/>
    <s v="1M RENTL PRIME(2)-04/08"/>
    <s v="120006"/>
    <s v="20011260"/>
    <s v="MSH"/>
    <n v="0"/>
    <n v="11069.77"/>
    <n v="11069.77"/>
    <s v="NG"/>
    <x v="7"/>
  </r>
  <r>
    <s v="400-04"/>
    <x v="1"/>
    <n v="0"/>
    <d v="2020-01-08T00:00:00"/>
    <d v="2020-01-08T00:00:00"/>
    <s v="SI206N02461"/>
    <m/>
    <s v="2M RENTL PRIME(1)-04/08"/>
    <s v="120006"/>
    <s v="20011262"/>
    <s v="MSH"/>
    <n v="0"/>
    <n v="10511.63"/>
    <n v="10511.63"/>
    <s v="NG"/>
    <x v="7"/>
  </r>
  <r>
    <s v="400-04"/>
    <x v="1"/>
    <n v="0"/>
    <d v="2020-01-08T00:00:00"/>
    <d v="2020-01-08T00:00:00"/>
    <s v="SI206N02462"/>
    <m/>
    <s v="1M LTO PRIME&amp;SETUP-04/08"/>
    <s v="120006"/>
    <s v="20011264"/>
    <s v="MSH"/>
    <n v="0"/>
    <n v="6790.7"/>
    <n v="6790.7"/>
    <s v="NG"/>
    <x v="7"/>
  </r>
  <r>
    <s v="400-04"/>
    <x v="1"/>
    <n v="0"/>
    <d v="2020-01-08T00:00:00"/>
    <d v="2020-01-08T00:00:00"/>
    <s v="SI206N02463"/>
    <m/>
    <s v="6M LTO PRIME(2)-04/08"/>
    <s v="120006"/>
    <s v="20011266"/>
    <s v="MSH"/>
    <n v="0"/>
    <n v="71627.91"/>
    <n v="71627.91"/>
    <s v="NG"/>
    <x v="7"/>
  </r>
  <r>
    <s v="400-04"/>
    <x v="1"/>
    <n v="0"/>
    <d v="2020-01-08T00:00:00"/>
    <d v="2020-01-08T00:00:00"/>
    <s v="SI206N02464"/>
    <m/>
    <s v="1M LTO ECO(2)-05/08"/>
    <s v="120006"/>
    <s v="20011268"/>
    <s v="MSH"/>
    <n v="0"/>
    <n v="8279.07"/>
    <n v="8279.07"/>
    <s v="NG"/>
    <x v="7"/>
  </r>
  <r>
    <s v="400-04"/>
    <x v="1"/>
    <n v="0"/>
    <d v="2020-01-08T00:00:00"/>
    <d v="2020-01-08T00:00:00"/>
    <s v="SI206N02465"/>
    <m/>
    <s v="1M LTO ECO(2)-05/08"/>
    <s v="120006"/>
    <s v="20011270"/>
    <s v="MSH"/>
    <n v="0"/>
    <n v="10232.56"/>
    <n v="10232.56"/>
    <s v="NG"/>
    <x v="7"/>
  </r>
  <r>
    <s v="400-04"/>
    <x v="1"/>
    <n v="0"/>
    <d v="2020-01-08T00:00:00"/>
    <d v="2020-01-08T00:00:00"/>
    <s v="SI206N02466"/>
    <m/>
    <s v="1M RENTL PRIME(21)-05/08"/>
    <s v="120006"/>
    <s v="20011272"/>
    <s v="MSH"/>
    <n v="0"/>
    <n v="116232.56"/>
    <n v="116232.56"/>
    <s v="NG"/>
    <x v="7"/>
  </r>
  <r>
    <s v="400-04"/>
    <x v="1"/>
    <n v="0"/>
    <d v="2020-01-08T00:00:00"/>
    <d v="2020-01-08T00:00:00"/>
    <s v="SI206N02467"/>
    <m/>
    <s v="1M LTO PRIME(11)-05/08"/>
    <s v="120006"/>
    <s v="20011274"/>
    <s v="MSH"/>
    <n v="0"/>
    <n v="74697.67"/>
    <n v="74697.67"/>
    <s v="NG"/>
    <x v="7"/>
  </r>
  <r>
    <s v="400-04"/>
    <x v="1"/>
    <n v="0"/>
    <d v="2020-01-08T00:00:00"/>
    <d v="2020-01-08T00:00:00"/>
    <s v="SI206N02468"/>
    <m/>
    <s v="2M RENTL PRIME(10)-05/08"/>
    <s v="120006"/>
    <s v="20011276"/>
    <s v="MSH"/>
    <n v="0"/>
    <n v="10511.63"/>
    <n v="10511.63"/>
    <s v="NG"/>
    <x v="7"/>
  </r>
  <r>
    <s v="400-04"/>
    <x v="1"/>
    <n v="0"/>
    <d v="2020-01-08T00:00:00"/>
    <d v="2020-01-08T00:00:00"/>
    <s v="SI206N02469"/>
    <m/>
    <s v="2M RENTL PRIME(1)-05/08"/>
    <s v="120006"/>
    <s v="20011278"/>
    <s v="MSH"/>
    <n v="0"/>
    <n v="10511.63"/>
    <n v="10511.63"/>
    <s v="NG"/>
    <x v="7"/>
  </r>
  <r>
    <s v="400-04"/>
    <x v="1"/>
    <n v="0"/>
    <d v="2020-01-08T00:00:00"/>
    <d v="2020-01-08T00:00:00"/>
    <s v="SI206N02470"/>
    <m/>
    <s v="1MLTO PRME&amp;STUP(1)-05/08"/>
    <s v="120006"/>
    <s v="20011280"/>
    <s v="MSH"/>
    <n v="0"/>
    <n v="6790.7"/>
    <n v="6790.7"/>
    <s v="NG"/>
    <x v="7"/>
  </r>
  <r>
    <s v="400-04"/>
    <x v="1"/>
    <n v="0"/>
    <d v="2020-01-08T00:00:00"/>
    <d v="2020-01-08T00:00:00"/>
    <s v="SI206N02471"/>
    <m/>
    <s v="1M RENTAL ECO(2)-06/08"/>
    <s v="120006"/>
    <s v="20011282"/>
    <s v="MSH"/>
    <n v="0"/>
    <n v="8279.07"/>
    <n v="8279.07"/>
    <s v="NG"/>
    <x v="7"/>
  </r>
  <r>
    <s v="400-04"/>
    <x v="1"/>
    <n v="0"/>
    <d v="2020-01-08T00:00:00"/>
    <d v="2020-01-08T00:00:00"/>
    <s v="SI206N02472"/>
    <m/>
    <s v="1M LTO ECO(1)-06/08"/>
    <s v="120006"/>
    <s v="20011284"/>
    <s v="MSH"/>
    <n v="0"/>
    <n v="5116.28"/>
    <n v="5116.28"/>
    <s v="NG"/>
    <x v="7"/>
  </r>
  <r>
    <s v="400-04"/>
    <x v="1"/>
    <n v="0"/>
    <d v="2020-01-08T00:00:00"/>
    <d v="2020-01-08T00:00:00"/>
    <s v="SI206N02473"/>
    <m/>
    <s v="1M RENTL PRIME(19)-06/08"/>
    <s v="120006"/>
    <s v="20011286"/>
    <s v="MSH"/>
    <n v="0"/>
    <n v="105162.79"/>
    <n v="105162.79"/>
    <s v="NG"/>
    <x v="7"/>
  </r>
  <r>
    <s v="400-04"/>
    <x v="1"/>
    <n v="0"/>
    <d v="2020-01-08T00:00:00"/>
    <d v="2020-01-08T00:00:00"/>
    <s v="SI206N02474"/>
    <m/>
    <s v="1M LTO PRIME(10)-06/08"/>
    <s v="120006"/>
    <s v="20011288"/>
    <s v="MSH"/>
    <n v="0"/>
    <n v="67906.97"/>
    <n v="67906.97"/>
    <s v="NG"/>
    <x v="7"/>
  </r>
  <r>
    <s v="400-04"/>
    <x v="1"/>
    <n v="0"/>
    <d v="2020-01-08T00:00:00"/>
    <d v="2020-01-08T00:00:00"/>
    <s v="SI206N02475"/>
    <m/>
    <s v="3M LTO ECO(1)-06/08"/>
    <s v="120006"/>
    <s v="20011290"/>
    <s v="MSH"/>
    <n v="0"/>
    <n v="14558.14"/>
    <n v="14558.14"/>
    <s v="NG"/>
    <x v="7"/>
  </r>
  <r>
    <s v="400-04"/>
    <x v="1"/>
    <n v="0"/>
    <d v="2020-01-08T00:00:00"/>
    <d v="2020-01-08T00:00:00"/>
    <s v="SI206N02476"/>
    <m/>
    <s v="3M RENTAL PRIME(1)06/08"/>
    <s v="120006"/>
    <s v="20011292"/>
    <s v="MSH"/>
    <n v="0"/>
    <n v="14930.23"/>
    <n v="14930.23"/>
    <s v="NG"/>
    <x v="7"/>
  </r>
  <r>
    <s v="400-04"/>
    <x v="1"/>
    <n v="0"/>
    <d v="2020-01-08T00:00:00"/>
    <d v="2020-01-08T00:00:00"/>
    <s v="SI206N02477"/>
    <m/>
    <s v="1M LTO ECO&amp;STUP(1)-06/08"/>
    <s v="120006"/>
    <s v="20011294"/>
    <s v="MSH"/>
    <n v="0"/>
    <n v="5116.28"/>
    <n v="5116.28"/>
    <s v="NG"/>
    <x v="7"/>
  </r>
  <r>
    <s v="400-04"/>
    <x v="1"/>
    <n v="0"/>
    <d v="2020-01-08T00:00:00"/>
    <d v="2020-01-08T00:00:00"/>
    <s v="SI206N02479"/>
    <m/>
    <s v="6M RENTAL PRME(1)-06/08"/>
    <s v="120006"/>
    <s v="20011298"/>
    <s v="MSH"/>
    <n v="0"/>
    <n v="28186.05"/>
    <n v="28186.05"/>
    <s v="NG"/>
    <x v="7"/>
  </r>
  <r>
    <s v="400-04"/>
    <x v="1"/>
    <n v="0"/>
    <d v="2020-01-08T00:00:00"/>
    <d v="2020-01-08T00:00:00"/>
    <s v="SI206N02480"/>
    <m/>
    <s v="1M LTO PRM&amp;STUP(1)-06/08"/>
    <s v="120006"/>
    <s v="20011300"/>
    <s v="MSH"/>
    <n v="0"/>
    <n v="6790.7"/>
    <n v="6790.7"/>
    <s v="NG"/>
    <x v="7"/>
  </r>
  <r>
    <s v="400-04"/>
    <x v="1"/>
    <n v="0"/>
    <d v="2020-01-08T00:00:00"/>
    <d v="2020-01-08T00:00:00"/>
    <s v="SI206N02481"/>
    <m/>
    <s v="12M LTO PRME(1)-06/08"/>
    <s v="120006"/>
    <s v="20011302"/>
    <s v="MSH"/>
    <n v="0"/>
    <n v="66790.7"/>
    <n v="66790.7"/>
    <s v="NG"/>
    <x v="7"/>
  </r>
  <r>
    <s v="400-04"/>
    <x v="1"/>
    <n v="0"/>
    <d v="2020-01-08T00:00:00"/>
    <d v="2020-01-08T00:00:00"/>
    <s v="SI206N02482"/>
    <m/>
    <s v="1M RENTAL ECO(3)-07/08"/>
    <s v="120006"/>
    <s v="20011304"/>
    <s v="MSH"/>
    <n v="0"/>
    <n v="12418.61"/>
    <n v="12418.61"/>
    <s v="NG"/>
    <x v="7"/>
  </r>
  <r>
    <s v="400-04"/>
    <x v="1"/>
    <n v="0"/>
    <d v="2020-01-08T00:00:00"/>
    <d v="2020-01-08T00:00:00"/>
    <s v="SI206N02483"/>
    <m/>
    <s v="1M LTO ECO(1)-07/08"/>
    <s v="120006"/>
    <s v="20011306"/>
    <s v="MSH"/>
    <n v="0"/>
    <n v="5116.28"/>
    <n v="5116.28"/>
    <s v="NG"/>
    <x v="7"/>
  </r>
  <r>
    <s v="400-04"/>
    <x v="1"/>
    <n v="0"/>
    <d v="2020-01-08T00:00:00"/>
    <d v="2020-01-08T00:00:00"/>
    <s v="SI206N02484"/>
    <m/>
    <s v="1M RENTL PRIME(17)-07/08"/>
    <s v="120006"/>
    <s v="20011308"/>
    <s v="MSH"/>
    <n v="0"/>
    <n v="94093.02"/>
    <n v="94093.02"/>
    <s v="NG"/>
    <x v="7"/>
  </r>
  <r>
    <s v="400-04"/>
    <x v="1"/>
    <n v="0"/>
    <d v="2020-01-08T00:00:00"/>
    <d v="2020-01-08T00:00:00"/>
    <s v="SI206N02485"/>
    <m/>
    <s v="1M RENTL PRIME(3)-07/08"/>
    <s v="120006"/>
    <s v="20011310"/>
    <s v="MSH"/>
    <n v="0"/>
    <n v="16604.650000000001"/>
    <n v="16604.650000000001"/>
    <s v="NG"/>
    <x v="7"/>
  </r>
  <r>
    <s v="400-04"/>
    <x v="1"/>
    <n v="0"/>
    <d v="2020-01-08T00:00:00"/>
    <d v="2020-01-08T00:00:00"/>
    <s v="SI206N02486"/>
    <m/>
    <s v="1M LTO PRIME(11)-07/08"/>
    <s v="120006"/>
    <s v="20011312"/>
    <s v="MSH"/>
    <n v="0"/>
    <n v="74697.67"/>
    <n v="74697.67"/>
    <s v="NG"/>
    <x v="7"/>
  </r>
  <r>
    <s v="400-04"/>
    <x v="1"/>
    <n v="0"/>
    <d v="2020-01-08T00:00:00"/>
    <d v="2020-01-08T00:00:00"/>
    <s v="SI206N02487"/>
    <m/>
    <s v="2M RENTAL PRIME(1)-07/08"/>
    <s v="120006"/>
    <s v="20011314"/>
    <s v="MSH"/>
    <n v="0"/>
    <n v="10511.63"/>
    <n v="10511.63"/>
    <s v="NG"/>
    <x v="7"/>
  </r>
  <r>
    <s v="400-04"/>
    <x v="1"/>
    <n v="0"/>
    <d v="2020-01-08T00:00:00"/>
    <d v="2020-01-08T00:00:00"/>
    <s v="SI206N02488"/>
    <m/>
    <s v="1M LTO PRIME(2)-07/08"/>
    <s v="120006"/>
    <s v="20011316"/>
    <s v="MSH"/>
    <n v="0"/>
    <n v="13581.39"/>
    <n v="13581.39"/>
    <s v="NG"/>
    <x v="7"/>
  </r>
  <r>
    <s v="400-04"/>
    <x v="1"/>
    <n v="0"/>
    <d v="2020-01-08T00:00:00"/>
    <d v="2020-01-08T00:00:00"/>
    <s v="SI206N02489"/>
    <m/>
    <s v="3M LTO PRIME(2)-07/08"/>
    <s v="120006"/>
    <s v="20011318"/>
    <s v="MSH"/>
    <n v="0"/>
    <n v="38697.67"/>
    <n v="38697.67"/>
    <s v="NG"/>
    <x v="7"/>
  </r>
  <r>
    <s v="400-04"/>
    <x v="1"/>
    <n v="0"/>
    <d v="2020-01-08T00:00:00"/>
    <d v="2020-01-08T00:00:00"/>
    <s v="SI206N02490"/>
    <m/>
    <s v="1M LTO ECO&amp;STUP(1)-07/08"/>
    <s v="120006"/>
    <s v="20011320"/>
    <s v="MSH"/>
    <n v="0"/>
    <n v="5116.28"/>
    <n v="5116.28"/>
    <s v="NG"/>
    <x v="7"/>
  </r>
  <r>
    <s v="400-04"/>
    <x v="1"/>
    <n v="0"/>
    <d v="2020-01-08T00:00:00"/>
    <d v="2020-01-08T00:00:00"/>
    <s v="SI206N02491"/>
    <m/>
    <s v="1M RENTAL ECO(3)-08/08"/>
    <s v="120006"/>
    <s v="20011322"/>
    <s v="MSH"/>
    <n v="0"/>
    <n v="12418.61"/>
    <n v="12418.61"/>
    <s v="NG"/>
    <x v="7"/>
  </r>
  <r>
    <s v="400-04"/>
    <x v="1"/>
    <n v="0"/>
    <d v="2020-01-08T00:00:00"/>
    <d v="2020-01-08T00:00:00"/>
    <s v="SI206N02492"/>
    <m/>
    <s v="1M LTO ECO(1)-08/08"/>
    <s v="120006"/>
    <s v="20011324"/>
    <s v="MSH"/>
    <n v="0"/>
    <n v="5116.28"/>
    <n v="5116.28"/>
    <s v="NG"/>
    <x v="7"/>
  </r>
  <r>
    <s v="400-04"/>
    <x v="1"/>
    <n v="0"/>
    <d v="2020-01-08T00:00:00"/>
    <d v="2020-01-08T00:00:00"/>
    <s v="SI206N02493"/>
    <m/>
    <s v="1M RENTL PRIME(11)-08/08"/>
    <s v="120006"/>
    <s v="20011326"/>
    <s v="MSH"/>
    <n v="0"/>
    <n v="60883.72"/>
    <n v="60883.72"/>
    <s v="NG"/>
    <x v="7"/>
  </r>
  <r>
    <s v="400-04"/>
    <x v="1"/>
    <n v="0"/>
    <d v="2020-01-08T00:00:00"/>
    <d v="2020-01-08T00:00:00"/>
    <s v="SI206N02494"/>
    <m/>
    <s v="1M RENTL PRIME(1)-08/08"/>
    <s v="120006"/>
    <s v="20011328"/>
    <s v="MSH"/>
    <n v="0"/>
    <n v="5534.88"/>
    <n v="5534.88"/>
    <s v="NG"/>
    <x v="7"/>
  </r>
  <r>
    <s v="400-04"/>
    <x v="1"/>
    <n v="0"/>
    <d v="2020-01-08T00:00:00"/>
    <d v="2020-01-08T00:00:00"/>
    <s v="SI206N02495"/>
    <m/>
    <s v="1M LTO PRIME(11)-08/08"/>
    <s v="120006"/>
    <s v="20011330"/>
    <s v="MSH"/>
    <n v="0"/>
    <n v="74697.67"/>
    <n v="74697.67"/>
    <s v="NG"/>
    <x v="7"/>
  </r>
  <r>
    <s v="400-04"/>
    <x v="1"/>
    <n v="0"/>
    <d v="2020-01-08T00:00:00"/>
    <d v="2020-01-08T00:00:00"/>
    <s v="SI206N02496"/>
    <m/>
    <s v="2M LTO ECO(1)-08/08"/>
    <s v="120006"/>
    <s v="20011332"/>
    <s v="MSH"/>
    <n v="0"/>
    <n v="9906.98"/>
    <n v="9906.98"/>
    <s v="NG"/>
    <x v="7"/>
  </r>
  <r>
    <s v="400-04"/>
    <x v="1"/>
    <n v="0"/>
    <d v="2020-01-08T00:00:00"/>
    <d v="2020-01-08T00:00:00"/>
    <s v="SI206N02497"/>
    <m/>
    <s v="1M LTO ECO&amp;STUP(1)-08/08"/>
    <s v="120006"/>
    <s v="20011334"/>
    <s v="MSH"/>
    <n v="0"/>
    <n v="5116.28"/>
    <n v="5116.28"/>
    <s v="NG"/>
    <x v="7"/>
  </r>
  <r>
    <s v="400-04"/>
    <x v="1"/>
    <n v="0"/>
    <d v="2020-01-08T00:00:00"/>
    <d v="2020-01-08T00:00:00"/>
    <s v="SI206N02498"/>
    <m/>
    <s v="1M RENTAL ECO(1)-08/08"/>
    <s v="120006"/>
    <s v="20011336"/>
    <s v="MSH"/>
    <n v="0"/>
    <n v="4139.54"/>
    <n v="4139.54"/>
    <s v="NG"/>
    <x v="7"/>
  </r>
  <r>
    <s v="400-04"/>
    <x v="1"/>
    <n v="0"/>
    <d v="2020-01-08T00:00:00"/>
    <d v="2020-01-08T00:00:00"/>
    <s v="SI206N02499"/>
    <m/>
    <s v="1M LTO ECO(1)-08/08"/>
    <s v="120006"/>
    <s v="20011338"/>
    <s v="MSH"/>
    <n v="0"/>
    <n v="5116.28"/>
    <n v="5116.28"/>
    <s v="NG"/>
    <x v="7"/>
  </r>
  <r>
    <s v="400-04"/>
    <x v="1"/>
    <n v="0"/>
    <d v="2020-01-08T00:00:00"/>
    <d v="2020-01-08T00:00:00"/>
    <s v="SI206N02500"/>
    <m/>
    <s v="1M RENTL PRIME(9)-09/08"/>
    <s v="120006"/>
    <s v="20011340"/>
    <s v="MSH"/>
    <n v="0"/>
    <n v="49813.96"/>
    <n v="49813.96"/>
    <s v="NG"/>
    <x v="7"/>
  </r>
  <r>
    <s v="400-04"/>
    <x v="1"/>
    <n v="0"/>
    <d v="2020-01-08T00:00:00"/>
    <d v="2020-01-08T00:00:00"/>
    <s v="SI206N02501"/>
    <m/>
    <s v="1M LTO PRIME(3)-09/08"/>
    <s v="120006"/>
    <s v="20011342"/>
    <s v="MSH"/>
    <n v="0"/>
    <n v="20372.09"/>
    <n v="20372.09"/>
    <s v="NG"/>
    <x v="7"/>
  </r>
  <r>
    <s v="400-04"/>
    <x v="1"/>
    <n v="0"/>
    <d v="2020-01-08T00:00:00"/>
    <d v="2020-01-08T00:00:00"/>
    <s v="SI206N02502"/>
    <m/>
    <s v="1M LTO PRIME(2)-09/08"/>
    <s v="120006"/>
    <s v="20011344"/>
    <s v="MSH"/>
    <n v="0"/>
    <n v="13581.39"/>
    <n v="13581.39"/>
    <s v="NG"/>
    <x v="7"/>
  </r>
  <r>
    <s v="400-04"/>
    <x v="1"/>
    <n v="0"/>
    <d v="2020-01-08T00:00:00"/>
    <d v="2020-01-08T00:00:00"/>
    <s v="SI206N02503"/>
    <m/>
    <s v="1M RENTAL ECO(1)-10/08"/>
    <s v="120006"/>
    <s v="20011346"/>
    <s v="MSH"/>
    <n v="0"/>
    <n v="4139.54"/>
    <n v="4139.54"/>
    <s v="NG"/>
    <x v="7"/>
  </r>
  <r>
    <s v="400-04"/>
    <x v="1"/>
    <n v="0"/>
    <d v="2020-01-08T00:00:00"/>
    <d v="2020-01-08T00:00:00"/>
    <s v="SI206N02504"/>
    <m/>
    <s v="1M LTO ECO(5)-10/08"/>
    <s v="120006"/>
    <s v="20011348"/>
    <s v="MSH"/>
    <n v="0"/>
    <n v="25581.39"/>
    <n v="25581.39"/>
    <s v="NG"/>
    <x v="7"/>
  </r>
  <r>
    <s v="400-04"/>
    <x v="1"/>
    <n v="0"/>
    <d v="2020-01-08T00:00:00"/>
    <d v="2020-01-08T00:00:00"/>
    <s v="SI206N02505"/>
    <m/>
    <s v="1M RENTL PRIME(11)-10/08"/>
    <s v="120006"/>
    <s v="20011350"/>
    <s v="MSH"/>
    <n v="0"/>
    <n v="60883.72"/>
    <n v="60883.72"/>
    <s v="NG"/>
    <x v="7"/>
  </r>
  <r>
    <s v="400-04"/>
    <x v="1"/>
    <n v="0"/>
    <d v="2020-01-08T00:00:00"/>
    <d v="2020-01-08T00:00:00"/>
    <s v="SI206N02506"/>
    <m/>
    <s v="1M LTO PRIME(14)-10/08"/>
    <s v="120006"/>
    <s v="20011352"/>
    <s v="MSH"/>
    <n v="0"/>
    <n v="95069.759999999995"/>
    <n v="95069.759999999995"/>
    <s v="NG"/>
    <x v="7"/>
  </r>
  <r>
    <s v="400-04"/>
    <x v="1"/>
    <n v="0"/>
    <d v="2020-01-08T00:00:00"/>
    <d v="2020-01-08T00:00:00"/>
    <s v="SI206N02507"/>
    <m/>
    <s v="1M LTO PRIME(1)-10/08"/>
    <s v="120006"/>
    <s v="20011354"/>
    <s v="MSH"/>
    <n v="0"/>
    <n v="6790.7"/>
    <n v="6790.7"/>
    <s v="NG"/>
    <x v="7"/>
  </r>
  <r>
    <s v="400-04"/>
    <x v="1"/>
    <n v="0"/>
    <d v="2020-01-08T00:00:00"/>
    <d v="2020-01-08T00:00:00"/>
    <s v="SI206N02508"/>
    <m/>
    <s v="2M RENTL PRIME(1)-10/08"/>
    <s v="120006"/>
    <s v="20011356"/>
    <s v="MSH"/>
    <n v="0"/>
    <n v="10511.63"/>
    <n v="10511.63"/>
    <s v="NG"/>
    <x v="7"/>
  </r>
  <r>
    <s v="400-04"/>
    <x v="1"/>
    <n v="0"/>
    <d v="2020-01-08T00:00:00"/>
    <d v="2020-01-08T00:00:00"/>
    <s v="SI206N02509"/>
    <m/>
    <s v="1M LTO PRIME(2)-10/08"/>
    <s v="120006"/>
    <s v="20011358"/>
    <s v="MSH"/>
    <n v="0"/>
    <n v="13581.39"/>
    <n v="13581.39"/>
    <s v="NG"/>
    <x v="7"/>
  </r>
  <r>
    <s v="400-04"/>
    <x v="1"/>
    <n v="0"/>
    <d v="2020-01-08T00:00:00"/>
    <d v="2020-01-08T00:00:00"/>
    <s v="SI206N02510"/>
    <m/>
    <s v="3M LTO PRIME(1)-10/08"/>
    <s v="120006"/>
    <s v="20011360"/>
    <s v="MSH"/>
    <n v="0"/>
    <n v="19348.84"/>
    <n v="19348.84"/>
    <s v="NG"/>
    <x v="7"/>
  </r>
  <r>
    <s v="400-04"/>
    <x v="1"/>
    <n v="0"/>
    <d v="2020-01-08T00:00:00"/>
    <d v="2020-01-08T00:00:00"/>
    <s v="SI206N02511"/>
    <m/>
    <s v="1M LTO ECO(4)-11/08"/>
    <s v="120006"/>
    <s v="20011396"/>
    <s v="MSH"/>
    <n v="0"/>
    <n v="20465.12"/>
    <n v="20465.12"/>
    <s v="NG"/>
    <x v="7"/>
  </r>
  <r>
    <s v="400-04"/>
    <x v="1"/>
    <n v="0"/>
    <d v="2020-01-08T00:00:00"/>
    <d v="2020-01-08T00:00:00"/>
    <s v="SI206N02512"/>
    <m/>
    <s v="1M RENTL PRIME(7)-11/08"/>
    <s v="120006"/>
    <s v="20011398"/>
    <s v="MSH"/>
    <n v="0"/>
    <n v="38744.19"/>
    <n v="38744.19"/>
    <s v="NG"/>
    <x v="7"/>
  </r>
  <r>
    <s v="400-04"/>
    <x v="1"/>
    <n v="0"/>
    <d v="2020-01-08T00:00:00"/>
    <d v="2020-01-08T00:00:00"/>
    <s v="SI206N02513"/>
    <m/>
    <s v="1M RENTL PRIME(1)-11/08"/>
    <s v="120006"/>
    <s v="20011400"/>
    <s v="MSH"/>
    <n v="0"/>
    <n v="5534.88"/>
    <n v="5534.88"/>
    <s v="NG"/>
    <x v="7"/>
  </r>
  <r>
    <s v="400-04"/>
    <x v="1"/>
    <n v="0"/>
    <d v="2020-01-08T00:00:00"/>
    <d v="2020-01-08T00:00:00"/>
    <s v="SI206N02514"/>
    <m/>
    <s v="1M RENTL PRIME(1)-11/08"/>
    <s v="120006"/>
    <s v="20011402"/>
    <s v="MSH"/>
    <n v="0"/>
    <n v="5534.88"/>
    <n v="5534.88"/>
    <s v="NG"/>
    <x v="7"/>
  </r>
  <r>
    <s v="400-04"/>
    <x v="1"/>
    <n v="0"/>
    <d v="2020-01-08T00:00:00"/>
    <d v="2020-01-08T00:00:00"/>
    <s v="SI206N02515"/>
    <m/>
    <s v="1M LTO PRIME(15)-11/08"/>
    <s v="120006"/>
    <s v="20011404"/>
    <s v="MSH"/>
    <n v="0"/>
    <n v="101860.46"/>
    <n v="101860.46"/>
    <s v="NG"/>
    <x v="7"/>
  </r>
  <r>
    <s v="400-04"/>
    <x v="1"/>
    <n v="0"/>
    <d v="2020-01-08T00:00:00"/>
    <d v="2020-01-08T00:00:00"/>
    <s v="SI206N02516"/>
    <m/>
    <s v="1M LTO ECO(1)-11/08"/>
    <s v="120006"/>
    <s v="20011406"/>
    <s v="MSH"/>
    <n v="0"/>
    <n v="5116.28"/>
    <n v="5116.28"/>
    <s v="NG"/>
    <x v="7"/>
  </r>
  <r>
    <s v="400-04"/>
    <x v="1"/>
    <n v="0"/>
    <d v="2020-01-08T00:00:00"/>
    <d v="2020-01-08T00:00:00"/>
    <s v="SI206N02562"/>
    <m/>
    <s v="1M LTO ECO(5)-12/08"/>
    <s v="120006"/>
    <s v="20011612"/>
    <s v="MSH"/>
    <n v="0"/>
    <n v="25581.39"/>
    <n v="25581.39"/>
    <s v="NG"/>
    <x v="7"/>
  </r>
  <r>
    <s v="400-04"/>
    <x v="1"/>
    <n v="0"/>
    <d v="2020-05-08T00:00:00"/>
    <s v="31/08/20"/>
    <s v="SI206N02945"/>
    <m/>
    <s v="2 LTO PRIME"/>
    <s v="120006"/>
    <s v="20012939"/>
    <s v="MSH"/>
    <n v="0"/>
    <n v="13581.39"/>
    <n v="13581.39"/>
    <s v="NG"/>
    <x v="7"/>
  </r>
  <r>
    <s v="400-04"/>
    <x v="1"/>
    <n v="0"/>
    <d v="2020-12-08T00:00:00"/>
    <d v="2020-12-08T00:00:00"/>
    <s v="SI206N02563"/>
    <m/>
    <s v="PRIME&amp; ECO USAGE,1PRIME"/>
    <s v="120006"/>
    <s v="20011649"/>
    <s v="MSH"/>
    <n v="0"/>
    <n v="193162.79"/>
    <n v="193162.79"/>
    <s v="NG"/>
    <x v="7"/>
  </r>
  <r>
    <s v="400-04"/>
    <x v="1"/>
    <n v="0"/>
    <d v="2020-12-08T00:00:00"/>
    <d v="2020-12-08T00:00:00"/>
    <s v="SI206N02568"/>
    <m/>
    <s v="PRIME LTO,RENTAL,ECO LTO"/>
    <s v="120006"/>
    <s v="20011665"/>
    <s v="MSH"/>
    <n v="0"/>
    <n v="270046.51"/>
    <n v="270046.51"/>
    <s v="NG"/>
    <x v="7"/>
  </r>
  <r>
    <s v="400-04"/>
    <x v="1"/>
    <n v="0"/>
    <d v="2020-12-08T00:00:00"/>
    <d v="2020-12-08T00:00:00"/>
    <s v="SI206N02569"/>
    <m/>
    <s v="PRIME LTO,ECO LTO,RENTAL"/>
    <s v="120006"/>
    <s v="20011668"/>
    <s v="MSH"/>
    <n v="0"/>
    <n v="249813.96"/>
    <n v="249813.96"/>
    <s v="NG"/>
    <x v="7"/>
  </r>
  <r>
    <s v="400-04"/>
    <x v="1"/>
    <n v="0"/>
    <d v="2020-12-08T00:00:00"/>
    <d v="2020-12-08T00:00:00"/>
    <s v="SI206N02570"/>
    <m/>
    <s v="PRIME LTO,ECO LTO,RENTAL"/>
    <s v="120006"/>
    <s v="20011670"/>
    <s v="MSH"/>
    <n v="0"/>
    <n v="254186.05"/>
    <n v="254186.05"/>
    <s v="NG"/>
    <x v="7"/>
  </r>
  <r>
    <s v="400-04"/>
    <x v="1"/>
    <n v="0"/>
    <d v="2020-12-08T00:00:00"/>
    <d v="2020-12-08T00:00:00"/>
    <s v="SI206N02571"/>
    <m/>
    <s v="PRIME LTO,ECO LTO,RENTAL"/>
    <s v="120006"/>
    <s v="20011672"/>
    <s v="MSH"/>
    <n v="0"/>
    <n v="114744.19"/>
    <n v="114744.19"/>
    <s v="NG"/>
    <x v="7"/>
  </r>
  <r>
    <s v="400-04"/>
    <x v="1"/>
    <n v="0"/>
    <d v="2020-12-08T00:00:00"/>
    <d v="2020-12-08T00:00:00"/>
    <s v="SI206N02572"/>
    <m/>
    <s v="PRIME LTO,ECO LTO,RENTAL"/>
    <s v="120006"/>
    <s v="20011674"/>
    <s v="MSH"/>
    <n v="0"/>
    <n v="403209.3"/>
    <n v="403209.3"/>
    <s v="NG"/>
    <x v="7"/>
  </r>
  <r>
    <s v="400-04"/>
    <x v="1"/>
    <n v="0"/>
    <d v="2020-12-08T00:00:00"/>
    <d v="2020-12-08T00:00:00"/>
    <s v="SI206N02599"/>
    <m/>
    <s v="SV GAMING-8 PRIME"/>
    <s v="120006"/>
    <s v="20011736"/>
    <s v="MSH"/>
    <n v="0"/>
    <n v="225488.41"/>
    <n v="225488.41"/>
    <s v="NG"/>
    <x v="7"/>
  </r>
  <r>
    <s v="400-04"/>
    <x v="1"/>
    <n v="0"/>
    <d v="2020-12-08T00:00:00"/>
    <d v="2020-12-08T00:00:00"/>
    <s v="SI206N02622"/>
    <m/>
    <s v="PRIME LTO,ECO LTO,RENTAL"/>
    <s v="120006"/>
    <s v="20011788"/>
    <s v="MSH"/>
    <n v="0"/>
    <n v="312837.21000000002"/>
    <n v="312837.21000000002"/>
    <s v="NG"/>
    <x v="7"/>
  </r>
  <r>
    <s v="400-04"/>
    <x v="1"/>
    <n v="0"/>
    <d v="2020-12-08T00:00:00"/>
    <d v="2020-12-08T00:00:00"/>
    <s v="SI206N02623"/>
    <m/>
    <s v="PRIME LTO,ECO LTO,RENTAL"/>
    <s v="120006"/>
    <s v="20011793"/>
    <s v="MSH"/>
    <n v="0"/>
    <n v="260232.56"/>
    <n v="260232.56"/>
    <s v="NG"/>
    <x v="7"/>
  </r>
  <r>
    <s v="400-04"/>
    <x v="1"/>
    <n v="0"/>
    <d v="2020-12-08T00:00:00"/>
    <d v="2020-12-08T00:00:00"/>
    <s v="SI206N02625"/>
    <m/>
    <s v="PRIME LTO,ECO LTO,RENTAL"/>
    <s v="120006"/>
    <s v="20011810"/>
    <s v="MSH"/>
    <n v="0"/>
    <n v="211162.79"/>
    <n v="211162.79"/>
    <s v="NG"/>
    <x v="7"/>
  </r>
  <r>
    <s v="400-04"/>
    <x v="1"/>
    <n v="0"/>
    <d v="2020-12-08T00:00:00"/>
    <d v="2020-12-08T00:00:00"/>
    <s v="SI206N02626"/>
    <m/>
    <s v="PRIME LTO,ECO LTO,RENTAL"/>
    <s v="120006"/>
    <s v="20011812"/>
    <s v="MSH"/>
    <n v="0"/>
    <n v="140325.57999999999"/>
    <n v="140325.57999999999"/>
    <s v="NG"/>
    <x v="7"/>
  </r>
  <r>
    <s v="400-04"/>
    <x v="1"/>
    <n v="0"/>
    <d v="2020-12-08T00:00:00"/>
    <d v="2020-12-08T00:00:00"/>
    <s v="SI206N02627"/>
    <m/>
    <s v="PRIME &amp; ECO RENTAL 1MTH"/>
    <s v="120006"/>
    <s v="20011814"/>
    <s v="MSH"/>
    <n v="0"/>
    <n v="87162.79"/>
    <n v="87162.79"/>
    <s v="NG"/>
    <x v="7"/>
  </r>
  <r>
    <s v="400-04"/>
    <x v="1"/>
    <n v="0"/>
    <d v="2020-12-08T00:00:00"/>
    <d v="2020-12-08T00:00:00"/>
    <s v="SI206N02651"/>
    <m/>
    <s v="PRIMELTO,ECO&amp;PRIME RENTA"/>
    <s v="120006"/>
    <s v="20011874"/>
    <s v="MSH"/>
    <n v="0"/>
    <n v="220976.74"/>
    <n v="220976.74"/>
    <s v="NG"/>
    <x v="7"/>
  </r>
  <r>
    <s v="400-04"/>
    <x v="1"/>
    <n v="0"/>
    <d v="2020-12-08T00:00:00"/>
    <d v="2020-12-08T00:00:00"/>
    <s v="SI206N02699"/>
    <m/>
    <s v="PRIMELTO,PRIME &amp; ECO REN"/>
    <s v="120006"/>
    <s v="20012087"/>
    <s v="MSH"/>
    <n v="0"/>
    <n v="104883.72"/>
    <n v="104883.72"/>
    <s v="NG"/>
    <x v="7"/>
  </r>
  <r>
    <s v="400-04"/>
    <x v="1"/>
    <n v="0"/>
    <d v="2020-12-08T00:00:00"/>
    <d v="2020-12-08T00:00:00"/>
    <s v="SI206N02855"/>
    <m/>
    <s v="Reversal of 20011668"/>
    <s v="120006"/>
    <s v="20012668"/>
    <s v="MSH"/>
    <n v="0"/>
    <n v="-249813.96"/>
    <n v="-249813.96"/>
    <s v="NG"/>
    <x v="7"/>
  </r>
  <r>
    <s v="400-04"/>
    <x v="1"/>
    <n v="0"/>
    <d v="2020-12-08T00:00:00"/>
    <s v="24/08/20"/>
    <s v="SI206N02856"/>
    <m/>
    <s v="PRIME LTO,ECO LTO,RENTAL"/>
    <s v="120006"/>
    <s v="20012671"/>
    <s v="MSH"/>
    <n v="0"/>
    <n v="230465.12"/>
    <n v="230465.12"/>
    <s v="NG"/>
    <x v="7"/>
  </r>
  <r>
    <s v="400-04"/>
    <x v="1"/>
    <n v="0"/>
    <s v="13/08/20"/>
    <d v="2020-01-09T00:00:00"/>
    <s v="SI206N02974"/>
    <m/>
    <s v="1 ECO RENTAL-OTITOJU TUN"/>
    <s v="120006"/>
    <s v="20013211"/>
    <s v="MSH"/>
    <n v="0"/>
    <n v="4139.54"/>
    <n v="4139.54"/>
    <s v="NG"/>
    <x v="7"/>
  </r>
  <r>
    <s v="400-04"/>
    <x v="1"/>
    <n v="0"/>
    <s v="15/08/20"/>
    <d v="2020-01-09T00:00:00"/>
    <s v="SI206N02977"/>
    <m/>
    <s v="1 ECO LTO-ADETOLA OLUSHO"/>
    <s v="120006"/>
    <s v="20013220"/>
    <s v="MSH"/>
    <n v="0"/>
    <n v="5116.28"/>
    <n v="5116.28"/>
    <s v="NG"/>
    <x v="7"/>
  </r>
  <r>
    <s v="400-04"/>
    <x v="1"/>
    <n v="0"/>
    <s v="17/08/20"/>
    <s v="17/08/20"/>
    <s v="SI206N02703"/>
    <m/>
    <s v="PRIME&amp;ECO LTO,RENTAL,SET"/>
    <s v="120006"/>
    <s v="20012100"/>
    <s v="MSH"/>
    <n v="0"/>
    <n v="279953.49"/>
    <n v="279953.49"/>
    <s v="NG"/>
    <x v="7"/>
  </r>
  <r>
    <s v="400-04"/>
    <x v="1"/>
    <n v="0"/>
    <s v="17/08/20"/>
    <d v="2020-01-09T00:00:00"/>
    <s v="SI206N02981"/>
    <m/>
    <s v="1 PRIME RENTAL-Fasuan ay"/>
    <s v="120006"/>
    <s v="20013230"/>
    <s v="MSH"/>
    <n v="0"/>
    <n v="5534.88"/>
    <n v="5534.88"/>
    <s v="NG"/>
    <x v="7"/>
  </r>
  <r>
    <s v="400-04"/>
    <x v="1"/>
    <n v="0"/>
    <s v="17/08/20"/>
    <d v="2020-01-09T00:00:00"/>
    <s v="SI206N02982"/>
    <m/>
    <s v="1 PRIME RENTAL-Fasuan ay"/>
    <s v="120006"/>
    <s v="20013232"/>
    <s v="MSH"/>
    <n v="0"/>
    <n v="5534.88"/>
    <n v="5534.88"/>
    <s v="NG"/>
    <x v="7"/>
  </r>
  <r>
    <s v="400-04"/>
    <x v="1"/>
    <n v="0"/>
    <s v="18/08/20"/>
    <d v="2020-01-09T00:00:00"/>
    <s v="SI206N02986"/>
    <m/>
    <s v="1 ECO LTO-Eniade Emmanue"/>
    <s v="120006"/>
    <s v="20013240"/>
    <s v="MSH"/>
    <n v="0"/>
    <n v="5534.88"/>
    <n v="5534.88"/>
    <s v="NG"/>
    <x v="7"/>
  </r>
  <r>
    <s v="400-04"/>
    <x v="1"/>
    <n v="0"/>
    <s v="19/08/20"/>
    <s v="19/08/20"/>
    <s v="SI206N02746"/>
    <m/>
    <s v="PRIME LTO,PRIME&amp;ECO RENT"/>
    <s v="120006"/>
    <s v="20012256"/>
    <s v="MSH"/>
    <n v="0"/>
    <n v="180697.68"/>
    <n v="180697.68"/>
    <s v="NG"/>
    <x v="7"/>
  </r>
  <r>
    <s v="400-04"/>
    <x v="1"/>
    <n v="0"/>
    <s v="19/08/20"/>
    <s v="19/08/20"/>
    <s v="SI206N02748"/>
    <m/>
    <s v="PRIME LTO,PRIME&amp;ECO RENT"/>
    <s v="120006"/>
    <s v="20012259"/>
    <s v="MSH"/>
    <n v="0"/>
    <n v="180697.68"/>
    <n v="180697.68"/>
    <s v="NG"/>
    <x v="7"/>
  </r>
  <r>
    <s v="400-04"/>
    <x v="1"/>
    <n v="0"/>
    <s v="19/08/20"/>
    <s v="19/08/20"/>
    <s v="SI206N02749"/>
    <m/>
    <s v="Reversal of 20012259"/>
    <s v="120006"/>
    <s v="20012260"/>
    <s v="MSH"/>
    <n v="0"/>
    <n v="-180697.68"/>
    <n v="-180697.68"/>
    <s v="NG"/>
    <x v="7"/>
  </r>
  <r>
    <s v="400-04"/>
    <x v="1"/>
    <n v="0"/>
    <s v="19/08/20"/>
    <s v="19/08/20"/>
    <s v="SI206N02750"/>
    <m/>
    <s v="PRIME&amp;ECO LTO,RENTAL,SET"/>
    <s v="120006"/>
    <s v="20012262"/>
    <s v="MSH"/>
    <n v="0"/>
    <n v="150465.12"/>
    <n v="150465.12"/>
    <s v="NG"/>
    <x v="7"/>
  </r>
  <r>
    <s v="400-04"/>
    <x v="1"/>
    <n v="0"/>
    <s v="20/08/20"/>
    <s v="20/08/20"/>
    <s v="SI206N02767"/>
    <m/>
    <s v="PRIME&amp;ECO LTO,RENTALS"/>
    <s v="120006"/>
    <s v="20012354"/>
    <s v="MSH"/>
    <n v="0"/>
    <n v="175534.88"/>
    <n v="175534.88"/>
    <s v="NG"/>
    <x v="7"/>
  </r>
  <r>
    <s v="400-04"/>
    <x v="1"/>
    <n v="0"/>
    <s v="20/08/20"/>
    <s v="20/08/20"/>
    <s v="SI206N02768"/>
    <m/>
    <s v="PRIME&amp;ECO LTO,PRIMERENTA"/>
    <s v="120006"/>
    <s v="20012356"/>
    <s v="MSH"/>
    <n v="0"/>
    <n v="133069.76999999999"/>
    <n v="133069.76999999999"/>
    <s v="NG"/>
    <x v="7"/>
  </r>
  <r>
    <s v="400-04"/>
    <x v="1"/>
    <n v="0"/>
    <s v="20/08/20"/>
    <s v="20/08/20"/>
    <s v="SI206N02769"/>
    <m/>
    <s v="1 ECO RENTAL- 1MTH"/>
    <s v="120006"/>
    <s v="20012358"/>
    <s v="MSH"/>
    <n v="0"/>
    <n v="4139.54"/>
    <n v="4139.54"/>
    <s v="NG"/>
    <x v="7"/>
  </r>
  <r>
    <s v="400-04"/>
    <x v="1"/>
    <n v="0"/>
    <s v="20/08/20"/>
    <s v="20/08/20"/>
    <s v="SI206N02770"/>
    <m/>
    <s v="1 ECO LTO -1MTH"/>
    <s v="120006"/>
    <s v="20012360"/>
    <s v="MSH"/>
    <n v="0"/>
    <n v="5116.28"/>
    <n v="5116.28"/>
    <s v="NG"/>
    <x v="7"/>
  </r>
  <r>
    <s v="400-04"/>
    <x v="1"/>
    <n v="0"/>
    <s v="20/08/20"/>
    <s v="20/08/20"/>
    <s v="SI206N02815"/>
    <m/>
    <s v="PRIME&amp;ECO LTO,PRIME RENT"/>
    <s v="120006"/>
    <s v="20012465"/>
    <s v="MSH"/>
    <n v="0"/>
    <n v="389069.77"/>
    <n v="389069.77"/>
    <s v="NG"/>
    <x v="7"/>
  </r>
  <r>
    <s v="400-04"/>
    <x v="1"/>
    <n v="0"/>
    <s v="20/08/20"/>
    <s v="20/08/20"/>
    <s v="SI206N02824"/>
    <m/>
    <s v="1 ECO-Mr. ADESHOLLAR ARE"/>
    <s v="120006"/>
    <s v="20012557"/>
    <s v="MSH"/>
    <n v="0"/>
    <n v="4139.54"/>
    <n v="4139.54"/>
    <s v="NG"/>
    <x v="7"/>
  </r>
  <r>
    <s v="400-04"/>
    <x v="1"/>
    <n v="0"/>
    <s v="20/08/20"/>
    <s v="20/08/20"/>
    <s v="SI206N02825"/>
    <m/>
    <s v="4 PRIME-OMO MUMMY"/>
    <s v="120006"/>
    <s v="20012560"/>
    <s v="MSH"/>
    <n v="0"/>
    <n v="21581.39"/>
    <n v="21581.39"/>
    <s v="NG"/>
    <x v="7"/>
  </r>
  <r>
    <s v="400-04"/>
    <x v="1"/>
    <n v="0"/>
    <s v="20/08/20"/>
    <s v="20/08/20"/>
    <s v="SI206N02826"/>
    <m/>
    <s v="PRIME&amp;ECO LTO,RENTALS"/>
    <s v="120006"/>
    <s v="20012563"/>
    <s v="MSH"/>
    <n v="0"/>
    <n v="170186.05"/>
    <n v="170186.05"/>
    <s v="NG"/>
    <x v="7"/>
  </r>
  <r>
    <s v="400-04"/>
    <x v="1"/>
    <n v="0"/>
    <s v="20/08/20"/>
    <s v="20/08/20"/>
    <s v="SI206N02829"/>
    <m/>
    <s v="1 PRIME SUB-OJEHUMEN SAN"/>
    <s v="120006"/>
    <s v="20012569"/>
    <s v="MSH"/>
    <n v="0"/>
    <n v="5534.88"/>
    <n v="5534.88"/>
    <s v="NG"/>
    <x v="7"/>
  </r>
  <r>
    <s v="400-04"/>
    <x v="1"/>
    <n v="0"/>
    <s v="20/08/20"/>
    <s v="20/08/20"/>
    <s v="SI206N02830"/>
    <m/>
    <s v="34 PRIME SYS-IHS"/>
    <s v="120006"/>
    <s v="20012571"/>
    <s v="MSH"/>
    <n v="0"/>
    <n v="958325.67"/>
    <n v="958325.67"/>
    <s v="NG"/>
    <x v="7"/>
  </r>
  <r>
    <s v="400-04"/>
    <x v="1"/>
    <n v="0"/>
    <s v="20/08/20"/>
    <s v="20/08/20"/>
    <s v="SI206N02831"/>
    <m/>
    <s v="1 PRIME LTO-AJIKOBI ABI"/>
    <s v="120006"/>
    <s v="20012573"/>
    <s v="MSH"/>
    <n v="0"/>
    <n v="6790.7"/>
    <n v="6790.7"/>
    <s v="NG"/>
    <x v="7"/>
  </r>
  <r>
    <s v="400-04"/>
    <x v="1"/>
    <n v="0"/>
    <s v="20/08/20"/>
    <s v="20/08/20"/>
    <s v="SI206N02832"/>
    <m/>
    <s v="1 PRIME LTO-OLUWOLE SAMS"/>
    <s v="120006"/>
    <s v="20012575"/>
    <s v="MSH"/>
    <n v="0"/>
    <n v="6790.7"/>
    <n v="6790.7"/>
    <s v="NG"/>
    <x v="7"/>
  </r>
  <r>
    <s v="400-04"/>
    <x v="1"/>
    <n v="0"/>
    <s v="20/08/20"/>
    <s v="20/08/20"/>
    <s v="SI206N02833"/>
    <m/>
    <s v="1 PRI(RENTAL)&amp;1 LTO PRIM"/>
    <s v="120006"/>
    <s v="20012577"/>
    <s v="MSH"/>
    <n v="0"/>
    <n v="12325.58"/>
    <n v="12325.58"/>
    <s v="NG"/>
    <x v="7"/>
  </r>
  <r>
    <s v="400-04"/>
    <x v="1"/>
    <n v="0"/>
    <s v="23/08/20"/>
    <d v="2020-01-09T00:00:00"/>
    <s v="SI206N02991"/>
    <m/>
    <s v="1 PRIME RENTAL-Wasilat O"/>
    <s v="120006"/>
    <s v="20013249"/>
    <s v="MSH"/>
    <n v="0"/>
    <n v="5534.88"/>
    <n v="5534.88"/>
    <s v="NG"/>
    <x v="7"/>
  </r>
  <r>
    <s v="400-04"/>
    <x v="1"/>
    <n v="0"/>
    <s v="24/08/20"/>
    <s v="24/08/20"/>
    <s v="SI206N02846"/>
    <m/>
    <s v="PRIME&amp;ECO LTO,RENTALS"/>
    <s v="120006"/>
    <s v="20012642"/>
    <s v="MSH"/>
    <n v="0"/>
    <n v="194325.58"/>
    <n v="194325.58"/>
    <s v="NG"/>
    <x v="7"/>
  </r>
  <r>
    <s v="400-04"/>
    <x v="1"/>
    <n v="0"/>
    <s v="25/08/20"/>
    <d v="2020-01-09T00:00:00"/>
    <s v="SI206N02972"/>
    <m/>
    <s v="Shehu Anafi-1 RENTAL PRI"/>
    <s v="120006"/>
    <s v="20013202"/>
    <s v="MSH"/>
    <n v="0"/>
    <n v="5534.88"/>
    <n v="5534.88"/>
    <s v="NG"/>
    <x v="7"/>
  </r>
  <r>
    <s v="400-04"/>
    <x v="1"/>
    <n v="0"/>
    <s v="28/08/20"/>
    <s v="28/08/20"/>
    <s v="SI206N02995"/>
    <m/>
    <s v="2 MONTHS-PRIME-ANN NWEKE"/>
    <s v="120006"/>
    <s v="20013258"/>
    <s v="MSH"/>
    <n v="0"/>
    <n v="10511.63"/>
    <n v="10511.63"/>
    <s v="NG"/>
    <x v="7"/>
  </r>
  <r>
    <s v="400-04"/>
    <x v="1"/>
    <n v="0"/>
    <s v="30/08/20"/>
    <d v="2020-01-09T00:00:00"/>
    <s v="SI206N02993"/>
    <m/>
    <s v="1 PRIME RENTAL-Limota go"/>
    <s v="120006"/>
    <s v="20013254"/>
    <s v="MSH"/>
    <n v="0"/>
    <n v="5534.88"/>
    <n v="5534.88"/>
    <s v="NG"/>
    <x v="7"/>
  </r>
  <r>
    <s v="400-04"/>
    <x v="1"/>
    <n v="0"/>
    <s v="31/08/20"/>
    <s v="31/08/20"/>
    <s v="SI206N02948"/>
    <m/>
    <s v="1 ECO RENTAL"/>
    <s v="120006"/>
    <s v="20012950"/>
    <s v="MSH"/>
    <n v="0"/>
    <n v="4139.54"/>
    <n v="4139.54"/>
    <s v="NG"/>
    <x v="7"/>
  </r>
  <r>
    <s v="400-04"/>
    <x v="1"/>
    <n v="0"/>
    <s v="31/08/20"/>
    <s v="31/08/20"/>
    <s v="SI206N02949"/>
    <m/>
    <s v="1 PRIME RENTAL"/>
    <s v="120006"/>
    <s v="20012967"/>
    <s v="MSH"/>
    <n v="0"/>
    <n v="5534.88"/>
    <n v="5534.88"/>
    <s v="NG"/>
    <x v="7"/>
  </r>
  <r>
    <s v="400-04"/>
    <x v="1"/>
    <n v="0"/>
    <s v="31/08/20"/>
    <s v="31/08/20"/>
    <s v="SI206N02950"/>
    <m/>
    <s v="1 PRIME RENTAL"/>
    <s v="120006"/>
    <s v="20013111"/>
    <s v="MSH"/>
    <n v="0"/>
    <n v="5534.88"/>
    <n v="5534.88"/>
    <s v="NG"/>
    <x v="7"/>
  </r>
  <r>
    <s v="400-04"/>
    <x v="1"/>
    <n v="0"/>
    <s v="31/08/20"/>
    <s v="31/08/20"/>
    <s v="SI206N02957"/>
    <m/>
    <s v="SV GAMING 3 UNIT OF PRIM"/>
    <s v="120006"/>
    <s v="20013142"/>
    <s v="MSH"/>
    <n v="0"/>
    <n v="84558.14"/>
    <n v="84558.14"/>
    <s v="NG"/>
    <x v="7"/>
  </r>
  <r>
    <s v="400-04"/>
    <x v="1"/>
    <n v="0"/>
    <s v="31/08/20"/>
    <s v="31/08/20"/>
    <s v="SI206N02965"/>
    <m/>
    <s v="1 RENTAL LTO"/>
    <s v="120006"/>
    <s v="20013187"/>
    <s v="MSH"/>
    <n v="0"/>
    <n v="6790.7"/>
    <n v="6790.7"/>
    <s v="NG"/>
    <x v="7"/>
  </r>
  <r>
    <s v="400-04"/>
    <x v="1"/>
    <n v="0"/>
    <s v="31/08/20"/>
    <s v="31/08/20"/>
    <s v="SI206N02966"/>
    <m/>
    <s v="1 ECO RENTAL-ADEYEMO ADE"/>
    <s v="120006"/>
    <s v="20013189"/>
    <s v="MSH"/>
    <n v="0"/>
    <n v="4139.54"/>
    <n v="4139.54"/>
    <s v="NG"/>
    <x v="7"/>
  </r>
  <r>
    <s v="400-04"/>
    <x v="1"/>
    <n v="0"/>
    <s v="31/08/20"/>
    <s v="31/08/20"/>
    <s v="SI206N02967"/>
    <m/>
    <s v="1 ECO LTO-AJAGUNNA IDOWU"/>
    <s v="120006"/>
    <s v="20013191"/>
    <s v="MSH"/>
    <n v="0"/>
    <n v="5116.28"/>
    <n v="5116.28"/>
    <s v="NG"/>
    <x v="7"/>
  </r>
  <r>
    <s v="400-04"/>
    <x v="1"/>
    <n v="0"/>
    <s v="31/08/20"/>
    <s v="31/08/20"/>
    <s v="SI206N02968"/>
    <m/>
    <s v="1 RENTAL LTO-WASIU"/>
    <s v="120006"/>
    <s v="20013193"/>
    <s v="MSH"/>
    <n v="0"/>
    <n v="6790.7"/>
    <n v="6790.7"/>
    <s v="NG"/>
    <x v="7"/>
  </r>
  <r>
    <s v="400-04"/>
    <x v="1"/>
    <n v="0"/>
    <s v="31/08/20"/>
    <s v="31/08/20"/>
    <s v="SI206N02994"/>
    <m/>
    <s v="1 PRIME RENTAL-AMDALAT"/>
    <s v="120006"/>
    <s v="20013257"/>
    <s v="MSH"/>
    <n v="0"/>
    <n v="5534.88"/>
    <n v="5534.88"/>
    <s v="NG"/>
    <x v="7"/>
  </r>
  <r>
    <s v="400-04"/>
    <x v="1"/>
    <n v="0"/>
    <s v="31/08/20"/>
    <s v="31/08/20"/>
    <s v="SI206N03001"/>
    <m/>
    <s v="CORAL CUST 15TH -30 AUG"/>
    <s v="120006"/>
    <s v="20013299"/>
    <s v="MSH"/>
    <n v="0"/>
    <n v="1239358.1399999999"/>
    <n v="1239358.1399999999"/>
    <s v="NG"/>
    <x v="7"/>
  </r>
  <r>
    <s v="400-04"/>
    <x v="1"/>
    <n v="0"/>
    <s v="31/08/20"/>
    <s v="31/08/20"/>
    <s v="SI206N03002"/>
    <m/>
    <s v="NIBSS USAGE ZINETH 1-31"/>
    <s v="120006"/>
    <s v="20013301"/>
    <s v="MSH"/>
    <n v="0"/>
    <n v="647116.27"/>
    <n v="647116.27"/>
    <s v="NG"/>
    <x v="7"/>
  </r>
  <r>
    <s v="400-04"/>
    <x v="1"/>
    <n v="0"/>
    <s v="31/08/20"/>
    <s v="31/08/20"/>
    <s v="SI206N03046"/>
    <m/>
    <s v="CORAL CUSTOMER 31/08/20"/>
    <s v="100039"/>
    <s v="20013434"/>
    <s v="MSH"/>
    <n v="0"/>
    <n v="383656.09"/>
    <n v="383656.09"/>
    <s v="NG"/>
    <x v="7"/>
  </r>
  <r>
    <s v="400-04"/>
    <x v="1"/>
    <n v="0"/>
    <d v="2020-01-09T00:00:00"/>
    <d v="2020-01-09T00:00:00"/>
    <s v="SI206N03003"/>
    <m/>
    <s v="1 PRIME LTO-Aruna Dauda"/>
    <s v="120006"/>
    <s v="20013313"/>
    <s v="MSH"/>
    <n v="0"/>
    <n v="6790.7"/>
    <n v="6790.7"/>
    <s v="NG"/>
    <x v="8"/>
  </r>
  <r>
    <s v="400-04"/>
    <x v="1"/>
    <n v="0"/>
    <d v="2020-01-09T00:00:00"/>
    <d v="2020-01-09T00:00:00"/>
    <s v="SI206N03004"/>
    <m/>
    <s v="1 PRIME LTO-Samuel oluwa"/>
    <s v="120006"/>
    <s v="20013315"/>
    <s v="MSH"/>
    <n v="0"/>
    <n v="6790.7"/>
    <n v="6790.7"/>
    <s v="NG"/>
    <x v="8"/>
  </r>
  <r>
    <s v="400-04"/>
    <x v="1"/>
    <n v="0"/>
    <d v="2020-01-09T00:00:00"/>
    <d v="2020-01-09T00:00:00"/>
    <s v="SI206N03005"/>
    <m/>
    <s v="1 PRIME LTO-Adesanya Emm"/>
    <s v="120006"/>
    <s v="20013317"/>
    <s v="MSH"/>
    <n v="0"/>
    <n v="6790.7"/>
    <n v="6790.7"/>
    <s v="NG"/>
    <x v="8"/>
  </r>
  <r>
    <s v="400-04"/>
    <x v="1"/>
    <n v="0"/>
    <d v="2020-01-09T00:00:00"/>
    <d v="2020-01-09T00:00:00"/>
    <s v="SI206N03006"/>
    <m/>
    <s v="1 PRIME LTO-EMEKA OKONKW"/>
    <s v="120006"/>
    <s v="20013319"/>
    <s v="MSH"/>
    <n v="0"/>
    <n v="6790.7"/>
    <n v="6790.7"/>
    <s v="NG"/>
    <x v="8"/>
  </r>
  <r>
    <s v="400-04"/>
    <x v="1"/>
    <n v="0"/>
    <d v="2020-01-09T00:00:00"/>
    <d v="2020-01-09T00:00:00"/>
    <s v="SI206N03007"/>
    <m/>
    <s v="1 PRIME LTO-Abimbara Ola"/>
    <s v="120006"/>
    <s v="20013321"/>
    <s v="MSH"/>
    <n v="0"/>
    <n v="6790.7"/>
    <n v="6790.7"/>
    <s v="NG"/>
    <x v="8"/>
  </r>
  <r>
    <s v="400-04"/>
    <x v="1"/>
    <n v="0"/>
    <d v="2020-01-09T00:00:00"/>
    <d v="2020-01-09T00:00:00"/>
    <s v="SI206N03008"/>
    <m/>
    <s v="3M PRIME LTO-Saheed Na-A"/>
    <s v="120006"/>
    <s v="20013323"/>
    <s v="MSH"/>
    <n v="0"/>
    <n v="19348.84"/>
    <n v="19348.84"/>
    <s v="NG"/>
    <x v="8"/>
  </r>
  <r>
    <s v="400-04"/>
    <x v="1"/>
    <n v="0"/>
    <d v="2020-01-09T00:00:00"/>
    <d v="2020-01-09T00:00:00"/>
    <s v="SI206N03009"/>
    <m/>
    <s v="1 PRIME LTO-Omoniyi Ayod"/>
    <s v="120006"/>
    <s v="20013325"/>
    <s v="MSH"/>
    <n v="0"/>
    <n v="6790.7"/>
    <n v="6790.7"/>
    <s v="NG"/>
    <x v="8"/>
  </r>
  <r>
    <s v="400-04"/>
    <x v="1"/>
    <n v="0"/>
    <d v="2020-01-09T00:00:00"/>
    <d v="2020-01-09T00:00:00"/>
    <s v="SI206N03010"/>
    <m/>
    <s v="1 PRIME LTO-OYEWO JOSHUA"/>
    <s v="120006"/>
    <s v="20013327"/>
    <s v="MSH"/>
    <n v="0"/>
    <n v="6790.7"/>
    <n v="6790.7"/>
    <s v="NG"/>
    <x v="8"/>
  </r>
  <r>
    <s v="400-04"/>
    <x v="1"/>
    <n v="0"/>
    <d v="2020-01-09T00:00:00"/>
    <d v="2020-01-09T00:00:00"/>
    <s v="SI206N03011"/>
    <m/>
    <s v="1 PRIME LTO-Mistura Aden"/>
    <s v="120006"/>
    <s v="20013329"/>
    <s v="MSH"/>
    <n v="0"/>
    <n v="6790.7"/>
    <n v="6790.7"/>
    <s v="NG"/>
    <x v="8"/>
  </r>
  <r>
    <s v="400-04"/>
    <x v="1"/>
    <n v="0"/>
    <d v="2020-01-09T00:00:00"/>
    <d v="2020-01-09T00:00:00"/>
    <s v="SI206N03012"/>
    <m/>
    <s v="1 PRIME LTO-Sanni Oluwak"/>
    <s v="120006"/>
    <s v="20013331"/>
    <s v="MSH"/>
    <n v="0"/>
    <n v="6790.7"/>
    <n v="6790.7"/>
    <s v="NG"/>
    <x v="8"/>
  </r>
  <r>
    <s v="400-04"/>
    <x v="1"/>
    <n v="0"/>
    <d v="2020-01-09T00:00:00"/>
    <d v="2020-01-09T00:00:00"/>
    <s v="SI206N03013"/>
    <m/>
    <s v="1 PRIME LTO-Aluko olumid"/>
    <s v="120006"/>
    <s v="20013333"/>
    <s v="MSH"/>
    <n v="0"/>
    <n v="6790.7"/>
    <n v="6790.7"/>
    <s v="NG"/>
    <x v="8"/>
  </r>
  <r>
    <s v="400-04"/>
    <x v="1"/>
    <n v="0"/>
    <d v="2020-01-09T00:00:00"/>
    <d v="2020-01-09T00:00:00"/>
    <s v="SI206N03014"/>
    <m/>
    <s v="1 ECO RENTAL-Ishola Kafi"/>
    <s v="120006"/>
    <s v="20013335"/>
    <s v="MSH"/>
    <n v="0"/>
    <n v="4139.54"/>
    <n v="4139.54"/>
    <s v="NG"/>
    <x v="8"/>
  </r>
  <r>
    <s v="400-04"/>
    <x v="1"/>
    <n v="0"/>
    <d v="2020-01-09T00:00:00"/>
    <d v="2020-01-09T00:00:00"/>
    <s v="SI206N03015"/>
    <m/>
    <s v="1 ECO RENTAL-OMOTAYO GEO"/>
    <s v="120006"/>
    <s v="20013337"/>
    <s v="MSH"/>
    <n v="0"/>
    <n v="4139.54"/>
    <n v="4139.54"/>
    <s v="NG"/>
    <x v="8"/>
  </r>
  <r>
    <s v="400-04"/>
    <x v="1"/>
    <n v="0"/>
    <d v="2020-01-09T00:00:00"/>
    <d v="2020-01-09T00:00:00"/>
    <s v="SI206N03016"/>
    <m/>
    <s v="1 PRIME RENTAL-Fuofegba"/>
    <s v="120006"/>
    <s v="20013339"/>
    <s v="MSH"/>
    <n v="0"/>
    <n v="5534.88"/>
    <n v="5534.88"/>
    <s v="NG"/>
    <x v="8"/>
  </r>
  <r>
    <s v="400-04"/>
    <x v="1"/>
    <n v="0"/>
    <d v="2020-01-09T00:00:00"/>
    <d v="2020-01-09T00:00:00"/>
    <s v="SI206N03017"/>
    <m/>
    <s v="1 PRIME RENTAL-Ogunyemi"/>
    <s v="120006"/>
    <s v="20013341"/>
    <s v="MSH"/>
    <n v="0"/>
    <n v="5534.88"/>
    <n v="5534.88"/>
    <s v="NG"/>
    <x v="8"/>
  </r>
  <r>
    <s v="400-04"/>
    <x v="1"/>
    <n v="0"/>
    <d v="2020-01-09T00:00:00"/>
    <d v="2020-01-09T00:00:00"/>
    <s v="SI206N03018"/>
    <m/>
    <s v="1 PRIME RENTAL-Owolabi I"/>
    <s v="120006"/>
    <s v="20013343"/>
    <s v="MSH"/>
    <n v="0"/>
    <n v="5534.88"/>
    <n v="5534.88"/>
    <s v="NG"/>
    <x v="8"/>
  </r>
  <r>
    <s v="400-04"/>
    <x v="1"/>
    <n v="0"/>
    <d v="2020-01-09T00:00:00"/>
    <d v="2020-01-09T00:00:00"/>
    <s v="SI206N03019"/>
    <m/>
    <s v="1 PRIME RENTAL-Uka Innoc"/>
    <s v="120006"/>
    <s v="20013345"/>
    <s v="MSH"/>
    <n v="0"/>
    <n v="5534.88"/>
    <n v="5534.88"/>
    <s v="NG"/>
    <x v="8"/>
  </r>
  <r>
    <s v="400-04"/>
    <x v="1"/>
    <n v="0"/>
    <d v="2020-01-09T00:00:00"/>
    <d v="2020-01-09T00:00:00"/>
    <s v="SI206N03020"/>
    <m/>
    <s v="1 PRIME RENTAL-Adara Olu"/>
    <s v="120006"/>
    <s v="20013347"/>
    <s v="MSH"/>
    <n v="0"/>
    <n v="5534.88"/>
    <n v="5534.88"/>
    <s v="NG"/>
    <x v="8"/>
  </r>
  <r>
    <s v="400-04"/>
    <x v="1"/>
    <n v="0"/>
    <d v="2020-01-09T00:00:00"/>
    <d v="2020-01-09T00:00:00"/>
    <s v="SI206N03021"/>
    <m/>
    <s v="1 PRIME RENTAL-Oni Oluwa"/>
    <s v="120006"/>
    <s v="20013349"/>
    <s v="MSH"/>
    <n v="0"/>
    <n v="5534.88"/>
    <n v="5534.88"/>
    <s v="NG"/>
    <x v="8"/>
  </r>
  <r>
    <s v="400-04"/>
    <x v="1"/>
    <n v="0"/>
    <d v="2020-01-09T00:00:00"/>
    <d v="2020-01-09T00:00:00"/>
    <s v="SI206N03022"/>
    <m/>
    <s v="1 PRIME RENTAL-Shokoya T"/>
    <s v="120006"/>
    <s v="20013351"/>
    <s v="MSH"/>
    <n v="0"/>
    <n v="5534.88"/>
    <n v="5534.88"/>
    <s v="NG"/>
    <x v="8"/>
  </r>
  <r>
    <s v="400-04"/>
    <x v="1"/>
    <n v="0"/>
    <d v="2020-01-09T00:00:00"/>
    <d v="2020-01-09T00:00:00"/>
    <s v="SI206N03023"/>
    <m/>
    <s v="1 PRIME RENTAL-Okpe Mart"/>
    <s v="120006"/>
    <s v="20013353"/>
    <s v="MSH"/>
    <n v="0"/>
    <n v="5534.88"/>
    <n v="5534.88"/>
    <s v="NG"/>
    <x v="8"/>
  </r>
  <r>
    <s v="400-04"/>
    <x v="1"/>
    <n v="0"/>
    <d v="2020-01-09T00:00:00"/>
    <d v="2020-01-09T00:00:00"/>
    <s v="SI206N03024"/>
    <m/>
    <s v="1 PRIME RENTAL-Okpe Mart"/>
    <s v="120006"/>
    <s v="20013355"/>
    <s v="MSH"/>
    <n v="0"/>
    <n v="5534.88"/>
    <n v="5534.88"/>
    <s v="NG"/>
    <x v="8"/>
  </r>
  <r>
    <s v="400-04"/>
    <x v="1"/>
    <n v="0"/>
    <d v="2020-01-09T00:00:00"/>
    <d v="2020-01-09T00:00:00"/>
    <s v="SI206N03025"/>
    <m/>
    <s v="1 PRIME RENTAL-Oyelakin"/>
    <s v="120006"/>
    <s v="20013357"/>
    <s v="MSH"/>
    <n v="0"/>
    <n v="5534.88"/>
    <n v="5534.88"/>
    <s v="NG"/>
    <x v="8"/>
  </r>
  <r>
    <s v="400-04"/>
    <x v="1"/>
    <n v="0"/>
    <d v="2020-01-09T00:00:00"/>
    <d v="2020-01-09T00:00:00"/>
    <s v="SI206N03026"/>
    <m/>
    <s v="1 PRIME RENTAL-Surajudee"/>
    <s v="120006"/>
    <s v="20013359"/>
    <s v="MSH"/>
    <n v="0"/>
    <n v="5534.88"/>
    <n v="5534.88"/>
    <s v="NG"/>
    <x v="8"/>
  </r>
  <r>
    <s v="400-04"/>
    <x v="1"/>
    <n v="0"/>
    <d v="2020-01-09T00:00:00"/>
    <d v="2020-01-09T00:00:00"/>
    <s v="SI206N03027"/>
    <m/>
    <s v="1 PRIME RENTAL-Adeiye ab"/>
    <s v="120006"/>
    <s v="20013361"/>
    <s v="MSH"/>
    <n v="0"/>
    <n v="5534.88"/>
    <n v="5534.88"/>
    <s v="NG"/>
    <x v="8"/>
  </r>
  <r>
    <s v="400-04"/>
    <x v="1"/>
    <n v="0"/>
    <d v="2020-01-09T00:00:00"/>
    <d v="2020-01-09T00:00:00"/>
    <s v="SI206N03028"/>
    <m/>
    <s v="1 PRIME RENTAL-Bankole S"/>
    <s v="120006"/>
    <s v="20013363"/>
    <s v="MSH"/>
    <n v="0"/>
    <n v="5534.88"/>
    <n v="5534.88"/>
    <s v="NG"/>
    <x v="8"/>
  </r>
  <r>
    <s v="400-04"/>
    <x v="1"/>
    <n v="0"/>
    <d v="2020-01-09T00:00:00"/>
    <d v="2020-01-09T00:00:00"/>
    <s v="SI206N03029"/>
    <m/>
    <s v="1 PRIME RENTAL-Olawoyin"/>
    <s v="120006"/>
    <s v="20013365"/>
    <s v="MSH"/>
    <n v="0"/>
    <n v="5534.88"/>
    <n v="5534.88"/>
    <s v="NG"/>
    <x v="8"/>
  </r>
  <r>
    <s v="400-04"/>
    <x v="1"/>
    <n v="0"/>
    <d v="2020-01-09T00:00:00"/>
    <d v="2020-01-09T00:00:00"/>
    <s v="SI206N03030"/>
    <m/>
    <s v="1 PRIME RENTAL-Olawale m"/>
    <s v="120006"/>
    <s v="20013367"/>
    <s v="MSH"/>
    <n v="0"/>
    <n v="5534.88"/>
    <n v="5534.88"/>
    <s v="NG"/>
    <x v="8"/>
  </r>
  <r>
    <s v="400-04"/>
    <x v="1"/>
    <n v="0"/>
    <d v="2020-01-09T00:00:00"/>
    <d v="2020-01-09T00:00:00"/>
    <s v="SI206N03031"/>
    <m/>
    <s v="1 PRIME RENTAL-Afolabi A"/>
    <s v="120006"/>
    <s v="20013369"/>
    <s v="MSH"/>
    <n v="0"/>
    <n v="5534.88"/>
    <n v="5534.88"/>
    <s v="NG"/>
    <x v="8"/>
  </r>
  <r>
    <s v="400-04"/>
    <x v="1"/>
    <n v="0"/>
    <d v="2020-01-09T00:00:00"/>
    <d v="2020-01-09T00:00:00"/>
    <s v="SI206N03032"/>
    <m/>
    <s v="1 PRIME RENTAL-Bello Abd"/>
    <s v="120006"/>
    <s v="20013371"/>
    <s v="MSH"/>
    <n v="0"/>
    <n v="5534.88"/>
    <n v="5534.88"/>
    <s v="NG"/>
    <x v="8"/>
  </r>
  <r>
    <s v="400-04"/>
    <x v="1"/>
    <n v="0"/>
    <d v="2020-01-09T00:00:00"/>
    <d v="2020-01-09T00:00:00"/>
    <s v="SI206N03033"/>
    <m/>
    <s v="1 PRIME RENTAL-Pastor Ol"/>
    <s v="120006"/>
    <s v="20013373"/>
    <s v="MSH"/>
    <n v="0"/>
    <n v="5534.88"/>
    <n v="5534.88"/>
    <s v="NG"/>
    <x v="8"/>
  </r>
  <r>
    <s v="400-04"/>
    <x v="1"/>
    <n v="0"/>
    <d v="2020-01-09T00:00:00"/>
    <d v="2020-01-09T00:00:00"/>
    <s v="SI206N03034"/>
    <m/>
    <s v="1 PRIME RENTAL-Esther Ba"/>
    <s v="120006"/>
    <s v="20013375"/>
    <s v="MSH"/>
    <n v="0"/>
    <n v="5534.88"/>
    <n v="5534.88"/>
    <s v="NG"/>
    <x v="8"/>
  </r>
  <r>
    <s v="400-04"/>
    <x v="1"/>
    <n v="0"/>
    <d v="2020-01-09T00:00:00"/>
    <d v="2020-01-09T00:00:00"/>
    <s v="SI206N03035"/>
    <m/>
    <s v="1 PRIME RENTAL-ADEYEYE I"/>
    <s v="120006"/>
    <s v="20013377"/>
    <s v="MSH"/>
    <n v="0"/>
    <n v="5534.88"/>
    <n v="5534.88"/>
    <s v="NG"/>
    <x v="8"/>
  </r>
  <r>
    <s v="400-04"/>
    <x v="1"/>
    <n v="0"/>
    <d v="2020-01-09T00:00:00"/>
    <d v="2020-01-09T00:00:00"/>
    <s v="SI206N03036"/>
    <m/>
    <s v="2 ECO LTO"/>
    <s v="120006"/>
    <s v="20013383"/>
    <s v="MSH"/>
    <n v="0"/>
    <n v="10232.56"/>
    <n v="10232.56"/>
    <s v="NG"/>
    <x v="8"/>
  </r>
  <r>
    <s v="400-04"/>
    <x v="1"/>
    <n v="0"/>
    <d v="2020-01-09T00:00:00"/>
    <d v="2020-01-09T00:00:00"/>
    <s v="SI206N03530"/>
    <m/>
    <s v="SALES CORAL 1ST SEPT"/>
    <s v="100039"/>
    <s v="20014938"/>
    <s v="MSH"/>
    <n v="0"/>
    <n v="119441.86"/>
    <n v="119441.86"/>
    <s v="NG"/>
    <x v="8"/>
  </r>
  <r>
    <s v="400-04"/>
    <x v="1"/>
    <n v="0"/>
    <d v="2020-02-09T00:00:00"/>
    <d v="2020-02-09T00:00:00"/>
    <s v="SI206N03533"/>
    <m/>
    <s v="SALES CORAL 2ND SEPT"/>
    <s v="100039"/>
    <s v="20014942"/>
    <s v="MSH"/>
    <n v="0"/>
    <n v="173162.79"/>
    <n v="173162.79"/>
    <s v="NG"/>
    <x v="8"/>
  </r>
  <r>
    <s v="400-04"/>
    <x v="1"/>
    <n v="0"/>
    <d v="2020-03-09T00:00:00"/>
    <d v="2020-03-09T00:00:00"/>
    <s v="SI206N03534"/>
    <m/>
    <s v="SALES CORAL 3RD"/>
    <s v="100039"/>
    <s v="20014951"/>
    <s v="MSH"/>
    <n v="0"/>
    <n v="178418.6"/>
    <n v="178418.6"/>
    <s v="NG"/>
    <x v="8"/>
  </r>
  <r>
    <s v="400-04"/>
    <x v="1"/>
    <n v="0"/>
    <d v="2020-04-09T00:00:00"/>
    <d v="2020-04-09T00:00:00"/>
    <s v="SI206N03167"/>
    <m/>
    <s v="SALES 4TH SEPT"/>
    <s v="100039"/>
    <s v="20013738"/>
    <s v="MSH"/>
    <n v="0"/>
    <n v="200186.04"/>
    <n v="200186.04"/>
    <s v="NG"/>
    <x v="8"/>
  </r>
  <r>
    <s v="400-04"/>
    <x v="1"/>
    <n v="0"/>
    <d v="2020-05-09T00:00:00"/>
    <d v="2020-05-09T00:00:00"/>
    <s v="SI206N03168"/>
    <m/>
    <s v="SALES FOR 5TH SEPT"/>
    <s v="100039"/>
    <s v="20013740"/>
    <s v="MSH"/>
    <n v="0"/>
    <n v="198976.75"/>
    <n v="198976.75"/>
    <s v="NG"/>
    <x v="8"/>
  </r>
  <r>
    <s v="400-04"/>
    <x v="1"/>
    <n v="0"/>
    <d v="2020-06-09T00:00:00"/>
    <d v="2020-06-09T00:00:00"/>
    <s v="SI206N03169"/>
    <m/>
    <s v="SALES FOR 6TH SEPT"/>
    <s v="100039"/>
    <s v="20013742"/>
    <s v="MSH"/>
    <n v="0"/>
    <n v="39162.79"/>
    <n v="39162.79"/>
    <s v="NG"/>
    <x v="8"/>
  </r>
  <r>
    <s v="400-04"/>
    <x v="1"/>
    <n v="0"/>
    <d v="2020-07-09T00:00:00"/>
    <d v="2020-07-09T00:00:00"/>
    <s v="SI206N03170"/>
    <m/>
    <s v="SALES 7TH SEPT"/>
    <s v="100039"/>
    <s v="20013744"/>
    <s v="MSH"/>
    <n v="0"/>
    <n v="144446.51"/>
    <n v="144446.51"/>
    <s v="NG"/>
    <x v="8"/>
  </r>
  <r>
    <s v="400-04"/>
    <x v="1"/>
    <n v="0"/>
    <d v="2020-08-09T00:00:00"/>
    <d v="2020-08-09T00:00:00"/>
    <s v="SI206N03544"/>
    <m/>
    <s v="SALES CORAL 8TH"/>
    <s v="100039"/>
    <s v="20014977"/>
    <s v="MSH"/>
    <n v="0"/>
    <n v="197125.58"/>
    <n v="197125.58"/>
    <s v="NG"/>
    <x v="8"/>
  </r>
  <r>
    <s v="400-04"/>
    <x v="1"/>
    <n v="0"/>
    <d v="2020-09-09T00:00:00"/>
    <d v="2020-09-09T00:00:00"/>
    <s v="SI206N03543"/>
    <m/>
    <s v="SALES CORAL 9TH"/>
    <s v="100039"/>
    <s v="20014973"/>
    <s v="MSH"/>
    <n v="0"/>
    <n v="141627.91"/>
    <n v="141627.91"/>
    <s v="NG"/>
    <x v="8"/>
  </r>
  <r>
    <s v="400-04"/>
    <x v="1"/>
    <n v="0"/>
    <d v="2020-10-09T00:00:00"/>
    <d v="2020-10-09T00:00:00"/>
    <s v="SI206N03048"/>
    <m/>
    <s v="MIGO MONTH 1 OF 48MONTHS"/>
    <s v="100040"/>
    <s v="20013436"/>
    <s v="MSH"/>
    <n v="0"/>
    <n v="154604.65"/>
    <n v="154604.65"/>
    <s v="NG"/>
    <x v="8"/>
  </r>
  <r>
    <s v="400-04"/>
    <x v="1"/>
    <n v="0"/>
    <d v="2020-10-09T00:00:00"/>
    <d v="2020-10-09T00:00:00"/>
    <s v="SI206N03171"/>
    <m/>
    <s v="SALES 10TH SEPT"/>
    <s v="100039"/>
    <s v="20013746"/>
    <s v="MSH"/>
    <n v="0"/>
    <n v="253581.39"/>
    <n v="253581.39"/>
    <s v="NG"/>
    <x v="8"/>
  </r>
  <r>
    <s v="400-04"/>
    <x v="1"/>
    <n v="0"/>
    <d v="2020-10-09T00:00:00"/>
    <d v="2020-10-09T00:00:00"/>
    <s v="SI206N03255"/>
    <m/>
    <s v="Reversal of 20013436"/>
    <s v="100040"/>
    <s v="20014020"/>
    <s v="MSH"/>
    <n v="0"/>
    <n v="-154604.65"/>
    <n v="-154604.65"/>
    <s v="NG"/>
    <x v="8"/>
  </r>
  <r>
    <s v="400-04"/>
    <x v="1"/>
    <n v="0"/>
    <d v="2020-11-09T00:00:00"/>
    <d v="2020-11-09T00:00:00"/>
    <s v="SI206N03172"/>
    <m/>
    <s v="SALES 11TH SEPT"/>
    <s v="100039"/>
    <s v="20013748"/>
    <s v="MSH"/>
    <n v="0"/>
    <n v="243441.86"/>
    <n v="243441.86"/>
    <s v="NG"/>
    <x v="8"/>
  </r>
  <r>
    <s v="400-04"/>
    <x v="1"/>
    <n v="0"/>
    <d v="2020-12-09T00:00:00"/>
    <d v="2020-12-09T00:00:00"/>
    <s v="SI206N03115"/>
    <m/>
    <s v="PRIME&amp;ECOLTO,RENTALSETUP"/>
    <s v="120006"/>
    <s v="20013607"/>
    <s v="MSH"/>
    <n v="0"/>
    <n v="208139.54"/>
    <n v="208139.54"/>
    <s v="NG"/>
    <x v="8"/>
  </r>
  <r>
    <s v="400-04"/>
    <x v="1"/>
    <n v="0"/>
    <d v="2020-12-09T00:00:00"/>
    <d v="2020-12-09T00:00:00"/>
    <s v="SI206N03116"/>
    <m/>
    <s v="PRIME&amp;ECO LTO,RENTALS"/>
    <s v="120006"/>
    <s v="20013609"/>
    <s v="MSH"/>
    <n v="0"/>
    <n v="129162.79"/>
    <n v="129162.79"/>
    <s v="NG"/>
    <x v="8"/>
  </r>
  <r>
    <s v="400-04"/>
    <x v="1"/>
    <n v="0"/>
    <d v="2020-12-09T00:00:00"/>
    <d v="2020-12-09T00:00:00"/>
    <s v="SI206N03117"/>
    <m/>
    <s v="PRIME&amp;ECO LTO,RENTALS"/>
    <s v="120006"/>
    <s v="20013611"/>
    <s v="MSH"/>
    <n v="0"/>
    <n v="200604.65"/>
    <n v="200604.65"/>
    <s v="NG"/>
    <x v="8"/>
  </r>
  <r>
    <s v="400-04"/>
    <x v="1"/>
    <n v="0"/>
    <d v="2020-12-09T00:00:00"/>
    <d v="2020-12-09T00:00:00"/>
    <s v="SI206N03118"/>
    <m/>
    <s v="PRIME&amp;ECO LTO,RENTALS"/>
    <s v="120006"/>
    <s v="20013613"/>
    <s v="MSH"/>
    <n v="0"/>
    <n v="193302.33"/>
    <n v="193302.33"/>
    <s v="NG"/>
    <x v="8"/>
  </r>
  <r>
    <s v="400-04"/>
    <x v="1"/>
    <n v="0"/>
    <d v="2020-12-09T00:00:00"/>
    <d v="2020-12-09T00:00:00"/>
    <s v="SI206N03119"/>
    <m/>
    <s v="PRIME&amp;ECO LTO,RENTAL"/>
    <s v="120006"/>
    <s v="20013615"/>
    <s v="MSH"/>
    <n v="0"/>
    <n v="79441.86"/>
    <n v="79441.86"/>
    <s v="NG"/>
    <x v="8"/>
  </r>
  <r>
    <s v="400-04"/>
    <x v="1"/>
    <n v="0"/>
    <d v="2020-12-09T00:00:00"/>
    <d v="2020-12-09T00:00:00"/>
    <s v="SI206N03122"/>
    <m/>
    <s v="PRIME&amp;ECO LTO,RENTALS"/>
    <s v="120006"/>
    <s v="20013621"/>
    <s v="MSH"/>
    <n v="0"/>
    <n v="146046.51"/>
    <n v="146046.51"/>
    <s v="NG"/>
    <x v="8"/>
  </r>
  <r>
    <s v="400-04"/>
    <x v="1"/>
    <n v="0"/>
    <d v="2020-12-09T00:00:00"/>
    <d v="2020-12-09T00:00:00"/>
    <s v="SI206N03125"/>
    <m/>
    <s v="PRIME&amp;ECO LTO,RENTALS"/>
    <s v="120006"/>
    <s v="20013627"/>
    <s v="MSH"/>
    <n v="0"/>
    <n v="285116.28000000003"/>
    <n v="285116.28000000003"/>
    <s v="NG"/>
    <x v="8"/>
  </r>
  <r>
    <s v="400-04"/>
    <x v="1"/>
    <n v="0"/>
    <d v="2020-12-09T00:00:00"/>
    <d v="2020-12-09T00:00:00"/>
    <s v="SI206N03128"/>
    <m/>
    <s v="2 ECO LTO 1MTH"/>
    <s v="120006"/>
    <s v="20013633"/>
    <s v="MSH"/>
    <n v="0"/>
    <n v="10232.56"/>
    <n v="10232.56"/>
    <s v="NG"/>
    <x v="8"/>
  </r>
  <r>
    <s v="400-04"/>
    <x v="1"/>
    <n v="0"/>
    <d v="2020-12-09T00:00:00"/>
    <d v="2020-12-09T00:00:00"/>
    <s v="SI206N03139"/>
    <m/>
    <s v="Multi-Shipmt Inv"/>
    <s v="120006"/>
    <s v="20013654"/>
    <s v="MSH"/>
    <n v="0"/>
    <n v="116139.54"/>
    <n v="116139.54"/>
    <s v="NG"/>
    <x v="8"/>
  </r>
  <r>
    <s v="400-04"/>
    <x v="1"/>
    <n v="0"/>
    <d v="2020-12-09T00:00:00"/>
    <d v="2020-12-09T00:00:00"/>
    <s v="SI206N03140"/>
    <m/>
    <s v="Reversal of 20013654"/>
    <s v="120006"/>
    <s v="20013655"/>
    <s v="MSH"/>
    <n v="0"/>
    <n v="-116139.54"/>
    <n v="-116139.54"/>
    <s v="NG"/>
    <x v="8"/>
  </r>
  <r>
    <s v="400-04"/>
    <x v="1"/>
    <n v="0"/>
    <d v="2020-12-09T00:00:00"/>
    <d v="2020-12-09T00:00:00"/>
    <s v="SI206N03141"/>
    <m/>
    <s v="PRIME LTO,PRIME&amp;ECO RENT"/>
    <s v="120006"/>
    <s v="20013656"/>
    <s v="MSH"/>
    <n v="0"/>
    <n v="116139.54"/>
    <n v="116139.54"/>
    <s v="NG"/>
    <x v="8"/>
  </r>
  <r>
    <s v="400-04"/>
    <x v="1"/>
    <n v="0"/>
    <d v="2020-12-09T00:00:00"/>
    <d v="2020-12-09T00:00:00"/>
    <s v="SI206N03142"/>
    <m/>
    <s v="PRIME&amp;ECO LTO,RENTALS"/>
    <s v="120006"/>
    <s v="20013657"/>
    <s v="MSH"/>
    <n v="0"/>
    <n v="139767.44"/>
    <n v="139767.44"/>
    <s v="NG"/>
    <x v="8"/>
  </r>
  <r>
    <s v="400-04"/>
    <x v="1"/>
    <n v="0"/>
    <d v="2020-12-09T00:00:00"/>
    <d v="2020-12-09T00:00:00"/>
    <s v="SI206N03143"/>
    <m/>
    <s v="PRIME&amp;ECO LTO,RENTALS"/>
    <s v="120006"/>
    <s v="20013660"/>
    <s v="MSH"/>
    <n v="0"/>
    <n v="191674.42"/>
    <n v="191674.42"/>
    <s v="NG"/>
    <x v="8"/>
  </r>
  <r>
    <s v="400-04"/>
    <x v="1"/>
    <n v="0"/>
    <d v="2020-12-09T00:00:00"/>
    <d v="2020-12-09T00:00:00"/>
    <s v="SI206N03144"/>
    <m/>
    <s v="PRIME&amp;ECO LTO,PRIMERENTA"/>
    <s v="120006"/>
    <s v="20013662"/>
    <s v="MSH"/>
    <n v="0"/>
    <n v="243674.42"/>
    <n v="243674.42"/>
    <s v="NG"/>
    <x v="8"/>
  </r>
  <r>
    <s v="400-04"/>
    <x v="1"/>
    <n v="0"/>
    <d v="2020-12-09T00:00:00"/>
    <d v="2020-12-09T00:00:00"/>
    <s v="SI206N03145"/>
    <m/>
    <s v="PRIME&amp;ECO LTO,RENTALS"/>
    <s v="120006"/>
    <s v="20013664"/>
    <s v="MSH"/>
    <n v="0"/>
    <n v="60325.58"/>
    <n v="60325.58"/>
    <s v="NG"/>
    <x v="8"/>
  </r>
  <r>
    <s v="400-04"/>
    <x v="1"/>
    <n v="0"/>
    <d v="2020-12-09T00:00:00"/>
    <d v="2020-12-09T00:00:00"/>
    <s v="SI206N03147"/>
    <m/>
    <s v="MIGO MONTH 1 OF 48MONTHS"/>
    <s v="100042"/>
    <s v="20013702"/>
    <s v="MSH"/>
    <n v="0"/>
    <n v="162976.74"/>
    <n v="162976.74"/>
    <s v="NG"/>
    <x v="8"/>
  </r>
  <r>
    <s v="400-04"/>
    <x v="1"/>
    <n v="0"/>
    <d v="2020-12-09T00:00:00"/>
    <d v="2020-12-09T00:00:00"/>
    <s v="SI206N03154"/>
    <m/>
    <s v="PRIME&amp;ECOLTORENTAL,SETUP"/>
    <s v="120006"/>
    <s v="20013715"/>
    <s v="MSH"/>
    <n v="0"/>
    <n v="196046.52"/>
    <n v="196046.52"/>
    <s v="NG"/>
    <x v="8"/>
  </r>
  <r>
    <s v="400-04"/>
    <x v="1"/>
    <n v="0"/>
    <d v="2020-12-09T00:00:00"/>
    <d v="2020-12-09T00:00:00"/>
    <s v="SI206N03155"/>
    <m/>
    <s v="PRIME&amp;ECO LTO,RENTALS"/>
    <s v="120006"/>
    <s v="20013717"/>
    <s v="MSH"/>
    <n v="0"/>
    <n v="131488.37"/>
    <n v="131488.37"/>
    <s v="NG"/>
    <x v="8"/>
  </r>
  <r>
    <s v="400-04"/>
    <x v="1"/>
    <n v="0"/>
    <d v="2020-12-09T00:00:00"/>
    <d v="2020-12-09T00:00:00"/>
    <s v="SI206N03156"/>
    <m/>
    <s v="Multi-Shipmt Inv"/>
    <s v="120006"/>
    <s v="20013719"/>
    <s v="MSH"/>
    <n v="0"/>
    <n v="158511.63"/>
    <n v="158511.63"/>
    <s v="NG"/>
    <x v="8"/>
  </r>
  <r>
    <s v="400-04"/>
    <x v="1"/>
    <n v="0"/>
    <d v="2020-12-09T00:00:00"/>
    <d v="2020-12-09T00:00:00"/>
    <s v="SI206N03157"/>
    <m/>
    <s v="Reversal of 20013719"/>
    <s v="120006"/>
    <s v="20013720"/>
    <s v="MSH"/>
    <n v="0"/>
    <n v="-158511.63"/>
    <n v="-158511.63"/>
    <s v="NG"/>
    <x v="8"/>
  </r>
  <r>
    <s v="400-04"/>
    <x v="1"/>
    <n v="0"/>
    <d v="2020-12-09T00:00:00"/>
    <d v="2020-12-09T00:00:00"/>
    <s v="SI206N03158"/>
    <m/>
    <s v="PRIME&amp;ECO LTO,SETUP,RENT"/>
    <s v="120006"/>
    <s v="20013721"/>
    <s v="MSH"/>
    <n v="0"/>
    <n v="158511.63"/>
    <n v="158511.63"/>
    <s v="NG"/>
    <x v="8"/>
  </r>
  <r>
    <s v="400-04"/>
    <x v="1"/>
    <n v="0"/>
    <d v="2020-12-09T00:00:00"/>
    <d v="2020-12-09T00:00:00"/>
    <s v="SI206N03159"/>
    <m/>
    <s v="PRIME&amp;ECOLTO,SETUP,RENTA"/>
    <s v="120006"/>
    <s v="20013723"/>
    <s v="MSH"/>
    <n v="0"/>
    <n v="174139.54"/>
    <n v="174139.54"/>
    <s v="NG"/>
    <x v="8"/>
  </r>
  <r>
    <s v="400-04"/>
    <x v="1"/>
    <n v="0"/>
    <d v="2020-12-09T00:00:00"/>
    <d v="2020-12-09T00:00:00"/>
    <s v="SI206N03254"/>
    <m/>
    <s v="MIGO MONTH 1 OF 48MONTHS"/>
    <s v="100042"/>
    <s v="20014019"/>
    <s v="MSH"/>
    <n v="0"/>
    <n v="129023.26"/>
    <n v="129023.26"/>
    <s v="NG"/>
    <x v="8"/>
  </r>
  <r>
    <s v="400-04"/>
    <x v="1"/>
    <n v="0"/>
    <d v="2020-12-09T00:00:00"/>
    <d v="2020-12-09T00:00:00"/>
    <s v="SI206N03465"/>
    <m/>
    <s v="SALES INVOICE 12TH"/>
    <s v="100039"/>
    <s v="20014725"/>
    <s v="MSH"/>
    <n v="0"/>
    <n v="133767.44"/>
    <n v="133767.44"/>
    <s v="NG"/>
    <x v="8"/>
  </r>
  <r>
    <s v="400-04"/>
    <x v="1"/>
    <n v="0"/>
    <s v="13/09/20"/>
    <s v="13/09/20"/>
    <s v="SI206N03466"/>
    <m/>
    <s v="SALES CORAL 13TH"/>
    <s v="100039"/>
    <s v="20014727"/>
    <s v="MSH"/>
    <n v="0"/>
    <n v="84976.75"/>
    <n v="84976.75"/>
    <s v="NG"/>
    <x v="8"/>
  </r>
  <r>
    <s v="400-04"/>
    <x v="1"/>
    <n v="0"/>
    <s v="14/09/20"/>
    <s v="14/09/20"/>
    <s v="SI206N03173"/>
    <m/>
    <s v="SALES FOR 14TH SEPT"/>
    <s v="100039"/>
    <s v="20013750"/>
    <s v="MSH"/>
    <n v="0"/>
    <n v="203720.93"/>
    <n v="203720.93"/>
    <s v="NG"/>
    <x v="8"/>
  </r>
  <r>
    <s v="400-04"/>
    <x v="1"/>
    <n v="0"/>
    <s v="15/09/20"/>
    <s v="15/09/20"/>
    <s v="SI206N03467"/>
    <m/>
    <s v="SALES CORAL 15TH INV"/>
    <s v="100039"/>
    <s v="20014729"/>
    <s v="MSH"/>
    <n v="0"/>
    <n v="199395.35"/>
    <n v="199395.35"/>
    <s v="NG"/>
    <x v="8"/>
  </r>
  <r>
    <s v="400-04"/>
    <x v="1"/>
    <n v="0"/>
    <s v="16/09/20"/>
    <s v="16/09/20"/>
    <s v="SI206N03174"/>
    <m/>
    <s v="SALES 16TH SEPT"/>
    <s v="100039"/>
    <s v="20013752"/>
    <s v="MSH"/>
    <n v="0"/>
    <n v="175116.28"/>
    <n v="175116.28"/>
    <s v="NG"/>
    <x v="8"/>
  </r>
  <r>
    <s v="400-04"/>
    <x v="1"/>
    <n v="0"/>
    <s v="17/09/20"/>
    <s v="17/09/20"/>
    <s v="SI206N03234"/>
    <m/>
    <s v="PRIME&amp;ECO LTO,PRIMERENTA"/>
    <s v="120006"/>
    <s v="20013943"/>
    <s v="MSH"/>
    <n v="0"/>
    <n v="129441.86"/>
    <n v="129441.86"/>
    <s v="NG"/>
    <x v="8"/>
  </r>
  <r>
    <s v="400-04"/>
    <x v="1"/>
    <n v="0"/>
    <s v="17/09/20"/>
    <s v="17/09/20"/>
    <s v="SI206N03235"/>
    <m/>
    <s v="PRIME&amp;ECO LTO,PRIMERENTA"/>
    <s v="120006"/>
    <s v="20013958"/>
    <s v="MSH"/>
    <n v="0"/>
    <n v="148000"/>
    <n v="148000"/>
    <s v="NG"/>
    <x v="8"/>
  </r>
  <r>
    <s v="400-04"/>
    <x v="1"/>
    <n v="0"/>
    <s v="17/09/20"/>
    <s v="17/09/20"/>
    <s v="SI206N03236"/>
    <m/>
    <s v="PRIME&amp;ECO RENTA,PRIMELTO"/>
    <s v="120006"/>
    <s v="20013960"/>
    <s v="MSH"/>
    <n v="0"/>
    <n v="53395.35"/>
    <n v="53395.35"/>
    <s v="NG"/>
    <x v="8"/>
  </r>
  <r>
    <s v="400-04"/>
    <x v="1"/>
    <n v="0"/>
    <s v="17/09/20"/>
    <s v="17/09/20"/>
    <s v="SI206N03572"/>
    <m/>
    <s v="SALES CORAL 17TH"/>
    <s v="100039"/>
    <s v="20015056"/>
    <s v="MSH"/>
    <n v="0"/>
    <n v="176186.04"/>
    <n v="176186.04"/>
    <s v="NG"/>
    <x v="8"/>
  </r>
  <r>
    <s v="400-04"/>
    <x v="1"/>
    <n v="0"/>
    <s v="18/09/20"/>
    <s v="18/09/20"/>
    <s v="SI206N03583"/>
    <m/>
    <s v="SALES CORAL 18TH"/>
    <s v="100039"/>
    <s v="20015085"/>
    <s v="MSH"/>
    <n v="0"/>
    <n v="238372.09"/>
    <n v="238372.09"/>
    <s v="NG"/>
    <x v="8"/>
  </r>
  <r>
    <s v="400-04"/>
    <x v="1"/>
    <n v="0"/>
    <s v="19/09/20"/>
    <s v="19/09/20"/>
    <s v="SI206N03468"/>
    <m/>
    <s v="SALES CORAL 19TH"/>
    <s v="100039"/>
    <s v="20014731"/>
    <s v="MSH"/>
    <n v="0"/>
    <n v="111720.93"/>
    <n v="111720.93"/>
    <s v="NG"/>
    <x v="8"/>
  </r>
  <r>
    <s v="400-04"/>
    <x v="1"/>
    <n v="0"/>
    <s v="20/09/20"/>
    <d v="2020-01-09T00:00:00"/>
    <s v="SI206N03248"/>
    <m/>
    <s v="Reversal of 20013327"/>
    <s v="120006"/>
    <s v="20014000"/>
    <s v="MSH"/>
    <n v="0"/>
    <n v="-6790.7"/>
    <n v="-6790.7"/>
    <s v="NG"/>
    <x v="8"/>
  </r>
  <r>
    <s v="400-04"/>
    <x v="1"/>
    <n v="0"/>
    <s v="20/09/20"/>
    <s v="20/09/20"/>
    <s v="SI206N03249"/>
    <m/>
    <s v="1 PRIME LTO"/>
    <s v="120006"/>
    <s v="20014009"/>
    <s v="MSH"/>
    <n v="0"/>
    <n v="6790.7"/>
    <n v="6790.7"/>
    <s v="NG"/>
    <x v="8"/>
  </r>
  <r>
    <s v="400-04"/>
    <x v="1"/>
    <n v="0"/>
    <s v="20/09/20"/>
    <s v="20/09/20"/>
    <s v="SI206N03279"/>
    <m/>
    <s v="PRIME&amp;ECO LTO,RENTALS"/>
    <s v="120006"/>
    <s v="20014149"/>
    <s v="MSH"/>
    <n v="0"/>
    <n v="175674.42"/>
    <n v="175674.42"/>
    <s v="NG"/>
    <x v="8"/>
  </r>
  <r>
    <s v="400-04"/>
    <x v="1"/>
    <n v="0"/>
    <s v="20/09/20"/>
    <s v="20/09/20"/>
    <s v="SI206N03280"/>
    <m/>
    <s v="PRIME LTO,PRIME&amp;ECO RENT"/>
    <s v="120006"/>
    <s v="20014151"/>
    <s v="MSH"/>
    <n v="0"/>
    <n v="59813.95"/>
    <n v="59813.95"/>
    <s v="NG"/>
    <x v="8"/>
  </r>
  <r>
    <s v="400-04"/>
    <x v="1"/>
    <n v="0"/>
    <s v="20/09/20"/>
    <s v="20/09/20"/>
    <s v="SI206N03281"/>
    <m/>
    <s v="PRIME LTO,PRIME RENTAL"/>
    <s v="120006"/>
    <s v="20014153"/>
    <s v="MSH"/>
    <n v="0"/>
    <n v="101209.3"/>
    <n v="101209.3"/>
    <s v="NG"/>
    <x v="8"/>
  </r>
  <r>
    <s v="400-04"/>
    <x v="1"/>
    <n v="0"/>
    <s v="20/09/20"/>
    <s v="20/09/20"/>
    <s v="SI206N03469"/>
    <m/>
    <s v="SALES CORAL 20TH"/>
    <s v="100039"/>
    <s v="20014733"/>
    <s v="MSH"/>
    <n v="0"/>
    <n v="111813.95"/>
    <n v="111813.95"/>
    <s v="NG"/>
    <x v="8"/>
  </r>
  <r>
    <s v="400-04"/>
    <x v="1"/>
    <n v="0"/>
    <s v="21/09/20"/>
    <s v="21/09/20"/>
    <s v="SI206N03470"/>
    <m/>
    <s v="SALES CORAL 21ST INV"/>
    <s v="100039"/>
    <s v="20014735"/>
    <s v="MSH"/>
    <n v="0"/>
    <n v="176865.12"/>
    <n v="176865.12"/>
    <s v="NG"/>
    <x v="8"/>
  </r>
  <r>
    <s v="400-04"/>
    <x v="1"/>
    <n v="0"/>
    <s v="22/09/20"/>
    <s v="22/09/20"/>
    <s v="SI206N03529"/>
    <m/>
    <s v="CORAL SALES 22ND"/>
    <s v="100039"/>
    <s v="20014903"/>
    <s v="MSH"/>
    <n v="0"/>
    <n v="191627.91"/>
    <n v="191627.91"/>
    <s v="NG"/>
    <x v="8"/>
  </r>
  <r>
    <s v="400-04"/>
    <x v="1"/>
    <n v="0"/>
    <s v="23/09/20"/>
    <s v="23/09/20"/>
    <s v="SI206N03545"/>
    <m/>
    <s v="SALES CORAL 23RD"/>
    <s v="100039"/>
    <s v="20014981"/>
    <s v="MSH"/>
    <n v="0"/>
    <n v="227674.42"/>
    <n v="227674.42"/>
    <s v="NG"/>
    <x v="8"/>
  </r>
  <r>
    <s v="400-04"/>
    <x v="1"/>
    <n v="0"/>
    <s v="24/09/20"/>
    <s v="24/09/20"/>
    <s v="SI206N03472"/>
    <m/>
    <s v="SALES CORAL 24TH"/>
    <s v="100039"/>
    <s v="20014739"/>
    <s v="MSH"/>
    <n v="0"/>
    <n v="189441.86"/>
    <n v="189441.86"/>
    <s v="NG"/>
    <x v="8"/>
  </r>
  <r>
    <s v="400-04"/>
    <x v="1"/>
    <n v="0"/>
    <s v="25/09/20"/>
    <d v="2020-12-09T00:00:00"/>
    <s v="SI206N03308"/>
    <m/>
    <s v="Reversal of 20013633"/>
    <s v="120006"/>
    <s v="20014241"/>
    <s v="MSH"/>
    <n v="0"/>
    <n v="-10232.56"/>
    <n v="-10232.56"/>
    <s v="NG"/>
    <x v="8"/>
  </r>
  <r>
    <s v="400-04"/>
    <x v="1"/>
    <n v="0"/>
    <s v="25/09/20"/>
    <s v="25/09/20"/>
    <s v="SI206N03309"/>
    <m/>
    <s v="PRIME LTO&amp; RENTAL, SETUP"/>
    <s v="120006"/>
    <s v="20014246"/>
    <s v="MSH"/>
    <n v="0"/>
    <n v="203860.47"/>
    <n v="203860.47"/>
    <s v="NG"/>
    <x v="8"/>
  </r>
  <r>
    <s v="400-04"/>
    <x v="1"/>
    <n v="0"/>
    <s v="25/09/20"/>
    <s v="25/09/20"/>
    <s v="SI206N03471"/>
    <m/>
    <s v="SALES CORAL 25TH INV"/>
    <s v="100039"/>
    <s v="20014737"/>
    <s v="MSH"/>
    <n v="0"/>
    <n v="273162.78999999998"/>
    <n v="273162.78999999998"/>
    <s v="NG"/>
    <x v="8"/>
  </r>
  <r>
    <s v="400-04"/>
    <x v="1"/>
    <n v="0"/>
    <s v="26/09/20"/>
    <s v="26/09/20"/>
    <s v="SI206N03342"/>
    <m/>
    <s v="PRIME&amp;ECO LTO,RENTALS"/>
    <s v="120006"/>
    <s v="20014355"/>
    <s v="MSH"/>
    <n v="0"/>
    <n v="114883.72"/>
    <n v="114883.72"/>
    <s v="NG"/>
    <x v="8"/>
  </r>
  <r>
    <s v="400-04"/>
    <x v="1"/>
    <n v="0"/>
    <s v="26/09/20"/>
    <s v="26/09/20"/>
    <s v="SI206N03343"/>
    <m/>
    <s v="PRIME&amp;ECO LTO,SETUP,RENT"/>
    <s v="120006"/>
    <s v="20014357"/>
    <s v="MSH"/>
    <n v="0"/>
    <n v="93674.41"/>
    <n v="93674.41"/>
    <s v="NG"/>
    <x v="8"/>
  </r>
  <r>
    <s v="400-04"/>
    <x v="1"/>
    <n v="0"/>
    <s v="26/09/20"/>
    <s v="26/09/20"/>
    <s v="SI206N03345"/>
    <m/>
    <s v="PRIME&amp;ECO LTO,SETUP,RENT"/>
    <s v="120006"/>
    <s v="20014362"/>
    <s v="MSH"/>
    <n v="0"/>
    <n v="199488.38"/>
    <n v="199488.38"/>
    <s v="NG"/>
    <x v="8"/>
  </r>
  <r>
    <s v="400-04"/>
    <x v="1"/>
    <n v="0"/>
    <s v="26/09/20"/>
    <s v="26/09/20"/>
    <s v="SI206N03349"/>
    <m/>
    <s v="FOLORUNISO OLUWATEMILEHI"/>
    <s v="120006"/>
    <s v="20014383"/>
    <s v="MSH"/>
    <n v="0"/>
    <n v="6790.7"/>
    <n v="6790.7"/>
    <s v="NG"/>
    <x v="8"/>
  </r>
  <r>
    <s v="400-04"/>
    <x v="1"/>
    <n v="0"/>
    <s v="26/09/20"/>
    <s v="26/09/20"/>
    <s v="SI206N03350"/>
    <m/>
    <s v="Adesina Shakiru"/>
    <s v="120006"/>
    <s v="20014387"/>
    <s v="MSH"/>
    <n v="0"/>
    <n v="5116.28"/>
    <n v="5116.28"/>
    <s v="NG"/>
    <x v="8"/>
  </r>
  <r>
    <s v="400-04"/>
    <x v="1"/>
    <n v="0"/>
    <s v="26/09/20"/>
    <s v="26/09/20"/>
    <s v="SI206N03351"/>
    <m/>
    <s v="Igunbo bright Nwanwene"/>
    <s v="120006"/>
    <s v="20014389"/>
    <s v="MSH"/>
    <n v="0"/>
    <n v="6790.7"/>
    <n v="6790.7"/>
    <s v="NG"/>
    <x v="8"/>
  </r>
  <r>
    <s v="400-04"/>
    <x v="1"/>
    <n v="0"/>
    <s v="26/09/20"/>
    <s v="26/09/20"/>
    <s v="SI206N03364"/>
    <m/>
    <s v="PRIME&amp;ECO LTO,RENTALS"/>
    <s v="120006"/>
    <s v="20014416"/>
    <s v="MSH"/>
    <n v="0"/>
    <n v="149674.42000000001"/>
    <n v="149674.42000000001"/>
    <s v="NG"/>
    <x v="8"/>
  </r>
  <r>
    <s v="400-04"/>
    <x v="1"/>
    <n v="0"/>
    <s v="26/09/20"/>
    <s v="26/09/20"/>
    <s v="SI206N03365"/>
    <m/>
    <s v="1 PRIME LTO"/>
    <s v="120006"/>
    <s v="20014418"/>
    <s v="MSH"/>
    <n v="0"/>
    <n v="6790.7"/>
    <n v="6790.7"/>
    <s v="NG"/>
    <x v="8"/>
  </r>
  <r>
    <s v="400-04"/>
    <x v="1"/>
    <n v="0"/>
    <s v="26/09/20"/>
    <s v="26/09/20"/>
    <s v="SI206N03528"/>
    <m/>
    <s v="CORAL SALES 26TH"/>
    <s v="100039"/>
    <s v="20014901"/>
    <s v="MSH"/>
    <n v="0"/>
    <n v="273674.42"/>
    <n v="273674.42"/>
    <s v="NG"/>
    <x v="8"/>
  </r>
  <r>
    <s v="400-04"/>
    <x v="1"/>
    <n v="0"/>
    <s v="27/09/20"/>
    <s v="27/09/20"/>
    <s v="SI206N03546"/>
    <m/>
    <s v="SALES CORAL 27TH"/>
    <s v="100039"/>
    <s v="20014986"/>
    <s v="MSH"/>
    <n v="0"/>
    <n v="127209.3"/>
    <n v="127209.3"/>
    <s v="NG"/>
    <x v="8"/>
  </r>
  <r>
    <s v="400-04"/>
    <x v="1"/>
    <n v="0"/>
    <s v="29/09/20"/>
    <s v="29/09/20"/>
    <s v="SI206N03389"/>
    <m/>
    <s v="PRIME&amp;ECO LTO,RENTALS"/>
    <s v="120006"/>
    <s v="20014523"/>
    <s v="MSH"/>
    <n v="0"/>
    <n v="292604.73"/>
    <n v="292604.73"/>
    <s v="NG"/>
    <x v="8"/>
  </r>
  <r>
    <s v="400-04"/>
    <x v="1"/>
    <n v="0"/>
    <s v="29/09/20"/>
    <s v="29/09/20"/>
    <s v="SI206N03463"/>
    <m/>
    <s v="PRIME&amp;ECO LTO,RENTALS"/>
    <s v="120006"/>
    <s v="20014721"/>
    <s v="MSH"/>
    <n v="0"/>
    <n v="220697.68"/>
    <n v="220697.68"/>
    <s v="NG"/>
    <x v="8"/>
  </r>
  <r>
    <s v="400-04"/>
    <x v="1"/>
    <n v="0"/>
    <s v="29/09/20"/>
    <s v="29/09/20"/>
    <s v="SI206N03549"/>
    <m/>
    <s v="SALES CORAL 29TH"/>
    <s v="100039"/>
    <s v="20014995"/>
    <s v="MSH"/>
    <n v="0"/>
    <n v="299395.34999999998"/>
    <n v="299395.34999999998"/>
    <s v="NG"/>
    <x v="8"/>
  </r>
  <r>
    <s v="400-04"/>
    <x v="1"/>
    <n v="0"/>
    <s v="30/09/20"/>
    <s v="30/09/20"/>
    <s v="SI206N03464"/>
    <m/>
    <s v="PRIME&amp;ECO LTO,RENTALS"/>
    <s v="120006"/>
    <s v="20014723"/>
    <s v="MSH"/>
    <n v="0"/>
    <n v="322186.05"/>
    <n v="322186.05"/>
    <s v="NG"/>
    <x v="8"/>
  </r>
  <r>
    <s v="400-04"/>
    <x v="1"/>
    <n v="0"/>
    <s v="30/09/20"/>
    <s v="30/09/20"/>
    <s v="SI206N03498"/>
    <m/>
    <s v="PRIME&amp;ECO LTO,RENTALS"/>
    <s v="120006"/>
    <s v="20014811"/>
    <s v="MSH"/>
    <n v="0"/>
    <n v="168372.1"/>
    <n v="168372.1"/>
    <s v="NG"/>
    <x v="8"/>
  </r>
  <r>
    <s v="400-04"/>
    <x v="1"/>
    <n v="0"/>
    <s v="30/09/20"/>
    <s v="30/09/20"/>
    <s v="SI206N03499"/>
    <m/>
    <s v="Reversal of 20014811"/>
    <s v="120006"/>
    <s v="20014812"/>
    <s v="MSH"/>
    <n v="0"/>
    <n v="-168372.1"/>
    <n v="-168372.1"/>
    <s v="NG"/>
    <x v="8"/>
  </r>
  <r>
    <s v="400-04"/>
    <x v="1"/>
    <n v="0"/>
    <s v="30/09/20"/>
    <s v="30/09/20"/>
    <s v="SI206N03547"/>
    <m/>
    <s v="SALES CORAL 28TH"/>
    <s v="100039"/>
    <s v="20014990"/>
    <s v="MSH"/>
    <n v="0"/>
    <n v="272697.67"/>
    <n v="272697.67"/>
    <s v="NG"/>
    <x v="8"/>
  </r>
  <r>
    <s v="400-04"/>
    <x v="1"/>
    <n v="0"/>
    <s v="30/09/20"/>
    <s v="30/09/20"/>
    <s v="SI206N03564"/>
    <m/>
    <s v="SALES CORAL 30TH"/>
    <s v="100039"/>
    <s v="20015039"/>
    <s v="MSH"/>
    <n v="0"/>
    <n v="625748.84"/>
    <n v="625748.84"/>
    <s v="NG"/>
    <x v="8"/>
  </r>
  <r>
    <s v="400-04"/>
    <x v="1"/>
    <n v="0"/>
    <s v="30/09/20"/>
    <s v="30/09/20"/>
    <s v="SI206N03576"/>
    <m/>
    <s v="2PRIME LTO,1PRIME RENTAL"/>
    <s v="120006"/>
    <s v="20015064"/>
    <s v="MSH"/>
    <n v="0"/>
    <n v="19116.28"/>
    <n v="19116.28"/>
    <s v="NG"/>
    <x v="8"/>
  </r>
  <r>
    <s v="400-04"/>
    <x v="1"/>
    <n v="0"/>
    <s v="30/09/20"/>
    <s v="30/09/20"/>
    <s v="SI206N03584"/>
    <m/>
    <s v="24 PRIME SYS"/>
    <s v="100042"/>
    <s v="20015094"/>
    <s v="MSH"/>
    <n v="0"/>
    <n v="162976.82"/>
    <n v="162976.82"/>
    <s v="NG"/>
    <x v="8"/>
  </r>
  <r>
    <s v="400-04"/>
    <x v="1"/>
    <n v="0"/>
    <s v="30/09/20"/>
    <s v="30/09/20"/>
    <s v="SI206N03585"/>
    <m/>
    <s v="7 PRIME SYS-SV GAMING"/>
    <s v="100040"/>
    <s v="20015100"/>
    <s v="MSH"/>
    <n v="0"/>
    <n v="197302.33"/>
    <n v="197302.33"/>
    <s v="NG"/>
    <x v="8"/>
  </r>
  <r>
    <s v="400-04"/>
    <x v="1"/>
    <n v="0"/>
    <s v="30/09/20"/>
    <s v="30/09/20"/>
    <s v="SI206N03586"/>
    <m/>
    <s v="1 PRIME SYS-SV GAMING"/>
    <s v="100040"/>
    <s v="20015102"/>
    <s v="MSH"/>
    <n v="0"/>
    <n v="28186.05"/>
    <n v="28186.05"/>
    <s v="NG"/>
    <x v="8"/>
  </r>
  <r>
    <s v="400-04"/>
    <x v="1"/>
    <n v="0"/>
    <s v="30/09/20"/>
    <s v="30/09/20"/>
    <s v="SI206N03587"/>
    <m/>
    <s v="NIBSS CUSTOMER USAGE"/>
    <s v="120006"/>
    <s v="20015120"/>
    <s v="MSH"/>
    <n v="0"/>
    <n v="411813.95"/>
    <n v="411813.95"/>
    <s v="NG"/>
    <x v="8"/>
  </r>
  <r>
    <s v="400-04"/>
    <x v="1"/>
    <n v="0"/>
    <s v="30/09/20"/>
    <s v="26/09/20"/>
    <s v="SI206N03589"/>
    <m/>
    <s v="Reversal of 20014389"/>
    <s v="120006"/>
    <s v="20015248"/>
    <s v="MSH"/>
    <n v="0"/>
    <n v="-6790.7"/>
    <n v="-6790.7"/>
    <s v="NG"/>
    <x v="8"/>
  </r>
  <r>
    <s v="400-04"/>
    <x v="1"/>
    <n v="0"/>
    <s v="30/09/20"/>
    <s v="26/09/20"/>
    <s v="SI206N03591"/>
    <m/>
    <s v="Reversal of 20014387"/>
    <s v="120006"/>
    <s v="20015251"/>
    <s v="MSH"/>
    <n v="0"/>
    <n v="-5116.28"/>
    <n v="-5116.28"/>
    <s v="NG"/>
    <x v="8"/>
  </r>
  <r>
    <s v="400-04"/>
    <x v="1"/>
    <n v="0"/>
    <s v="30/09/20"/>
    <s v="26/09/20"/>
    <s v="SI206N03592"/>
    <m/>
    <s v="Reversal of 20014418"/>
    <s v="120006"/>
    <s v="20015253"/>
    <s v="MSH"/>
    <n v="0"/>
    <n v="-6790.7"/>
    <n v="-6790.7"/>
    <s v="NG"/>
    <x v="8"/>
  </r>
  <r>
    <s v="400-04"/>
    <x v="1"/>
    <n v="0"/>
    <s v="30/09/20"/>
    <s v="30/09/20"/>
    <s v="SI206N03593"/>
    <m/>
    <s v="1 PRIME RENTAL-Wisdom Ch"/>
    <s v="100040"/>
    <s v="20015262"/>
    <s v="MSH"/>
    <n v="0"/>
    <n v="5534.88"/>
    <n v="5534.88"/>
    <s v="NG"/>
    <x v="8"/>
  </r>
  <r>
    <s v="400-04"/>
    <x v="1"/>
    <n v="0"/>
    <d v="2020-01-10T00:00:00"/>
    <d v="2020-01-10T00:00:00"/>
    <s v="SI206N03616"/>
    <m/>
    <s v="PRIME&amp;ECO LTO,RENTALS"/>
    <s v="120006"/>
    <s v="20015362"/>
    <s v="MSH"/>
    <n v="0"/>
    <n v="168372.1"/>
    <n v="168372.1"/>
    <s v="NG"/>
    <x v="9"/>
  </r>
  <r>
    <s v="400-04"/>
    <x v="1"/>
    <n v="0"/>
    <d v="2020-01-10T00:00:00"/>
    <d v="2020-01-10T00:00:00"/>
    <s v="SI206N03617"/>
    <m/>
    <s v="PRIME&amp;ECO LTO,RENTALS"/>
    <s v="120006"/>
    <s v="20015364"/>
    <s v="MSH"/>
    <n v="0"/>
    <n v="223767.44"/>
    <n v="223767.44"/>
    <s v="NG"/>
    <x v="9"/>
  </r>
  <r>
    <s v="400-04"/>
    <x v="1"/>
    <n v="0"/>
    <d v="2020-01-10T00:00:00"/>
    <d v="2020-01-10T00:00:00"/>
    <s v="SI206N03618"/>
    <m/>
    <s v="PRIME LTO,PRIME&amp;ECO RENT"/>
    <s v="120006"/>
    <s v="20015368"/>
    <s v="MSH"/>
    <n v="0"/>
    <n v="258511.63"/>
    <n v="258511.63"/>
    <s v="NG"/>
    <x v="9"/>
  </r>
  <r>
    <s v="400-04"/>
    <x v="1"/>
    <n v="0"/>
    <d v="2020-01-10T00:00:00"/>
    <d v="2020-01-10T00:00:00"/>
    <s v="SI206N03619"/>
    <m/>
    <s v="PRIME LTO,PRIME RENTAL"/>
    <s v="120006"/>
    <s v="20015370"/>
    <s v="MSH"/>
    <n v="0"/>
    <n v="85023.26"/>
    <n v="85023.26"/>
    <s v="NG"/>
    <x v="9"/>
  </r>
  <r>
    <s v="400-04"/>
    <x v="1"/>
    <n v="0"/>
    <d v="2020-01-10T00:00:00"/>
    <d v="2020-01-10T00:00:00"/>
    <s v="SI206N03620"/>
    <m/>
    <s v="PRIME&amp;ECO LTO,PRIMERENTA"/>
    <s v="120006"/>
    <s v="20015372"/>
    <s v="MSH"/>
    <n v="0"/>
    <n v="167209.29999999999"/>
    <n v="167209.29999999999"/>
    <s v="NG"/>
    <x v="9"/>
  </r>
  <r>
    <s v="400-04"/>
    <x v="1"/>
    <n v="0"/>
    <d v="2020-01-10T00:00:00"/>
    <d v="2020-01-10T00:00:00"/>
    <s v="SI206N03621"/>
    <m/>
    <s v="PRIME&amp;ECO LTO,RENTALS"/>
    <s v="120006"/>
    <s v="20015374"/>
    <s v="MSH"/>
    <n v="0"/>
    <n v="208697.68"/>
    <n v="208697.68"/>
    <s v="NG"/>
    <x v="9"/>
  </r>
  <r>
    <s v="400-04"/>
    <x v="1"/>
    <n v="0"/>
    <d v="2020-01-10T00:00:00"/>
    <d v="2020-01-10T00:00:00"/>
    <s v="SI206N03622"/>
    <m/>
    <s v="PRIME&amp;ECO LTO,PRIME RENT"/>
    <s v="120006"/>
    <s v="20015430"/>
    <s v="MSH"/>
    <n v="0"/>
    <n v="244325.58"/>
    <n v="244325.58"/>
    <s v="NG"/>
    <x v="9"/>
  </r>
  <r>
    <s v="400-04"/>
    <x v="1"/>
    <n v="0"/>
    <d v="2020-01-10T00:00:00"/>
    <d v="2020-01-10T00:00:00"/>
    <s v="SI206N03623"/>
    <m/>
    <s v="PRIME&amp;ECO LTO,PRIME RENT"/>
    <s v="120006"/>
    <s v="20015432"/>
    <s v="MSH"/>
    <n v="0"/>
    <n v="79069.77"/>
    <n v="79069.77"/>
    <s v="NG"/>
    <x v="9"/>
  </r>
  <r>
    <s v="400-04"/>
    <x v="1"/>
    <n v="0"/>
    <d v="2020-01-10T00:00:00"/>
    <d v="2020-01-10T00:00:00"/>
    <s v="SI206N03624"/>
    <m/>
    <s v="PRIME&amp;ECO LTO,RENTALS"/>
    <s v="120006"/>
    <s v="20015436"/>
    <s v="MSH"/>
    <n v="0"/>
    <n v="69627.91"/>
    <n v="69627.91"/>
    <s v="NG"/>
    <x v="9"/>
  </r>
  <r>
    <s v="400-04"/>
    <x v="1"/>
    <n v="0"/>
    <d v="2020-01-10T00:00:00"/>
    <d v="2020-01-10T00:00:00"/>
    <s v="SI206N03625"/>
    <m/>
    <s v="PRIME RENTAL 2MTH"/>
    <s v="120006"/>
    <s v="20015438"/>
    <s v="MSH"/>
    <n v="0"/>
    <n v="10511.63"/>
    <n v="10511.63"/>
    <s v="NG"/>
    <x v="9"/>
  </r>
  <r>
    <s v="400-04"/>
    <x v="1"/>
    <n v="0"/>
    <d v="2020-01-10T00:00:00"/>
    <d v="2020-01-10T00:00:00"/>
    <s v="SI206N03626"/>
    <m/>
    <s v="PRIME RENTAL 2MTH"/>
    <s v="120006"/>
    <s v="20015440"/>
    <s v="MSH"/>
    <n v="0"/>
    <n v="10511.63"/>
    <n v="10511.63"/>
    <s v="NG"/>
    <x v="9"/>
  </r>
  <r>
    <s v="400-04"/>
    <x v="1"/>
    <n v="0"/>
    <d v="2020-01-10T00:00:00"/>
    <d v="2020-01-10T00:00:00"/>
    <s v="SI206N03804"/>
    <m/>
    <s v="CORALPAY CUSTOMER 1ST"/>
    <s v="100039"/>
    <s v="20016003"/>
    <s v="MSH"/>
    <n v="0"/>
    <n v="278930.23"/>
    <n v="278930.23"/>
    <s v="NG"/>
    <x v="9"/>
  </r>
  <r>
    <s v="400-04"/>
    <x v="1"/>
    <n v="0"/>
    <d v="2020-01-10T00:00:00"/>
    <d v="2020-01-10T00:00:00"/>
    <s v="SI206N04133"/>
    <m/>
    <s v="CORALPAY ADDITIONAL 1ST"/>
    <s v="100039"/>
    <s v="20017842"/>
    <s v="MSH"/>
    <n v="0"/>
    <n v="10930.23"/>
    <n v="10930.23"/>
    <s v="NG"/>
    <x v="9"/>
  </r>
  <r>
    <s v="400-04"/>
    <x v="1"/>
    <n v="0"/>
    <d v="2020-02-10T00:00:00"/>
    <d v="2020-02-10T00:00:00"/>
    <s v="SI206N03821"/>
    <m/>
    <s v="CORALPAY 2ND INVOICE"/>
    <s v="100039"/>
    <s v="20016181"/>
    <s v="MSH"/>
    <n v="0"/>
    <n v="266232.56"/>
    <n v="266232.56"/>
    <s v="NG"/>
    <x v="9"/>
  </r>
  <r>
    <s v="400-04"/>
    <x v="1"/>
    <n v="0"/>
    <d v="2020-02-10T00:00:00"/>
    <d v="2020-02-10T00:00:00"/>
    <s v="SI206N04134"/>
    <m/>
    <s v="CORALPAY 2ND ADDITIONAL"/>
    <s v="100039"/>
    <s v="20017843"/>
    <s v="MSH"/>
    <n v="0"/>
    <n v="24232.560000000001"/>
    <n v="24232.560000000001"/>
    <s v="NG"/>
    <x v="9"/>
  </r>
  <r>
    <s v="400-04"/>
    <x v="1"/>
    <n v="0"/>
    <d v="2020-03-10T00:00:00"/>
    <d v="2020-03-10T00:00:00"/>
    <s v="SI206N03822"/>
    <m/>
    <s v="CORALPAY 3RD INVOICE"/>
    <s v="100039"/>
    <s v="20016188"/>
    <s v="MSH"/>
    <n v="0"/>
    <n v="226558.14"/>
    <n v="226558.14"/>
    <s v="NG"/>
    <x v="9"/>
  </r>
  <r>
    <s v="400-04"/>
    <x v="1"/>
    <n v="0"/>
    <d v="2020-03-10T00:00:00"/>
    <d v="2020-03-10T00:00:00"/>
    <s v="SI206N04135"/>
    <m/>
    <s v="CORALPAY ADDITIONAL 3RD"/>
    <s v="100039"/>
    <s v="20017844"/>
    <s v="MSH"/>
    <n v="0"/>
    <n v="20372.09"/>
    <n v="20372.09"/>
    <s v="NG"/>
    <x v="9"/>
  </r>
  <r>
    <s v="400-04"/>
    <x v="1"/>
    <n v="0"/>
    <d v="2020-04-10T00:00:00"/>
    <d v="2020-04-10T00:00:00"/>
    <s v="SI206N03851"/>
    <m/>
    <s v="CORALPAY INVOICE 4TH"/>
    <s v="100039"/>
    <s v="20016340"/>
    <s v="MSH"/>
    <n v="0"/>
    <n v="86279.07"/>
    <n v="86279.07"/>
    <s v="NG"/>
    <x v="9"/>
  </r>
  <r>
    <s v="400-04"/>
    <x v="1"/>
    <n v="0"/>
    <d v="2020-05-10T00:00:00"/>
    <d v="2020-05-10T00:00:00"/>
    <s v="SI206N03629"/>
    <m/>
    <s v="PRIME&amp;ECO LTO,RENTALS"/>
    <s v="120006"/>
    <s v="20015466"/>
    <s v="MSH"/>
    <n v="0"/>
    <n v="124697.68"/>
    <n v="124697.68"/>
    <s v="NG"/>
    <x v="9"/>
  </r>
  <r>
    <s v="400-04"/>
    <x v="1"/>
    <n v="0"/>
    <d v="2020-05-10T00:00:00"/>
    <d v="2020-05-10T00:00:00"/>
    <s v="SI206N03630"/>
    <m/>
    <s v="PRIME&amp;ECO LTO/RIME RENTA"/>
    <s v="120006"/>
    <s v="20015468"/>
    <s v="MSH"/>
    <n v="0"/>
    <n v="49720.93"/>
    <n v="49720.93"/>
    <s v="NG"/>
    <x v="9"/>
  </r>
  <r>
    <s v="400-04"/>
    <x v="1"/>
    <n v="0"/>
    <d v="2020-05-10T00:00:00"/>
    <d v="2020-05-10T00:00:00"/>
    <s v="SI206N03631"/>
    <m/>
    <s v="PRIME&amp;ECO LTO,PRIME RENT"/>
    <s v="120006"/>
    <s v="20015470"/>
    <s v="MSH"/>
    <n v="0"/>
    <n v="99674.42"/>
    <n v="99674.42"/>
    <s v="NG"/>
    <x v="9"/>
  </r>
  <r>
    <s v="400-04"/>
    <x v="1"/>
    <n v="0"/>
    <d v="2020-05-10T00:00:00"/>
    <d v="2020-05-10T00:00:00"/>
    <s v="SI206N03632"/>
    <m/>
    <s v="PRIME&amp;ECO LTO,PRIME RENT"/>
    <s v="120006"/>
    <s v="20015484"/>
    <s v="MSH"/>
    <n v="0"/>
    <n v="222511.63"/>
    <n v="222511.63"/>
    <s v="NG"/>
    <x v="9"/>
  </r>
  <r>
    <s v="400-04"/>
    <x v="1"/>
    <n v="0"/>
    <d v="2020-05-10T00:00:00"/>
    <d v="2020-05-10T00:00:00"/>
    <s v="SI206N03634"/>
    <m/>
    <s v="PRIME&amp;ECO LTO,RENTALS"/>
    <s v="120006"/>
    <s v="20015501"/>
    <s v="MSH"/>
    <n v="0"/>
    <n v="86651.16"/>
    <n v="86651.16"/>
    <s v="NG"/>
    <x v="9"/>
  </r>
  <r>
    <s v="400-04"/>
    <x v="1"/>
    <n v="0"/>
    <d v="2020-05-10T00:00:00"/>
    <d v="2020-05-10T00:00:00"/>
    <s v="SI206N03651"/>
    <m/>
    <s v="PRIME&amp; ECO LTO,PRIME REN"/>
    <s v="120006"/>
    <s v="20015601"/>
    <s v="MSH"/>
    <n v="0"/>
    <n v="168046.51"/>
    <n v="168046.51"/>
    <s v="NG"/>
    <x v="9"/>
  </r>
  <r>
    <s v="400-04"/>
    <x v="1"/>
    <n v="0"/>
    <d v="2020-05-10T00:00:00"/>
    <d v="2020-05-10T00:00:00"/>
    <s v="SI206N03780"/>
    <m/>
    <s v="PRIME&amp;ECO LTO,RENTALS"/>
    <s v="120006"/>
    <s v="20015915"/>
    <s v="MSH"/>
    <n v="0"/>
    <n v="253162.79"/>
    <n v="253162.79"/>
    <s v="NG"/>
    <x v="9"/>
  </r>
  <r>
    <s v="400-04"/>
    <x v="1"/>
    <n v="0"/>
    <d v="2020-05-10T00:00:00"/>
    <d v="2020-05-10T00:00:00"/>
    <s v="SI206N03788"/>
    <m/>
    <s v="PRIME LTO,SETUP, RENTALS"/>
    <s v="120006"/>
    <s v="20015931"/>
    <s v="MSH"/>
    <n v="0"/>
    <n v="114093.03"/>
    <n v="114093.03"/>
    <s v="NG"/>
    <x v="9"/>
  </r>
  <r>
    <s v="400-04"/>
    <x v="1"/>
    <n v="0"/>
    <d v="2020-05-10T00:00:00"/>
    <d v="2020-05-10T00:00:00"/>
    <s v="SI206N03803"/>
    <m/>
    <s v="PRIME&amp;ECO LTO,RENTALS"/>
    <s v="120006"/>
    <s v="20015964"/>
    <s v="MSH"/>
    <n v="0"/>
    <n v="141674.42000000001"/>
    <n v="141674.42000000001"/>
    <s v="NG"/>
    <x v="9"/>
  </r>
  <r>
    <s v="400-04"/>
    <x v="1"/>
    <n v="0"/>
    <d v="2020-05-10T00:00:00"/>
    <d v="2020-05-10T00:00:00"/>
    <s v="SI206N03806"/>
    <m/>
    <s v="PRIME&amp;ECO LTO,RENTALS"/>
    <s v="120006"/>
    <s v="20016060"/>
    <s v="MSH"/>
    <n v="0"/>
    <n v="111534.88"/>
    <n v="111534.88"/>
    <s v="NG"/>
    <x v="9"/>
  </r>
  <r>
    <s v="400-04"/>
    <x v="1"/>
    <n v="0"/>
    <d v="2020-05-10T00:00:00"/>
    <d v="2020-05-10T00:00:00"/>
    <s v="SI206N03852"/>
    <m/>
    <s v="CORAYPAY INVOICE 5TH"/>
    <s v="100039"/>
    <s v="20016342"/>
    <s v="MSH"/>
    <n v="0"/>
    <n v="316837.21000000002"/>
    <n v="316837.21000000002"/>
    <s v="NG"/>
    <x v="9"/>
  </r>
  <r>
    <s v="400-04"/>
    <x v="1"/>
    <n v="0"/>
    <d v="2020-05-10T00:00:00"/>
    <d v="2020-05-10T00:00:00"/>
    <s v="SI206N04136"/>
    <m/>
    <s v="CORALPAY ADDITIONAL 5TH"/>
    <s v="100039"/>
    <s v="20017845"/>
    <s v="MSH"/>
    <n v="0"/>
    <n v="54697.67"/>
    <n v="54697.67"/>
    <s v="NG"/>
    <x v="9"/>
  </r>
  <r>
    <s v="400-04"/>
    <x v="1"/>
    <n v="0"/>
    <d v="2020-06-10T00:00:00"/>
    <d v="2020-06-10T00:00:00"/>
    <s v="SI206N03853"/>
    <m/>
    <s v="CORALPAY INVOICE 6TH"/>
    <s v="100039"/>
    <s v="20016344"/>
    <s v="MSH"/>
    <n v="0"/>
    <n v="288186.05"/>
    <n v="288186.05"/>
    <s v="NG"/>
    <x v="9"/>
  </r>
  <r>
    <s v="400-04"/>
    <x v="1"/>
    <n v="0"/>
    <d v="2020-06-10T00:00:00"/>
    <d v="2020-06-10T00:00:00"/>
    <s v="SI206N04137"/>
    <m/>
    <s v="CORALPAY ADDITIONAL 6TH"/>
    <s v="100039"/>
    <s v="20017846"/>
    <s v="MSH"/>
    <n v="0"/>
    <n v="40930.230000000003"/>
    <n v="40930.230000000003"/>
    <s v="NG"/>
    <x v="9"/>
  </r>
  <r>
    <s v="400-04"/>
    <x v="1"/>
    <n v="0"/>
    <d v="2020-07-10T00:00:00"/>
    <d v="2020-07-10T00:00:00"/>
    <s v="SI206N03858"/>
    <m/>
    <s v="CORALPAY INVOICE 7TH"/>
    <s v="100039"/>
    <s v="20016354"/>
    <s v="MSH"/>
    <n v="0"/>
    <n v="224232.56"/>
    <n v="224232.56"/>
    <s v="NG"/>
    <x v="9"/>
  </r>
  <r>
    <s v="400-04"/>
    <x v="1"/>
    <n v="0"/>
    <d v="2020-07-10T00:00:00"/>
    <d v="2020-07-10T00:00:00"/>
    <s v="SI206N04138"/>
    <m/>
    <s v="CORALPAY ADDIONAL 7TH"/>
    <s v="100039"/>
    <s v="20017847"/>
    <s v="MSH"/>
    <n v="0"/>
    <n v="19116.28"/>
    <n v="19116.28"/>
    <s v="NG"/>
    <x v="9"/>
  </r>
  <r>
    <s v="400-04"/>
    <x v="1"/>
    <n v="0"/>
    <d v="2020-08-10T00:00:00"/>
    <d v="2020-08-10T00:00:00"/>
    <s v="SI206N03859"/>
    <m/>
    <s v="CORALPAY INVOICE 8TH"/>
    <s v="100039"/>
    <s v="20016356"/>
    <s v="MSH"/>
    <n v="0"/>
    <n v="329953.49"/>
    <n v="329953.49"/>
    <s v="NG"/>
    <x v="9"/>
  </r>
  <r>
    <s v="400-04"/>
    <x v="1"/>
    <n v="0"/>
    <d v="2020-09-10T00:00:00"/>
    <d v="2020-09-10T00:00:00"/>
    <s v="SI206N03866"/>
    <m/>
    <s v="CORALPAY INVOICE 9TH"/>
    <s v="100039"/>
    <s v="20016371"/>
    <s v="MSH"/>
    <n v="0"/>
    <n v="363255.81"/>
    <n v="363255.81"/>
    <s v="NG"/>
    <x v="9"/>
  </r>
  <r>
    <s v="400-04"/>
    <x v="1"/>
    <n v="0"/>
    <d v="2020-09-10T00:00:00"/>
    <d v="2020-09-10T00:00:00"/>
    <s v="SI206N04080"/>
    <m/>
    <s v="MIGO MONTH 2 OF 48MONTHS"/>
    <s v="100042"/>
    <s v="20017309"/>
    <s v="MSH"/>
    <n v="0"/>
    <n v="162976.74"/>
    <n v="162976.74"/>
    <s v="NG"/>
    <x v="9"/>
  </r>
  <r>
    <s v="400-04"/>
    <x v="1"/>
    <n v="0"/>
    <d v="2020-09-10T00:00:00"/>
    <d v="2020-09-10T00:00:00"/>
    <s v="SI206N04139"/>
    <m/>
    <s v="CORALPAY ADDITIONAL 9TH"/>
    <s v="100039"/>
    <s v="20017848"/>
    <s v="MSH"/>
    <n v="0"/>
    <n v="20372.09"/>
    <n v="20372.09"/>
    <s v="NG"/>
    <x v="9"/>
  </r>
  <r>
    <s v="400-04"/>
    <x v="1"/>
    <n v="0"/>
    <d v="2020-10-10T00:00:00"/>
    <d v="2020-10-10T00:00:00"/>
    <s v="SI206N03860"/>
    <m/>
    <s v="CORALPAY INVOICE 10TH"/>
    <s v="100039"/>
    <s v="20016359"/>
    <s v="MSH"/>
    <n v="0"/>
    <n v="274000"/>
    <n v="274000"/>
    <s v="NG"/>
    <x v="9"/>
  </r>
  <r>
    <s v="400-04"/>
    <x v="1"/>
    <n v="0"/>
    <d v="2020-10-10T00:00:00"/>
    <d v="2020-10-10T00:00:00"/>
    <s v="SI206N04140"/>
    <m/>
    <s v="CORALPAY ADDITIONAL 10TH"/>
    <s v="100039"/>
    <s v="20017849"/>
    <s v="MSH"/>
    <n v="0"/>
    <n v="14930.23"/>
    <n v="14930.23"/>
    <s v="NG"/>
    <x v="9"/>
  </r>
  <r>
    <s v="400-04"/>
    <x v="1"/>
    <n v="0"/>
    <d v="2020-11-10T00:00:00"/>
    <d v="2020-11-10T00:00:00"/>
    <s v="SI206N03861"/>
    <m/>
    <s v="CORALPAY INVOICE 11TH"/>
    <s v="100039"/>
    <s v="20016361"/>
    <s v="MSH"/>
    <n v="0"/>
    <n v="165348.84"/>
    <n v="165348.84"/>
    <s v="NG"/>
    <x v="9"/>
  </r>
  <r>
    <s v="400-04"/>
    <x v="1"/>
    <n v="0"/>
    <d v="2020-11-10T00:00:00"/>
    <d v="2020-11-10T00:00:00"/>
    <s v="SI206N04141"/>
    <m/>
    <s v="CORALPAY ADDITIONAL 11TH"/>
    <s v="100039"/>
    <s v="20017850"/>
    <s v="MSH"/>
    <n v="0"/>
    <n v="6790.7"/>
    <n v="6790.7"/>
    <s v="NG"/>
    <x v="9"/>
  </r>
  <r>
    <s v="400-04"/>
    <x v="1"/>
    <n v="0"/>
    <d v="2020-12-10T00:00:00"/>
    <d v="2020-12-10T00:00:00"/>
    <s v="SI206N03862"/>
    <m/>
    <s v="CORALPAY INVOICE 12TH"/>
    <s v="100039"/>
    <s v="20016363"/>
    <s v="MSH"/>
    <n v="0"/>
    <n v="557441.86"/>
    <n v="557441.86"/>
    <s v="NG"/>
    <x v="9"/>
  </r>
  <r>
    <s v="400-04"/>
    <x v="1"/>
    <n v="0"/>
    <d v="2020-12-10T00:00:00"/>
    <d v="2020-12-10T00:00:00"/>
    <s v="SI206N04142"/>
    <m/>
    <s v="CORALPAY ADDITIONAL 12TH"/>
    <s v="100039"/>
    <s v="20017851"/>
    <s v="MSH"/>
    <n v="0"/>
    <n v="40697.67"/>
    <n v="40697.67"/>
    <s v="NG"/>
    <x v="9"/>
  </r>
  <r>
    <s v="400-04"/>
    <x v="1"/>
    <n v="0"/>
    <s v="13/10/20"/>
    <s v="13/10/20"/>
    <s v="SI206N03863"/>
    <m/>
    <s v="CORALPAY INVOICE 13TH"/>
    <s v="100039"/>
    <s v="20016365"/>
    <s v="MSH"/>
    <n v="0"/>
    <n v="330790.7"/>
    <n v="330790.7"/>
    <s v="NG"/>
    <x v="9"/>
  </r>
  <r>
    <s v="400-04"/>
    <x v="1"/>
    <n v="0"/>
    <s v="13/10/20"/>
    <s v="13/10/20"/>
    <s v="SI206N04143"/>
    <m/>
    <s v="CORALPAY ADDIONAL 13TH"/>
    <s v="100039"/>
    <s v="20017852"/>
    <s v="MSH"/>
    <n v="0"/>
    <n v="34883.72"/>
    <n v="34883.72"/>
    <s v="NG"/>
    <x v="9"/>
  </r>
  <r>
    <s v="400-04"/>
    <x v="1"/>
    <n v="0"/>
    <s v="14/10/20"/>
    <s v="14/10/20"/>
    <s v="SI206N03864"/>
    <m/>
    <s v="CORALPAY INVOICE 14TH"/>
    <s v="100039"/>
    <s v="20016367"/>
    <s v="MSH"/>
    <n v="0"/>
    <n v="482000"/>
    <n v="482000"/>
    <s v="NG"/>
    <x v="9"/>
  </r>
  <r>
    <s v="400-04"/>
    <x v="1"/>
    <n v="0"/>
    <s v="15/10/20"/>
    <s v="15/10/20"/>
    <s v="SI206N03865"/>
    <m/>
    <s v="CORALPAY INVOICE 15TH"/>
    <s v="100039"/>
    <s v="20016369"/>
    <s v="MSH"/>
    <n v="0"/>
    <n v="495348.84"/>
    <n v="495348.84"/>
    <s v="NG"/>
    <x v="9"/>
  </r>
  <r>
    <s v="400-04"/>
    <x v="1"/>
    <n v="0"/>
    <s v="15/10/20"/>
    <s v="15/10/20"/>
    <s v="SI206N04144"/>
    <m/>
    <s v="CORALPAY ADDITIONL 15TH"/>
    <s v="100039"/>
    <s v="20017853"/>
    <s v="MSH"/>
    <n v="0"/>
    <n v="6790.7"/>
    <n v="6790.7"/>
    <s v="NG"/>
    <x v="9"/>
  </r>
  <r>
    <s v="400-04"/>
    <x v="1"/>
    <n v="0"/>
    <s v="16/10/20"/>
    <s v="16/10/20"/>
    <s v="SI206N03966"/>
    <m/>
    <s v="CORALPAY INVOICE 16TH"/>
    <s v="100039"/>
    <s v="20016894"/>
    <s v="MSH"/>
    <n v="0"/>
    <n v="381609.3"/>
    <n v="381609.3"/>
    <s v="NG"/>
    <x v="9"/>
  </r>
  <r>
    <s v="400-04"/>
    <x v="1"/>
    <n v="0"/>
    <s v="17/10/20"/>
    <s v="17/10/20"/>
    <s v="SI206N03967"/>
    <m/>
    <s v="CORALPAY INVOICE 17TH"/>
    <s v="100039"/>
    <s v="20016896"/>
    <s v="MSH"/>
    <n v="0"/>
    <n v="316325.58"/>
    <n v="316325.58"/>
    <s v="NG"/>
    <x v="9"/>
  </r>
  <r>
    <s v="400-04"/>
    <x v="1"/>
    <n v="0"/>
    <s v="18/10/20"/>
    <s v="18/10/20"/>
    <s v="SI206N03968"/>
    <m/>
    <s v="CORALPAY INVOICE 18TH"/>
    <s v="100039"/>
    <s v="20016898"/>
    <s v="MSH"/>
    <n v="0"/>
    <n v="141395.35"/>
    <n v="141395.35"/>
    <s v="NG"/>
    <x v="9"/>
  </r>
  <r>
    <s v="400-04"/>
    <x v="1"/>
    <n v="0"/>
    <s v="19/10/20"/>
    <s v="19/10/20"/>
    <s v="SI206N03969"/>
    <m/>
    <s v="CORALPAY INVOICE 19TH"/>
    <s v="100039"/>
    <s v="20016900"/>
    <s v="MSH"/>
    <n v="0"/>
    <n v="338976.74"/>
    <n v="338976.74"/>
    <s v="NG"/>
    <x v="9"/>
  </r>
  <r>
    <s v="400-04"/>
    <x v="1"/>
    <n v="0"/>
    <s v="20/10/20"/>
    <s v="20/10/20"/>
    <s v="SI206N03970"/>
    <m/>
    <s v="CORALPAY INVOICE 20TH"/>
    <s v="100039"/>
    <s v="20016902"/>
    <s v="MSH"/>
    <n v="0"/>
    <n v="220511.63"/>
    <n v="220511.63"/>
    <s v="NG"/>
    <x v="9"/>
  </r>
  <r>
    <s v="400-04"/>
    <x v="1"/>
    <n v="0"/>
    <s v="21/10/20"/>
    <s v="21/10/20"/>
    <s v="SI206N03819"/>
    <m/>
    <s v="PRIMELTO,PRIME&amp;ECO RENTA"/>
    <s v="120006"/>
    <s v="20016165"/>
    <s v="MSH"/>
    <n v="0"/>
    <n v="144232.56"/>
    <n v="144232.56"/>
    <s v="NG"/>
    <x v="9"/>
  </r>
  <r>
    <s v="400-04"/>
    <x v="1"/>
    <n v="0"/>
    <s v="21/10/20"/>
    <s v="21/10/20"/>
    <s v="SI206N03820"/>
    <m/>
    <s v="ECO RENTAL 2MTH"/>
    <s v="120006"/>
    <s v="20016167"/>
    <s v="MSH"/>
    <n v="0"/>
    <n v="7813.95"/>
    <n v="7813.95"/>
    <s v="NG"/>
    <x v="9"/>
  </r>
  <r>
    <s v="400-04"/>
    <x v="1"/>
    <n v="0"/>
    <s v="21/10/20"/>
    <s v="21/10/20"/>
    <s v="SI206N03823"/>
    <m/>
    <s v="PRIME&amp;ECO LTO,RENTALS"/>
    <s v="120006"/>
    <s v="20016204"/>
    <s v="MSH"/>
    <n v="0"/>
    <n v="144930.23000000001"/>
    <n v="144930.23000000001"/>
    <s v="NG"/>
    <x v="9"/>
  </r>
  <r>
    <s v="400-04"/>
    <x v="1"/>
    <n v="0"/>
    <s v="21/10/20"/>
    <s v="21/10/20"/>
    <s v="SI206N03854"/>
    <m/>
    <s v="PRIME&amp;ECO LTO,PRIME RENT"/>
    <s v="120006"/>
    <s v="20016346"/>
    <s v="MSH"/>
    <n v="0"/>
    <n v="98976.75"/>
    <n v="98976.75"/>
    <s v="NG"/>
    <x v="9"/>
  </r>
  <r>
    <s v="400-04"/>
    <x v="1"/>
    <n v="0"/>
    <s v="21/10/20"/>
    <s v="21/10/20"/>
    <s v="SI206N03855"/>
    <m/>
    <s v="PRIME RENTAL-2MTH"/>
    <s v="120006"/>
    <s v="20016348"/>
    <s v="MSH"/>
    <n v="0"/>
    <n v="10511.63"/>
    <n v="10511.63"/>
    <s v="NG"/>
    <x v="9"/>
  </r>
  <r>
    <s v="400-04"/>
    <x v="1"/>
    <n v="0"/>
    <s v="21/10/20"/>
    <s v="21/10/20"/>
    <s v="SI206N03856"/>
    <m/>
    <s v="PRIME LTO,PRIME&amp;ECO RENT"/>
    <s v="120006"/>
    <s v="20016350"/>
    <s v="MSH"/>
    <n v="0"/>
    <n v="91488.37"/>
    <n v="91488.37"/>
    <s v="NG"/>
    <x v="9"/>
  </r>
  <r>
    <s v="400-04"/>
    <x v="1"/>
    <n v="0"/>
    <s v="21/10/20"/>
    <s v="21/10/20"/>
    <s v="SI206N03857"/>
    <m/>
    <s v="PRIME LTO-1MTH"/>
    <s v="120006"/>
    <s v="20016351"/>
    <s v="MSH"/>
    <n v="0"/>
    <n v="6790.7"/>
    <n v="6790.7"/>
    <s v="NG"/>
    <x v="9"/>
  </r>
  <r>
    <s v="400-04"/>
    <x v="1"/>
    <n v="0"/>
    <s v="21/10/20"/>
    <s v="21/10/20"/>
    <s v="SI206N03971"/>
    <m/>
    <s v="CORALPAY INVOICE 21ST"/>
    <s v="100039"/>
    <s v="20016904"/>
    <s v="MSH"/>
    <n v="0"/>
    <n v="174604.65"/>
    <n v="174604.65"/>
    <s v="NG"/>
    <x v="9"/>
  </r>
  <r>
    <s v="400-04"/>
    <x v="1"/>
    <n v="0"/>
    <s v="22/10/20"/>
    <s v="22/10/20"/>
    <s v="SI206N03972"/>
    <m/>
    <s v="CORALPAY INVOICE 22ND"/>
    <s v="100039"/>
    <s v="20016906"/>
    <s v="MSH"/>
    <n v="0"/>
    <n v="233162.79"/>
    <n v="233162.79"/>
    <s v="NG"/>
    <x v="9"/>
  </r>
  <r>
    <s v="400-04"/>
    <x v="1"/>
    <n v="0"/>
    <s v="23/10/20"/>
    <s v="23/10/20"/>
    <s v="SI206N03973"/>
    <m/>
    <s v="CORALPAY INVOICE 23RD"/>
    <s v="100039"/>
    <s v="20016908"/>
    <s v="MSH"/>
    <n v="0"/>
    <n v="302790.7"/>
    <n v="302790.7"/>
    <s v="NG"/>
    <x v="9"/>
  </r>
  <r>
    <s v="400-04"/>
    <x v="1"/>
    <n v="0"/>
    <s v="24/10/20"/>
    <s v="24/10/20"/>
    <s v="SI206N03974"/>
    <m/>
    <s v="CORALPAY INVOICE 24TH"/>
    <s v="100039"/>
    <s v="20016910"/>
    <s v="MSH"/>
    <n v="0"/>
    <n v="296418.59999999998"/>
    <n v="296418.59999999998"/>
    <s v="NG"/>
    <x v="9"/>
  </r>
  <r>
    <s v="400-04"/>
    <x v="1"/>
    <n v="0"/>
    <s v="25/10/20"/>
    <s v="25/10/20"/>
    <s v="SI206N04022"/>
    <m/>
    <s v="CORALPAY INVOICE 25TH"/>
    <s v="100039"/>
    <s v="20017114"/>
    <s v="MSH"/>
    <n v="0"/>
    <n v="143627.91"/>
    <n v="143627.91"/>
    <s v="NG"/>
    <x v="9"/>
  </r>
  <r>
    <s v="400-04"/>
    <x v="1"/>
    <n v="0"/>
    <s v="26/10/20"/>
    <s v="26/10/20"/>
    <s v="SI206N03892"/>
    <m/>
    <s v="PRIME LTO,PRIME RENTAL"/>
    <s v="120006"/>
    <s v="20016488"/>
    <s v="MSH"/>
    <n v="0"/>
    <n v="68418.600000000006"/>
    <n v="68418.600000000006"/>
    <s v="NG"/>
    <x v="9"/>
  </r>
  <r>
    <s v="400-04"/>
    <x v="1"/>
    <n v="0"/>
    <s v="26/10/20"/>
    <s v="26/10/20"/>
    <s v="SI206N03896"/>
    <m/>
    <s v="PRIMELTO,PRIME&amp;ECO RENTA"/>
    <s v="120006"/>
    <s v="20016497"/>
    <s v="MSH"/>
    <n v="0"/>
    <n v="76279.070000000007"/>
    <n v="76279.070000000007"/>
    <s v="NG"/>
    <x v="9"/>
  </r>
  <r>
    <s v="400-04"/>
    <x v="1"/>
    <n v="0"/>
    <s v="26/10/20"/>
    <s v="26/10/20"/>
    <s v="SI206N03897"/>
    <m/>
    <s v="PRIME&amp;ECO LTO,RENTALS"/>
    <s v="120006"/>
    <s v="20016540"/>
    <s v="MSH"/>
    <n v="0"/>
    <n v="181023.26"/>
    <n v="181023.26"/>
    <s v="NG"/>
    <x v="9"/>
  </r>
  <r>
    <s v="400-04"/>
    <x v="1"/>
    <n v="0"/>
    <s v="26/10/20"/>
    <s v="26/10/20"/>
    <s v="SI206N04023"/>
    <m/>
    <s v="CORALPAY INVOICE 26TH"/>
    <s v="100039"/>
    <s v="20017116"/>
    <s v="MSH"/>
    <n v="0"/>
    <n v="476604.65"/>
    <n v="476604.65"/>
    <s v="NG"/>
    <x v="9"/>
  </r>
  <r>
    <s v="400-04"/>
    <x v="1"/>
    <n v="0"/>
    <s v="27/10/20"/>
    <s v="27/10/20"/>
    <s v="SI206N03898"/>
    <m/>
    <s v="PRIME&amp;ECO LTO,PRIME RENT"/>
    <s v="120006"/>
    <s v="20016587"/>
    <s v="MSH"/>
    <n v="0"/>
    <n v="214930.23"/>
    <n v="214930.23"/>
    <s v="NG"/>
    <x v="9"/>
  </r>
  <r>
    <s v="400-04"/>
    <x v="1"/>
    <n v="0"/>
    <s v="27/10/20"/>
    <s v="27/10/20"/>
    <s v="SI206N03899"/>
    <m/>
    <s v="PRIME RENTAL 1MTH"/>
    <s v="120006"/>
    <s v="20016588"/>
    <s v="MSH"/>
    <n v="0"/>
    <n v="5534.88"/>
    <n v="5534.88"/>
    <s v="NG"/>
    <x v="9"/>
  </r>
  <r>
    <s v="400-04"/>
    <x v="1"/>
    <n v="0"/>
    <s v="27/10/20"/>
    <s v="27/10/20"/>
    <s v="SI206N04024"/>
    <m/>
    <s v="CORALPAY INVOICE 27TH"/>
    <s v="100039"/>
    <s v="20017118"/>
    <s v="MSH"/>
    <n v="0"/>
    <n v="590279.06999999995"/>
    <n v="590279.06999999995"/>
    <s v="NG"/>
    <x v="9"/>
  </r>
  <r>
    <s v="400-04"/>
    <x v="1"/>
    <n v="0"/>
    <s v="28/10/20"/>
    <s v="28/10/20"/>
    <s v="SI206N04025"/>
    <m/>
    <s v="CORALPAY INVOICE 28TH"/>
    <s v="100039"/>
    <s v="20017120"/>
    <s v="MSH"/>
    <n v="0"/>
    <n v="398744.19"/>
    <n v="398744.19"/>
    <s v="NG"/>
    <x v="9"/>
  </r>
  <r>
    <s v="400-04"/>
    <x v="1"/>
    <n v="0"/>
    <s v="29/10/20"/>
    <s v="29/10/20"/>
    <s v="SI206N03963"/>
    <m/>
    <s v="PRIME&amp;ECO LTO,RENTALS"/>
    <s v="120006"/>
    <s v="20016888"/>
    <s v="MSH"/>
    <n v="0"/>
    <n v="200790.7"/>
    <n v="200790.7"/>
    <s v="NG"/>
    <x v="9"/>
  </r>
  <r>
    <s v="400-04"/>
    <x v="1"/>
    <n v="0"/>
    <s v="29/10/20"/>
    <s v="29/10/20"/>
    <s v="SI206N03964"/>
    <m/>
    <s v="PRIME 1MTH"/>
    <s v="120006"/>
    <s v="20016889"/>
    <s v="MSH"/>
    <n v="0"/>
    <n v="6790.7"/>
    <n v="6790.7"/>
    <s v="NG"/>
    <x v="9"/>
  </r>
  <r>
    <s v="400-04"/>
    <x v="1"/>
    <n v="0"/>
    <s v="29/10/20"/>
    <s v="29/10/20"/>
    <s v="SI206N03965"/>
    <m/>
    <s v="PRIME&amp;ECO LTO,RENTALS"/>
    <s v="120006"/>
    <s v="20016892"/>
    <s v="MSH"/>
    <n v="0"/>
    <n v="85674.42"/>
    <n v="85674.42"/>
    <s v="NG"/>
    <x v="9"/>
  </r>
  <r>
    <s v="400-04"/>
    <x v="1"/>
    <n v="0"/>
    <s v="30/10/20"/>
    <s v="30/10/20"/>
    <s v="SI206N03975"/>
    <m/>
    <s v="PRIME&amp;ECOLTO,RENTALS"/>
    <s v="120006"/>
    <s v="20016912"/>
    <s v="MSH"/>
    <n v="0"/>
    <n v="216232.56"/>
    <n v="216232.56"/>
    <s v="NG"/>
    <x v="9"/>
  </r>
  <r>
    <s v="400-04"/>
    <x v="1"/>
    <n v="0"/>
    <s v="30/10/20"/>
    <s v="30/10/20"/>
    <s v="SI206N03976"/>
    <m/>
    <s v="PRIME RENTAL 2MTH"/>
    <s v="120006"/>
    <s v="20016913"/>
    <s v="MSH"/>
    <n v="0"/>
    <n v="10511.63"/>
    <n v="10511.63"/>
    <s v="NG"/>
    <x v="9"/>
  </r>
  <r>
    <s v="400-04"/>
    <x v="1"/>
    <n v="0"/>
    <s v="30/10/20"/>
    <s v="30/10/20"/>
    <s v="SI206N03977"/>
    <m/>
    <s v="PRIME&amp;ECO LTO,RENTALS"/>
    <s v="120006"/>
    <s v="20016916"/>
    <s v="MSH"/>
    <n v="0"/>
    <n v="153302.32999999999"/>
    <n v="153302.32999999999"/>
    <s v="NG"/>
    <x v="9"/>
  </r>
  <r>
    <s v="400-04"/>
    <x v="1"/>
    <n v="0"/>
    <s v="30/10/20"/>
    <s v="30/10/20"/>
    <s v="SI206N04026"/>
    <m/>
    <s v="CORALPAY INVOICE 29TH"/>
    <s v="100039"/>
    <s v="20017122"/>
    <s v="MSH"/>
    <n v="0"/>
    <n v="506465.12"/>
    <n v="506465.12"/>
    <s v="NG"/>
    <x v="9"/>
  </r>
  <r>
    <s v="400-04"/>
    <x v="1"/>
    <n v="0"/>
    <s v="30/10/20"/>
    <s v="30/10/20"/>
    <s v="SI206N04027"/>
    <m/>
    <s v="CORALPAY INVOICE 30TH"/>
    <s v="100039"/>
    <s v="20017124"/>
    <s v="MSH"/>
    <n v="0"/>
    <n v="442790.7"/>
    <n v="442790.7"/>
    <s v="NG"/>
    <x v="9"/>
  </r>
  <r>
    <s v="400-04"/>
    <x v="1"/>
    <n v="0"/>
    <s v="31/10/20"/>
    <s v="31/10/20"/>
    <s v="SI206N04020"/>
    <m/>
    <s v="NIBSS USAGE OCT INVOICE"/>
    <s v="120006"/>
    <s v="20017110"/>
    <s v="MSH"/>
    <n v="0"/>
    <n v="578744.18999999994"/>
    <n v="578744.18999999994"/>
    <s v="NG"/>
    <x v="9"/>
  </r>
  <r>
    <s v="400-04"/>
    <x v="1"/>
    <n v="0"/>
    <s v="31/10/20"/>
    <s v="31/10/20"/>
    <s v="SI206N04021"/>
    <m/>
    <s v="QUICKTELLER INVOICE OCT"/>
    <s v="100048"/>
    <s v="20017112"/>
    <s v="MSH"/>
    <n v="0"/>
    <n v="279469.77"/>
    <n v="279469.77"/>
    <s v="NG"/>
    <x v="9"/>
  </r>
  <r>
    <s v="400-04"/>
    <x v="1"/>
    <n v="0"/>
    <s v="31/10/20"/>
    <s v="31/10/20"/>
    <s v="SI206N04028"/>
    <m/>
    <s v="CORALPAY INVOICE 31ST"/>
    <s v="100039"/>
    <s v="20017126"/>
    <s v="MSH"/>
    <n v="0"/>
    <n v="503627.91"/>
    <n v="503627.91"/>
    <s v="NG"/>
    <x v="9"/>
  </r>
  <r>
    <s v="400-04"/>
    <x v="1"/>
    <n v="0"/>
    <s v="31/10/20"/>
    <s v="31/10/20"/>
    <s v="SI206N04074"/>
    <m/>
    <s v="1PRIME LTO/PRIME RENTAL"/>
    <s v="120006"/>
    <s v="20017252"/>
    <s v="MSH"/>
    <n v="0"/>
    <n v="12325.58"/>
    <n v="12325.58"/>
    <s v="NG"/>
    <x v="9"/>
  </r>
  <r>
    <s v="400-04"/>
    <x v="1"/>
    <n v="0"/>
    <s v="31/10/20"/>
    <d v="2020-12-09T00:00:00"/>
    <s v="SI206N04081"/>
    <m/>
    <s v="Reversal of 20013702"/>
    <s v="100042"/>
    <s v="20017311"/>
    <s v="MSH"/>
    <n v="0"/>
    <n v="-162976.74"/>
    <n v="-162976.74"/>
    <s v="NG"/>
    <x v="9"/>
  </r>
  <r>
    <s v="400-04"/>
    <x v="1"/>
    <n v="0"/>
    <s v="31/10/20"/>
    <s v="31/10/20"/>
    <s v="SI206N04096"/>
    <m/>
    <s v="3 MTHS RENEWAL-SV GAMING"/>
    <s v="100040"/>
    <s v="20017408"/>
    <s v="MSH"/>
    <n v="0"/>
    <n v="514744.19"/>
    <n v="514744.19"/>
    <s v="NG"/>
    <x v="9"/>
  </r>
  <r>
    <s v="400-04"/>
    <x v="1"/>
    <n v="0"/>
    <s v="31/10/20"/>
    <s v="31/10/20"/>
    <s v="SI206N04117"/>
    <m/>
    <s v="1 MONTH USAGE-WILSON UWE"/>
    <s v="100040"/>
    <s v="20017566"/>
    <s v="MSH"/>
    <n v="0"/>
    <n v="5348.84"/>
    <n v="5348.84"/>
    <s v="NG"/>
    <x v="9"/>
  </r>
  <r>
    <s v="400-04"/>
    <x v="1"/>
    <n v="0"/>
    <s v="31/10/20"/>
    <s v="31/10/20"/>
    <s v="SI206N04120"/>
    <m/>
    <s v="2M PRIME-BETTY ATUNISE"/>
    <s v="120006"/>
    <s v="20017621"/>
    <s v="MSH"/>
    <n v="0"/>
    <n v="10511.63"/>
    <n v="10511.63"/>
    <s v="NG"/>
    <x v="9"/>
  </r>
  <r>
    <s v="400-04"/>
    <x v="1"/>
    <n v="0"/>
    <d v="2020-01-11T00:00:00"/>
    <d v="2020-01-11T00:00:00"/>
    <s v="SI206N04119"/>
    <m/>
    <s v="MONTH 3 OF 48MONTH"/>
    <s v="100042"/>
    <s v="20017599"/>
    <s v="MSH"/>
    <n v="0"/>
    <n v="162976.74"/>
    <n v="162976.74"/>
    <s v="NG"/>
    <x v="10"/>
  </r>
  <r>
    <s v="400-04"/>
    <x v="1"/>
    <n v="0"/>
    <d v="2020-01-11T00:00:00"/>
    <d v="2020-01-11T00:00:00"/>
    <s v="SI206N04121"/>
    <m/>
    <s v="PRIMELTO,PRIME&amp;ECORENTAL"/>
    <s v="120006"/>
    <s v="20017646"/>
    <s v="MSH"/>
    <n v="0"/>
    <n v="65767.44"/>
    <n v="65767.44"/>
    <s v="NG"/>
    <x v="10"/>
  </r>
  <r>
    <s v="400-04"/>
    <x v="1"/>
    <n v="0"/>
    <d v="2020-01-11T00:00:00"/>
    <d v="2020-01-11T00:00:00"/>
    <s v="SI206N04122"/>
    <m/>
    <s v="PRIME&amp;ECO LTO,PRIMERENTA"/>
    <s v="120006"/>
    <s v="20017648"/>
    <s v="MSH"/>
    <n v="0"/>
    <n v="133069.76999999999"/>
    <n v="133069.76999999999"/>
    <s v="NG"/>
    <x v="10"/>
  </r>
  <r>
    <s v="400-04"/>
    <x v="1"/>
    <n v="0"/>
    <d v="2020-01-11T00:00:00"/>
    <d v="2020-01-11T00:00:00"/>
    <s v="SI206N04123"/>
    <m/>
    <s v="PRIME&amp;ECOLTO,PRIMERENTAL"/>
    <s v="120006"/>
    <s v="20017650"/>
    <s v="MSH"/>
    <n v="0"/>
    <n v="129302.33"/>
    <n v="129302.33"/>
    <s v="NG"/>
    <x v="10"/>
  </r>
  <r>
    <s v="400-04"/>
    <x v="1"/>
    <n v="0"/>
    <d v="2020-01-11T00:00:00"/>
    <d v="2020-01-11T00:00:00"/>
    <s v="SI206N04124"/>
    <m/>
    <s v="PRIME&amp;ECO LTO,PRIMERENTA"/>
    <s v="120006"/>
    <s v="20017817"/>
    <s v="MSH"/>
    <n v="0"/>
    <n v="220372.09"/>
    <n v="220372.09"/>
    <s v="NG"/>
    <x v="10"/>
  </r>
  <r>
    <s v="400-04"/>
    <x v="1"/>
    <n v="0"/>
    <d v="2020-01-11T00:00:00"/>
    <d v="2020-01-11T00:00:00"/>
    <s v="SI206N04125"/>
    <m/>
    <s v="ECO SETUP FEE &amp; SUBSCRIP"/>
    <s v="120006"/>
    <s v="20017820"/>
    <s v="MSH"/>
    <n v="0"/>
    <n v="5116.28"/>
    <n v="5116.28"/>
    <s v="NG"/>
    <x v="10"/>
  </r>
  <r>
    <s v="400-04"/>
    <x v="1"/>
    <n v="0"/>
    <d v="2020-01-11T00:00:00"/>
    <d v="2020-01-11T00:00:00"/>
    <s v="SI206N04126"/>
    <m/>
    <s v="PRIME SETUP&amp;SUBSCRIPTION"/>
    <s v="120006"/>
    <s v="20017822"/>
    <s v="MSH"/>
    <n v="0"/>
    <n v="6790.7"/>
    <n v="6790.7"/>
    <s v="NG"/>
    <x v="10"/>
  </r>
  <r>
    <s v="400-04"/>
    <x v="1"/>
    <n v="0"/>
    <d v="2020-01-11T00:00:00"/>
    <d v="2020-01-11T00:00:00"/>
    <s v="SI206N04127"/>
    <m/>
    <s v="PRIME LTO 1MTH"/>
    <s v="120006"/>
    <s v="20017824"/>
    <s v="MSH"/>
    <n v="0"/>
    <n v="6790.7"/>
    <n v="6790.7"/>
    <s v="NG"/>
    <x v="10"/>
  </r>
  <r>
    <s v="400-04"/>
    <x v="1"/>
    <n v="0"/>
    <d v="2020-01-11T00:00:00"/>
    <d v="2020-01-11T00:00:00"/>
    <s v="SI206N04128"/>
    <m/>
    <s v="PRIME&amp;ECO LTO,RENTALS"/>
    <s v="120006"/>
    <s v="20017826"/>
    <s v="MSH"/>
    <n v="0"/>
    <n v="148790.70000000001"/>
    <n v="148790.70000000001"/>
    <s v="NG"/>
    <x v="10"/>
  </r>
  <r>
    <s v="400-04"/>
    <x v="1"/>
    <n v="0"/>
    <d v="2020-01-11T00:00:00"/>
    <d v="2020-01-11T00:00:00"/>
    <s v="SI206N04129"/>
    <m/>
    <s v="PRIME SETUP &amp; SUBSCRIPT"/>
    <s v="120006"/>
    <s v="20017831"/>
    <s v="MSH"/>
    <n v="0"/>
    <n v="6790.7"/>
    <n v="6790.7"/>
    <s v="NG"/>
    <x v="10"/>
  </r>
  <r>
    <s v="400-04"/>
    <x v="1"/>
    <n v="0"/>
    <d v="2020-01-11T00:00:00"/>
    <d v="2020-01-11T00:00:00"/>
    <s v="SI206N04130"/>
    <m/>
    <s v="PRIME&amp;ECO LTO,RENTALS"/>
    <s v="120006"/>
    <s v="20017833"/>
    <s v="MSH"/>
    <n v="0"/>
    <n v="121255.81"/>
    <n v="121255.81"/>
    <s v="NG"/>
    <x v="10"/>
  </r>
  <r>
    <s v="400-04"/>
    <x v="1"/>
    <n v="0"/>
    <d v="2020-01-11T00:00:00"/>
    <d v="2020-01-11T00:00:00"/>
    <s v="SI206N04131"/>
    <m/>
    <s v="PRIME RENTAL 2MTH"/>
    <s v="120006"/>
    <s v="20017838"/>
    <s v="MSH"/>
    <n v="0"/>
    <n v="10511.63"/>
    <n v="10511.63"/>
    <s v="NG"/>
    <x v="10"/>
  </r>
  <r>
    <s v="400-04"/>
    <x v="1"/>
    <n v="0"/>
    <d v="2020-01-11T00:00:00"/>
    <d v="2020-01-11T00:00:00"/>
    <s v="SI206N04132"/>
    <m/>
    <s v="PRIME SETUP&amp; SUBSCRIPTIO"/>
    <s v="120006"/>
    <s v="20017840"/>
    <s v="MSH"/>
    <n v="0"/>
    <n v="6790.7"/>
    <n v="6790.7"/>
    <s v="NG"/>
    <x v="10"/>
  </r>
  <r>
    <s v="400-04"/>
    <x v="1"/>
    <n v="0"/>
    <d v="2020-01-11T00:00:00"/>
    <d v="2020-01-11T00:00:00"/>
    <s v="SI206N04189"/>
    <m/>
    <s v="CORAL PAY INVOICE 1ST"/>
    <s v="100039"/>
    <s v="20018000"/>
    <s v="MSH"/>
    <n v="0"/>
    <n v="210651.16"/>
    <n v="210651.16"/>
    <s v="NG"/>
    <x v="10"/>
  </r>
  <r>
    <s v="400-04"/>
    <x v="1"/>
    <n v="0"/>
    <d v="2020-01-11T00:00:00"/>
    <d v="2020-01-11T00:00:00"/>
    <s v="SI206N04287"/>
    <m/>
    <s v="Reversal of 20017822"/>
    <s v="120006"/>
    <s v="20018255"/>
    <s v="MSH"/>
    <n v="0"/>
    <n v="-6790.7"/>
    <n v="-6790.7"/>
    <s v="NG"/>
    <x v="10"/>
  </r>
  <r>
    <s v="400-04"/>
    <x v="1"/>
    <n v="0"/>
    <d v="2020-02-11T00:00:00"/>
    <d v="2020-02-11T00:00:00"/>
    <s v="SI206N04178"/>
    <m/>
    <s v="PRIME&amp;ECO LTO,RENTALS"/>
    <s v="120006"/>
    <s v="20017963"/>
    <s v="MSH"/>
    <n v="0"/>
    <n v="256604.65"/>
    <n v="256604.65"/>
    <s v="NG"/>
    <x v="10"/>
  </r>
  <r>
    <s v="400-04"/>
    <x v="1"/>
    <n v="0"/>
    <d v="2020-02-11T00:00:00"/>
    <d v="2020-02-11T00:00:00"/>
    <s v="SI206N04179"/>
    <m/>
    <s v="PRIME RENTAL 2MTH"/>
    <s v="120006"/>
    <s v="20017965"/>
    <s v="MSH"/>
    <n v="0"/>
    <n v="10511.63"/>
    <n v="10511.63"/>
    <s v="NG"/>
    <x v="10"/>
  </r>
  <r>
    <s v="400-04"/>
    <x v="1"/>
    <n v="0"/>
    <d v="2020-02-11T00:00:00"/>
    <d v="2020-02-11T00:00:00"/>
    <s v="SI206N04180"/>
    <m/>
    <s v="PRIME LTO 2MTH"/>
    <s v="120006"/>
    <s v="20017966"/>
    <s v="MSH"/>
    <n v="0"/>
    <n v="13162.79"/>
    <n v="13162.79"/>
    <s v="NG"/>
    <x v="10"/>
  </r>
  <r>
    <s v="400-04"/>
    <x v="1"/>
    <n v="0"/>
    <d v="2020-02-11T00:00:00"/>
    <d v="2020-02-11T00:00:00"/>
    <s v="SI206N04181"/>
    <m/>
    <s v="PRIME&amp;ECO LTO,RENTALS"/>
    <s v="120006"/>
    <s v="20017969"/>
    <s v="MSH"/>
    <n v="0"/>
    <n v="58139.54"/>
    <n v="58139.54"/>
    <s v="NG"/>
    <x v="10"/>
  </r>
  <r>
    <s v="400-04"/>
    <x v="1"/>
    <n v="0"/>
    <d v="2020-02-11T00:00:00"/>
    <d v="2020-02-11T00:00:00"/>
    <s v="SI206N04182"/>
    <m/>
    <s v="PRIME SETUP &amp; SUBSCRIPTI"/>
    <s v="120006"/>
    <s v="20017971"/>
    <s v="MSH"/>
    <n v="0"/>
    <n v="6790.7"/>
    <n v="6790.7"/>
    <s v="NG"/>
    <x v="10"/>
  </r>
  <r>
    <s v="400-04"/>
    <x v="1"/>
    <n v="0"/>
    <d v="2020-02-11T00:00:00"/>
    <d v="2020-02-11T00:00:00"/>
    <s v="SI206N04190"/>
    <m/>
    <s v="CORAL PAY INVOICE 2ND"/>
    <s v="100039"/>
    <s v="20018002"/>
    <s v="MSH"/>
    <n v="0"/>
    <n v="407441.86"/>
    <n v="407441.86"/>
    <s v="NG"/>
    <x v="10"/>
  </r>
  <r>
    <s v="400-04"/>
    <x v="1"/>
    <n v="0"/>
    <d v="2020-03-11T00:00:00"/>
    <d v="2020-03-11T00:00:00"/>
    <s v="SI206N04183"/>
    <m/>
    <s v="PRIME&amp;ECO LTO,RENTALS"/>
    <s v="120006"/>
    <s v="20017973"/>
    <s v="MSH"/>
    <n v="0"/>
    <n v="217813.95"/>
    <n v="217813.95"/>
    <s v="NG"/>
    <x v="10"/>
  </r>
  <r>
    <s v="400-04"/>
    <x v="1"/>
    <n v="0"/>
    <d v="2020-03-11T00:00:00"/>
    <d v="2020-03-11T00:00:00"/>
    <s v="SI206N04184"/>
    <m/>
    <s v="PRIME LTO 1MTH"/>
    <s v="120006"/>
    <s v="20017975"/>
    <s v="MSH"/>
    <n v="0"/>
    <n v="6790.7"/>
    <n v="6790.7"/>
    <s v="NG"/>
    <x v="10"/>
  </r>
  <r>
    <s v="400-04"/>
    <x v="1"/>
    <n v="0"/>
    <d v="2020-03-11T00:00:00"/>
    <d v="2020-03-11T00:00:00"/>
    <s v="SI206N04185"/>
    <m/>
    <s v="ECO LTO 2MTH"/>
    <s v="120006"/>
    <s v="20017976"/>
    <s v="MSH"/>
    <n v="0"/>
    <n v="9906.98"/>
    <n v="9906.98"/>
    <s v="NG"/>
    <x v="10"/>
  </r>
  <r>
    <s v="400-04"/>
    <x v="1"/>
    <n v="0"/>
    <d v="2020-03-11T00:00:00"/>
    <d v="2020-03-11T00:00:00"/>
    <s v="SI206N04186"/>
    <m/>
    <s v="ECO SETUP &amp; SUBSCRIPTION"/>
    <s v="120006"/>
    <s v="20017977"/>
    <s v="MSH"/>
    <n v="0"/>
    <n v="5116.28"/>
    <n v="5116.28"/>
    <s v="NG"/>
    <x v="10"/>
  </r>
  <r>
    <s v="400-04"/>
    <x v="1"/>
    <n v="0"/>
    <d v="2020-03-11T00:00:00"/>
    <d v="2020-03-11T00:00:00"/>
    <s v="SI206N04191"/>
    <m/>
    <s v="CORALPAY INVOICE 3RD"/>
    <s v="100039"/>
    <s v="20018007"/>
    <s v="MSH"/>
    <n v="0"/>
    <n v="442372.09"/>
    <n v="442372.09"/>
    <s v="NG"/>
    <x v="10"/>
  </r>
  <r>
    <s v="400-04"/>
    <x v="1"/>
    <n v="0"/>
    <d v="2020-03-11T00:00:00"/>
    <d v="2020-03-11T00:00:00"/>
    <s v="SI206N04405"/>
    <m/>
    <s v="BETKING -3 MTHS RENEWAL"/>
    <s v="100040"/>
    <s v="20018875"/>
    <s v="MSH"/>
    <n v="0"/>
    <n v="265674.42"/>
    <n v="265674.42"/>
    <s v="NG"/>
    <x v="10"/>
  </r>
  <r>
    <s v="400-04"/>
    <x v="1"/>
    <n v="0"/>
    <d v="2020-04-11T00:00:00"/>
    <d v="2020-04-11T00:00:00"/>
    <s v="SI206N04187"/>
    <m/>
    <s v="PRIMELTO,PRIME&amp;ECO RENTA"/>
    <s v="120006"/>
    <s v="20017983"/>
    <s v="MSH"/>
    <n v="0"/>
    <n v="94697.68"/>
    <n v="94697.68"/>
    <s v="NG"/>
    <x v="10"/>
  </r>
  <r>
    <s v="400-04"/>
    <x v="1"/>
    <n v="0"/>
    <d v="2020-04-11T00:00:00"/>
    <d v="2020-04-11T00:00:00"/>
    <s v="SI206N04188"/>
    <m/>
    <s v="PRIME LTO 2MTH"/>
    <s v="120006"/>
    <s v="20017985"/>
    <s v="MSH"/>
    <n v="0"/>
    <n v="13162.79"/>
    <n v="13162.79"/>
    <s v="NG"/>
    <x v="10"/>
  </r>
  <r>
    <s v="400-04"/>
    <x v="1"/>
    <n v="0"/>
    <d v="2020-04-11T00:00:00"/>
    <d v="2020-04-11T00:00:00"/>
    <s v="SI206N04192"/>
    <m/>
    <s v="CORALPAY INVOICE 4TH"/>
    <s v="100039"/>
    <s v="20018009"/>
    <s v="MSH"/>
    <n v="0"/>
    <n v="244976.74"/>
    <n v="244976.74"/>
    <s v="NG"/>
    <x v="10"/>
  </r>
  <r>
    <s v="400-04"/>
    <x v="1"/>
    <n v="0"/>
    <d v="2020-04-11T00:00:00"/>
    <d v="2020-04-11T00:00:00"/>
    <s v="SI206N04193"/>
    <m/>
    <s v="CORALPAY INVOICE 5TH"/>
    <s v="100039"/>
    <s v="20018013"/>
    <s v="MSH"/>
    <n v="0"/>
    <n v="438046.51"/>
    <n v="438046.51"/>
    <s v="NG"/>
    <x v="10"/>
  </r>
  <r>
    <s v="400-04"/>
    <x v="1"/>
    <n v="0"/>
    <d v="2020-04-11T00:00:00"/>
    <d v="2020-04-11T00:00:00"/>
    <s v="SI206N04296"/>
    <m/>
    <s v="SO20N05684-BERKLEY ANUM"/>
    <s v="120006"/>
    <s v="20018281"/>
    <s v="MSH"/>
    <n v="0"/>
    <n v="6790.7"/>
    <n v="6790.7"/>
    <s v="NG"/>
    <x v="10"/>
  </r>
  <r>
    <s v="400-04"/>
    <x v="1"/>
    <n v="0"/>
    <d v="2020-05-11T00:00:00"/>
    <d v="2020-05-11T00:00:00"/>
    <s v="SI206N04294"/>
    <m/>
    <s v="SO20N05745-BERKLEY ANUM"/>
    <s v="120006"/>
    <s v="20018277"/>
    <s v="MSH"/>
    <n v="0"/>
    <n v="6790.7"/>
    <n v="6790.7"/>
    <s v="NG"/>
    <x v="10"/>
  </r>
  <r>
    <s v="400-04"/>
    <x v="1"/>
    <n v="0"/>
    <d v="2020-06-11T00:00:00"/>
    <d v="2020-06-11T00:00:00"/>
    <s v="SI206N04194"/>
    <m/>
    <s v="CORALPAY INVOICE 6TH"/>
    <s v="100039"/>
    <s v="20018015"/>
    <s v="MSH"/>
    <n v="0"/>
    <n v="395906.98"/>
    <n v="395906.98"/>
    <s v="NG"/>
    <x v="10"/>
  </r>
  <r>
    <s v="400-04"/>
    <x v="1"/>
    <n v="0"/>
    <d v="2020-06-11T00:00:00"/>
    <d v="2020-06-11T00:00:00"/>
    <s v="SI206N04758"/>
    <m/>
    <s v="1 MONTH-CSCS-Wilson Uwem"/>
    <s v="100040"/>
    <s v="20019965"/>
    <s v="MSH"/>
    <n v="0"/>
    <n v="5348.84"/>
    <n v="5348.84"/>
    <s v="NG"/>
    <x v="10"/>
  </r>
  <r>
    <s v="400-04"/>
    <x v="1"/>
    <n v="0"/>
    <d v="2020-07-11T00:00:00"/>
    <d v="2020-07-11T00:00:00"/>
    <s v="SI206N04195"/>
    <m/>
    <s v="CORALPAY INVOICE 7TH"/>
    <s v="100039"/>
    <s v="20018017"/>
    <s v="MSH"/>
    <n v="0"/>
    <n v="504046.51"/>
    <n v="504046.51"/>
    <s v="NG"/>
    <x v="10"/>
  </r>
  <r>
    <s v="400-04"/>
    <x v="1"/>
    <n v="0"/>
    <d v="2020-08-11T00:00:00"/>
    <d v="2020-08-11T00:00:00"/>
    <s v="SI206N04196"/>
    <m/>
    <s v="CORALPAY INVOICE 8TH"/>
    <s v="100039"/>
    <s v="20018019"/>
    <s v="MSH"/>
    <n v="0"/>
    <n v="174418.6"/>
    <n v="174418.6"/>
    <s v="NG"/>
    <x v="10"/>
  </r>
  <r>
    <s v="400-04"/>
    <x v="1"/>
    <n v="0"/>
    <d v="2020-09-11T00:00:00"/>
    <d v="2020-09-11T00:00:00"/>
    <s v="SI206N04197"/>
    <m/>
    <s v="CORALPAY INVOICE 9TH"/>
    <s v="100039"/>
    <s v="20018022"/>
    <s v="MSH"/>
    <n v="0"/>
    <n v="380102.33"/>
    <n v="380102.33"/>
    <s v="NG"/>
    <x v="10"/>
  </r>
  <r>
    <s v="400-04"/>
    <x v="1"/>
    <n v="0"/>
    <d v="2020-10-11T00:00:00"/>
    <d v="2020-10-11T00:00:00"/>
    <s v="SI206N04198"/>
    <m/>
    <s v="CORALPAY INVOICE 10TH"/>
    <s v="100039"/>
    <s v="20018025"/>
    <s v="MSH"/>
    <n v="0"/>
    <n v="375767.44"/>
    <n v="375767.44"/>
    <s v="NG"/>
    <x v="10"/>
  </r>
  <r>
    <s v="400-04"/>
    <x v="1"/>
    <n v="0"/>
    <d v="2020-11-11T00:00:00"/>
    <d v="2020-11-11T00:00:00"/>
    <s v="SI206N04789"/>
    <m/>
    <s v="CORALPAY INVOICE 11TH"/>
    <s v="100039"/>
    <s v="20020107"/>
    <s v="MSH"/>
    <n v="0"/>
    <n v="448604.65"/>
    <n v="448604.65"/>
    <s v="NG"/>
    <x v="10"/>
  </r>
  <r>
    <s v="400-04"/>
    <x v="1"/>
    <n v="0"/>
    <d v="2020-12-11T00:00:00"/>
    <d v="2020-12-11T00:00:00"/>
    <s v="SI206N04790"/>
    <m/>
    <s v="CORALPAY INVOICE 12TH"/>
    <s v="100039"/>
    <s v="20020109"/>
    <s v="MSH"/>
    <n v="0"/>
    <n v="344511.63"/>
    <n v="344511.63"/>
    <s v="NG"/>
    <x v="10"/>
  </r>
  <r>
    <s v="400-04"/>
    <x v="1"/>
    <n v="0"/>
    <s v="13/11/20"/>
    <s v="13/11/20"/>
    <s v="SI206N04806"/>
    <m/>
    <s v="CORALPAY INVOICE 13TH"/>
    <s v="100039"/>
    <s v="20020293"/>
    <s v="MSH"/>
    <n v="0"/>
    <n v="506093.02"/>
    <n v="506093.02"/>
    <s v="NG"/>
    <x v="10"/>
  </r>
  <r>
    <s v="400-04"/>
    <x v="1"/>
    <n v="0"/>
    <s v="14/11/20"/>
    <s v="14/11/20"/>
    <s v="SI206N04791"/>
    <m/>
    <s v="CORALPAY INVOICE 14TH"/>
    <s v="100039"/>
    <s v="20020111"/>
    <s v="MSH"/>
    <n v="0"/>
    <n v="466790.7"/>
    <n v="466790.7"/>
    <s v="NG"/>
    <x v="10"/>
  </r>
  <r>
    <s v="400-04"/>
    <x v="1"/>
    <n v="0"/>
    <s v="15/11/20"/>
    <s v="15/11/20"/>
    <s v="SI206N04246"/>
    <m/>
    <s v="PRIME&amp;ECO LTO,RENTALS"/>
    <s v="120006"/>
    <s v="20018133"/>
    <s v="MSH"/>
    <n v="0"/>
    <n v="185209.3"/>
    <n v="185209.3"/>
    <s v="NG"/>
    <x v="10"/>
  </r>
  <r>
    <s v="400-04"/>
    <x v="1"/>
    <n v="0"/>
    <s v="15/11/20"/>
    <s v="15/11/20"/>
    <s v="SI206N04249"/>
    <m/>
    <s v="PRIME&amp;ECO LTO,RENTALS"/>
    <s v="120006"/>
    <s v="20018138"/>
    <s v="MSH"/>
    <n v="0"/>
    <n v="208790.7"/>
    <n v="208790.7"/>
    <s v="NG"/>
    <x v="10"/>
  </r>
  <r>
    <s v="400-04"/>
    <x v="1"/>
    <n v="0"/>
    <s v="15/11/20"/>
    <s v="15/11/20"/>
    <s v="SI206N04250"/>
    <m/>
    <s v="PRIME&amp;ECO LTO/PRIME RENT"/>
    <s v="120006"/>
    <s v="20018141"/>
    <s v="MSH"/>
    <n v="0"/>
    <n v="103581.39"/>
    <n v="103581.39"/>
    <s v="NG"/>
    <x v="10"/>
  </r>
  <r>
    <s v="400-04"/>
    <x v="1"/>
    <n v="0"/>
    <s v="15/11/20"/>
    <s v="15/11/20"/>
    <s v="SI206N04251"/>
    <m/>
    <s v="ECO SETUP &amp; SUBSCRIPTION"/>
    <s v="120006"/>
    <s v="20018143"/>
    <s v="MSH"/>
    <n v="0"/>
    <n v="5116.28"/>
    <n v="5116.28"/>
    <s v="NG"/>
    <x v="10"/>
  </r>
  <r>
    <s v="400-04"/>
    <x v="1"/>
    <n v="0"/>
    <s v="15/11/20"/>
    <s v="15/11/20"/>
    <s v="SI206N04252"/>
    <m/>
    <s v="PRIME&amp;ECO LTO,PRIMERENTA"/>
    <s v="120006"/>
    <s v="20018145"/>
    <s v="MSH"/>
    <n v="0"/>
    <n v="127023.25"/>
    <n v="127023.25"/>
    <s v="NG"/>
    <x v="10"/>
  </r>
  <r>
    <s v="400-04"/>
    <x v="1"/>
    <n v="0"/>
    <s v="15/11/20"/>
    <s v="15/11/20"/>
    <s v="SI206N04260"/>
    <m/>
    <s v="PRIME&amp;ECO LTO,RENTALS"/>
    <s v="120006"/>
    <s v="20018174"/>
    <s v="MSH"/>
    <n v="0"/>
    <n v="104186.05"/>
    <n v="104186.05"/>
    <s v="NG"/>
    <x v="10"/>
  </r>
  <r>
    <s v="400-04"/>
    <x v="1"/>
    <n v="0"/>
    <s v="15/11/20"/>
    <s v="15/11/20"/>
    <s v="SI206N04261"/>
    <m/>
    <s v="PRIME&amp;ECO LTO,PRIME RENT"/>
    <s v="120006"/>
    <s v="20018176"/>
    <s v="MSH"/>
    <n v="0"/>
    <n v="168697.67"/>
    <n v="168697.67"/>
    <s v="NG"/>
    <x v="10"/>
  </r>
  <r>
    <s v="400-04"/>
    <x v="1"/>
    <n v="0"/>
    <s v="15/11/20"/>
    <s v="15/11/20"/>
    <s v="SI206N04262"/>
    <m/>
    <s v="PRIME SETUP &amp; SUBSCRIPTI"/>
    <s v="120006"/>
    <s v="20018178"/>
    <s v="MSH"/>
    <n v="0"/>
    <n v="23069.77"/>
    <n v="23069.77"/>
    <s v="NG"/>
    <x v="10"/>
  </r>
  <r>
    <s v="400-04"/>
    <x v="1"/>
    <n v="0"/>
    <s v="15/11/20"/>
    <s v="15/11/20"/>
    <s v="SI206N04792"/>
    <m/>
    <s v="CORALPAY INVOICE 15TH"/>
    <s v="100039"/>
    <s v="20020113"/>
    <s v="MSH"/>
    <n v="0"/>
    <n v="208093.02"/>
    <n v="208093.02"/>
    <s v="NG"/>
    <x v="10"/>
  </r>
  <r>
    <s v="400-04"/>
    <x v="1"/>
    <n v="0"/>
    <s v="16/11/20"/>
    <s v="16/11/20"/>
    <s v="SI206N04307"/>
    <m/>
    <s v="PRIMELTO,PRIME&amp;ECORENTAL"/>
    <s v="120006"/>
    <s v="20018310"/>
    <s v="MSH"/>
    <n v="0"/>
    <n v="107860.47"/>
    <n v="107860.47"/>
    <s v="NG"/>
    <x v="10"/>
  </r>
  <r>
    <s v="400-04"/>
    <x v="1"/>
    <n v="0"/>
    <s v="16/11/20"/>
    <s v="16/11/20"/>
    <s v="SI206N04308"/>
    <m/>
    <s v="PRIME SETUP &amp; SUBSCRIPTI"/>
    <s v="120006"/>
    <s v="20018313"/>
    <s v="MSH"/>
    <n v="0"/>
    <n v="23069.77"/>
    <n v="23069.77"/>
    <s v="NG"/>
    <x v="10"/>
  </r>
  <r>
    <s v="400-04"/>
    <x v="1"/>
    <n v="0"/>
    <s v="16/11/20"/>
    <s v="16/11/20"/>
    <s v="SI206N04711"/>
    <m/>
    <s v="3M RENEWAL-BETKING"/>
    <s v="100040"/>
    <s v="20019769"/>
    <s v="MSH"/>
    <n v="0"/>
    <n v="49813.95"/>
    <n v="49813.95"/>
    <s v="NG"/>
    <x v="10"/>
  </r>
  <r>
    <s v="400-04"/>
    <x v="1"/>
    <n v="0"/>
    <s v="16/11/20"/>
    <s v="16/11/20"/>
    <s v="SI206N04798"/>
    <m/>
    <s v="CORALPAY INVOICE 16TH"/>
    <s v="100039"/>
    <s v="20020277"/>
    <s v="MSH"/>
    <n v="0"/>
    <n v="395488.37"/>
    <n v="395488.37"/>
    <s v="NG"/>
    <x v="10"/>
  </r>
  <r>
    <s v="400-04"/>
    <x v="1"/>
    <n v="0"/>
    <s v="17/11/20"/>
    <s v="17/11/20"/>
    <s v="SI206N04799"/>
    <m/>
    <s v="CORALPAY INVOICE 17TH"/>
    <s v="100039"/>
    <s v="20020279"/>
    <s v="MSH"/>
    <n v="0"/>
    <n v="588418.6"/>
    <n v="588418.6"/>
    <s v="NG"/>
    <x v="10"/>
  </r>
  <r>
    <s v="400-04"/>
    <x v="1"/>
    <n v="0"/>
    <s v="18/11/20"/>
    <s v="18/11/20"/>
    <s v="SI206N04326"/>
    <m/>
    <s v="PRIME&amp;ECO LTO,RENTALS"/>
    <s v="120006"/>
    <s v="20018413"/>
    <s v="MSH"/>
    <n v="0"/>
    <n v="183023.25"/>
    <n v="183023.25"/>
    <s v="NG"/>
    <x v="10"/>
  </r>
  <r>
    <s v="400-04"/>
    <x v="1"/>
    <n v="0"/>
    <s v="18/11/20"/>
    <s v="18/11/20"/>
    <s v="SI206N04327"/>
    <m/>
    <s v="PRIME RENTAL 2MTH"/>
    <s v="120006"/>
    <s v="20018415"/>
    <s v="MSH"/>
    <n v="0"/>
    <n v="10511.63"/>
    <n v="10511.63"/>
    <s v="NG"/>
    <x v="10"/>
  </r>
  <r>
    <s v="400-04"/>
    <x v="1"/>
    <n v="0"/>
    <s v="18/11/20"/>
    <s v="18/11/20"/>
    <s v="SI206N04328"/>
    <m/>
    <s v="ECO SETUP &amp; SUBSCRIPTION"/>
    <s v="120006"/>
    <s v="20018418"/>
    <s v="MSH"/>
    <n v="0"/>
    <n v="5116.28"/>
    <n v="5116.28"/>
    <s v="NG"/>
    <x v="10"/>
  </r>
  <r>
    <s v="400-04"/>
    <x v="1"/>
    <n v="0"/>
    <s v="18/11/20"/>
    <s v="18/11/20"/>
    <s v="SI206N04371"/>
    <m/>
    <s v="PRIME LTO,PRIME&amp;ECORENTA"/>
    <s v="120006"/>
    <s v="20018530"/>
    <s v="MSH"/>
    <n v="0"/>
    <n v="110511.63"/>
    <n v="110511.63"/>
    <s v="NG"/>
    <x v="10"/>
  </r>
  <r>
    <s v="400-04"/>
    <x v="1"/>
    <n v="0"/>
    <s v="18/11/20"/>
    <s v="18/11/20"/>
    <s v="SI206N04372"/>
    <m/>
    <s v="PRIME LTO,PRIME&amp;ECORENTA"/>
    <s v="120006"/>
    <s v="20018532"/>
    <s v="MSH"/>
    <n v="0"/>
    <n v="226279.07"/>
    <n v="226279.07"/>
    <s v="NG"/>
    <x v="10"/>
  </r>
  <r>
    <s v="400-04"/>
    <x v="1"/>
    <n v="0"/>
    <s v="18/11/20"/>
    <s v="18/11/20"/>
    <s v="SI206N04373"/>
    <m/>
    <s v="PRIME LTO &amp; SUBSCRIPTION"/>
    <s v="120006"/>
    <s v="20018534"/>
    <s v="MSH"/>
    <n v="0"/>
    <n v="6790.7"/>
    <n v="6790.7"/>
    <s v="NG"/>
    <x v="10"/>
  </r>
  <r>
    <s v="400-04"/>
    <x v="1"/>
    <n v="0"/>
    <s v="18/11/20"/>
    <s v="18/11/20"/>
    <s v="SI206N04795"/>
    <m/>
    <s v="1 MONTH SUB RENEWAL"/>
    <s v="100042"/>
    <s v="20020118"/>
    <s v="MSH"/>
    <n v="0"/>
    <n v="162976.74"/>
    <n v="162976.74"/>
    <s v="NG"/>
    <x v="10"/>
  </r>
  <r>
    <s v="400-04"/>
    <x v="1"/>
    <n v="0"/>
    <s v="18/11/20"/>
    <s v="18/11/20"/>
    <s v="SI206N04800"/>
    <m/>
    <s v="CORALPAY INVOICE 18TH"/>
    <s v="100039"/>
    <s v="20020281"/>
    <s v="MSH"/>
    <n v="0"/>
    <n v="575674.42000000004"/>
    <n v="575674.42000000004"/>
    <s v="NG"/>
    <x v="10"/>
  </r>
  <r>
    <s v="400-04"/>
    <x v="1"/>
    <n v="0"/>
    <s v="19/11/20"/>
    <s v="19/11/20"/>
    <s v="SI206N04376"/>
    <m/>
    <s v="PRIME LTO,RENTALS"/>
    <s v="120006"/>
    <s v="20018539"/>
    <s v="MSH"/>
    <n v="0"/>
    <n v="139162.79"/>
    <n v="139162.79"/>
    <s v="NG"/>
    <x v="10"/>
  </r>
  <r>
    <s v="400-04"/>
    <x v="1"/>
    <n v="0"/>
    <s v="19/11/20"/>
    <s v="19/11/20"/>
    <s v="SI206N04377"/>
    <m/>
    <s v="ECO LTO &amp; SUBSCRIPTION"/>
    <s v="120006"/>
    <s v="20018542"/>
    <s v="MSH"/>
    <n v="0"/>
    <n v="15348.83"/>
    <n v="15348.83"/>
    <s v="NG"/>
    <x v="10"/>
  </r>
  <r>
    <s v="400-04"/>
    <x v="1"/>
    <n v="0"/>
    <s v="19/11/20"/>
    <s v="19/11/20"/>
    <s v="SI206N04801"/>
    <m/>
    <s v="CORALPAY INVOICE 19TH"/>
    <s v="100039"/>
    <s v="20020283"/>
    <s v="MSH"/>
    <n v="0"/>
    <n v="409441.86"/>
    <n v="409441.86"/>
    <s v="NG"/>
    <x v="10"/>
  </r>
  <r>
    <s v="400-04"/>
    <x v="1"/>
    <n v="0"/>
    <s v="20/11/20"/>
    <s v="20/11/20"/>
    <s v="SI206N04378"/>
    <m/>
    <s v="PRIME&amp;ECO LTO,RENTALS"/>
    <s v="120006"/>
    <s v="20018544"/>
    <s v="MSH"/>
    <n v="0"/>
    <n v="92697.67"/>
    <n v="92697.67"/>
    <s v="NG"/>
    <x v="10"/>
  </r>
  <r>
    <s v="400-04"/>
    <x v="1"/>
    <n v="0"/>
    <s v="20/11/20"/>
    <s v="20/11/20"/>
    <s v="SI206N04386"/>
    <m/>
    <s v="PRIME&amp;ECO LTO,RENTALS"/>
    <s v="120006"/>
    <s v="20018616"/>
    <s v="MSH"/>
    <n v="0"/>
    <n v="112930.23"/>
    <n v="112930.23"/>
    <s v="NG"/>
    <x v="10"/>
  </r>
  <r>
    <s v="400-04"/>
    <x v="1"/>
    <n v="0"/>
    <s v="20/11/20"/>
    <s v="20/11/20"/>
    <s v="SI206N04387"/>
    <m/>
    <s v="PRIME LTO 2MTH"/>
    <s v="120006"/>
    <s v="20018623"/>
    <s v="MSH"/>
    <n v="0"/>
    <n v="13162.79"/>
    <n v="13162.79"/>
    <s v="NG"/>
    <x v="10"/>
  </r>
  <r>
    <s v="400-04"/>
    <x v="1"/>
    <n v="0"/>
    <s v="20/11/20"/>
    <s v="20/11/20"/>
    <s v="SI206N04388"/>
    <m/>
    <s v="PRIME LTO &amp; SUBSCRIPTION"/>
    <s v="120006"/>
    <s v="20018625"/>
    <s v="MSH"/>
    <n v="0"/>
    <n v="6790.7"/>
    <n v="6790.7"/>
    <s v="NG"/>
    <x v="10"/>
  </r>
  <r>
    <s v="400-04"/>
    <x v="1"/>
    <n v="0"/>
    <s v="20/11/20"/>
    <s v="20/11/20"/>
    <s v="SI206N04389"/>
    <m/>
    <s v="ECO LTO &amp; SUBSCRIPTION"/>
    <s v="120006"/>
    <s v="20018627"/>
    <s v="MSH"/>
    <n v="0"/>
    <n v="5116.28"/>
    <n v="5116.28"/>
    <s v="NG"/>
    <x v="10"/>
  </r>
  <r>
    <s v="400-04"/>
    <x v="1"/>
    <n v="0"/>
    <s v="20/11/20"/>
    <s v="20/11/20"/>
    <s v="SI206N04390"/>
    <m/>
    <s v="PRIME &amp; ECO LTO,RENTALS"/>
    <s v="120006"/>
    <s v="20018741"/>
    <s v="MSH"/>
    <n v="0"/>
    <n v="160372.09"/>
    <n v="160372.09"/>
    <s v="NG"/>
    <x v="10"/>
  </r>
  <r>
    <s v="400-04"/>
    <x v="1"/>
    <n v="0"/>
    <s v="20/11/20"/>
    <s v="20/11/20"/>
    <s v="SI206N04391"/>
    <m/>
    <s v="PRIME&amp;ECOSETUP WITH SUB"/>
    <s v="120006"/>
    <s v="20018756"/>
    <s v="MSH"/>
    <n v="0"/>
    <n v="44186.05"/>
    <n v="44186.05"/>
    <s v="NG"/>
    <x v="10"/>
  </r>
  <r>
    <s v="400-04"/>
    <x v="1"/>
    <n v="0"/>
    <s v="20/11/20"/>
    <s v="20/11/20"/>
    <s v="SI206N04802"/>
    <m/>
    <s v="CORALPAY INVOICE 20TH"/>
    <s v="100039"/>
    <s v="20020285"/>
    <s v="MSH"/>
    <n v="0"/>
    <n v="462139.54"/>
    <n v="462139.54"/>
    <s v="NG"/>
    <x v="10"/>
  </r>
  <r>
    <s v="400-04"/>
    <x v="1"/>
    <n v="0"/>
    <s v="21/11/20"/>
    <s v="21/11/20"/>
    <s v="SI206N04785"/>
    <m/>
    <s v="Wilson Uwem"/>
    <s v="100040"/>
    <s v="20020083"/>
    <s v="MSH"/>
    <n v="0"/>
    <n v="5348.84"/>
    <n v="5348.84"/>
    <s v="NG"/>
    <x v="10"/>
  </r>
  <r>
    <s v="400-04"/>
    <x v="1"/>
    <n v="0"/>
    <s v="21/11/20"/>
    <s v="21/11/20"/>
    <s v="SI206N04803"/>
    <m/>
    <s v="CORALPAY INVOICE 21TH"/>
    <s v="100039"/>
    <s v="20020287"/>
    <s v="MSH"/>
    <n v="0"/>
    <n v="394000"/>
    <n v="394000"/>
    <s v="NG"/>
    <x v="10"/>
  </r>
  <r>
    <s v="400-04"/>
    <x v="1"/>
    <n v="0"/>
    <s v="22/11/20"/>
    <s v="22/11/20"/>
    <s v="SI206N04804"/>
    <m/>
    <s v="CORALPAY INVOICE 22TH"/>
    <s v="100039"/>
    <s v="20020289"/>
    <s v="MSH"/>
    <n v="0"/>
    <n v="253348.84"/>
    <n v="253348.84"/>
    <s v="NG"/>
    <x v="10"/>
  </r>
  <r>
    <s v="400-04"/>
    <x v="1"/>
    <n v="0"/>
    <s v="23/11/20"/>
    <s v="23/11/20"/>
    <s v="SI206N04805"/>
    <m/>
    <s v="CORALPAY INVOICE 23RD"/>
    <s v="100039"/>
    <s v="20020291"/>
    <s v="MSH"/>
    <n v="0"/>
    <n v="581069.77"/>
    <n v="581069.77"/>
    <s v="NG"/>
    <x v="10"/>
  </r>
  <r>
    <s v="400-04"/>
    <x v="1"/>
    <n v="0"/>
    <s v="24/11/20"/>
    <s v="24/11/20"/>
    <s v="SI206N04807"/>
    <m/>
    <s v="CORALPAY INVOICE 24TH"/>
    <s v="100039"/>
    <s v="20020295"/>
    <s v="MSH"/>
    <n v="0"/>
    <n v="442697.67"/>
    <n v="442697.67"/>
    <s v="NG"/>
    <x v="10"/>
  </r>
  <r>
    <s v="400-04"/>
    <x v="1"/>
    <n v="0"/>
    <s v="25/11/20"/>
    <s v="25/11/20"/>
    <s v="SI206N04808"/>
    <m/>
    <s v="CORALPAY INVOICE 25TH"/>
    <s v="100039"/>
    <s v="20020297"/>
    <s v="MSH"/>
    <n v="0"/>
    <n v="533162.79"/>
    <n v="533162.79"/>
    <s v="NG"/>
    <x v="10"/>
  </r>
  <r>
    <s v="400-04"/>
    <x v="1"/>
    <n v="0"/>
    <s v="26/11/20"/>
    <s v="26/11/20"/>
    <s v="SI206N04809"/>
    <m/>
    <s v="CORALPAY INVOICE 26TH"/>
    <s v="100039"/>
    <s v="20020299"/>
    <s v="MSH"/>
    <n v="0"/>
    <n v="621860.46"/>
    <n v="621860.46"/>
    <s v="NG"/>
    <x v="10"/>
  </r>
  <r>
    <s v="400-04"/>
    <x v="1"/>
    <n v="0"/>
    <s v="27/11/20"/>
    <s v="27/11/20"/>
    <s v="SI206N04810"/>
    <m/>
    <s v="CORALPAY INVOICE 27TH"/>
    <s v="100039"/>
    <s v="20020301"/>
    <s v="MSH"/>
    <n v="0"/>
    <n v="563674.42000000004"/>
    <n v="563674.42000000004"/>
    <s v="NG"/>
    <x v="10"/>
  </r>
  <r>
    <s v="400-04"/>
    <x v="1"/>
    <n v="0"/>
    <s v="28/11/20"/>
    <s v="28/11/20"/>
    <s v="SI206N04811"/>
    <m/>
    <s v="CORALPAY INVOICE 28TH"/>
    <s v="100039"/>
    <s v="20020303"/>
    <s v="MSH"/>
    <n v="0"/>
    <n v="502325.58"/>
    <n v="502325.58"/>
    <s v="NG"/>
    <x v="10"/>
  </r>
  <r>
    <s v="400-04"/>
    <x v="1"/>
    <n v="0"/>
    <s v="29/11/20"/>
    <s v="29/11/20"/>
    <s v="SI206N04812"/>
    <m/>
    <s v="CORALPAY INVOICE 29TH"/>
    <s v="100039"/>
    <s v="20020305"/>
    <s v="MSH"/>
    <n v="0"/>
    <n v="456418.6"/>
    <n v="456418.6"/>
    <s v="NG"/>
    <x v="10"/>
  </r>
  <r>
    <s v="400-04"/>
    <x v="1"/>
    <n v="0"/>
    <s v="30/11/20"/>
    <s v="30/11/20"/>
    <s v="SI206N04519"/>
    <m/>
    <s v="PRIME&amp;ECO LTO,PRIME RENT"/>
    <s v="120006"/>
    <s v="20019233"/>
    <s v="MSH"/>
    <n v="0"/>
    <n v="147069.76999999999"/>
    <n v="147069.76999999999"/>
    <s v="NG"/>
    <x v="10"/>
  </r>
  <r>
    <s v="400-04"/>
    <x v="1"/>
    <n v="0"/>
    <s v="30/11/20"/>
    <s v="30/11/20"/>
    <s v="SI206N04520"/>
    <m/>
    <s v="ECO SETUP &amp; SUBSCRIPTION"/>
    <s v="120006"/>
    <s v="20019235"/>
    <s v="MSH"/>
    <n v="0"/>
    <n v="10232.56"/>
    <n v="10232.56"/>
    <s v="NG"/>
    <x v="10"/>
  </r>
  <r>
    <s v="400-04"/>
    <x v="1"/>
    <n v="0"/>
    <s v="30/11/20"/>
    <s v="30/11/20"/>
    <s v="SI206N04521"/>
    <m/>
    <s v="PRIME/ ECO SETUP&amp;SUBSCRI"/>
    <s v="120006"/>
    <s v="20019237"/>
    <s v="MSH"/>
    <n v="0"/>
    <n v="11906.98"/>
    <n v="11906.98"/>
    <s v="NG"/>
    <x v="10"/>
  </r>
  <r>
    <s v="400-04"/>
    <x v="1"/>
    <n v="0"/>
    <s v="30/11/20"/>
    <s v="30/11/20"/>
    <s v="SI206N04522"/>
    <m/>
    <s v="PRIME&amp;ECO LTO,RENTALS"/>
    <s v="120006"/>
    <s v="20019239"/>
    <s v="MSH"/>
    <n v="0"/>
    <n v="86046.51"/>
    <n v="86046.51"/>
    <s v="NG"/>
    <x v="10"/>
  </r>
  <r>
    <s v="400-04"/>
    <x v="1"/>
    <n v="0"/>
    <s v="30/11/20"/>
    <s v="30/11/20"/>
    <s v="SI206N04523"/>
    <m/>
    <s v="PRIME SETUP WITH SUBSCRI"/>
    <s v="120006"/>
    <s v="20019241"/>
    <s v="MSH"/>
    <n v="0"/>
    <n v="20372.099999999999"/>
    <n v="20372.099999999999"/>
    <s v="NG"/>
    <x v="10"/>
  </r>
  <r>
    <s v="400-04"/>
    <x v="1"/>
    <n v="0"/>
    <s v="30/11/20"/>
    <s v="30/11/20"/>
    <s v="SI206N04524"/>
    <m/>
    <s v="PRIME&amp;ECO LTO,PRIME RENT"/>
    <s v="120006"/>
    <s v="20019243"/>
    <s v="MSH"/>
    <n v="0"/>
    <n v="117302.33"/>
    <n v="117302.33"/>
    <s v="NG"/>
    <x v="10"/>
  </r>
  <r>
    <s v="400-04"/>
    <x v="1"/>
    <n v="0"/>
    <s v="30/11/20"/>
    <s v="30/11/20"/>
    <s v="SI206N04525"/>
    <m/>
    <s v="PRIME LTO 1MTH"/>
    <s v="120006"/>
    <s v="20019245"/>
    <s v="MSH"/>
    <n v="0"/>
    <n v="6790.7"/>
    <n v="6790.7"/>
    <s v="NG"/>
    <x v="10"/>
  </r>
  <r>
    <s v="400-04"/>
    <x v="1"/>
    <n v="0"/>
    <s v="30/11/20"/>
    <s v="30/11/20"/>
    <s v="SI206N04526"/>
    <m/>
    <s v="PRIME/ECO SETUP&amp;SUBSCRIP"/>
    <s v="120006"/>
    <s v="20019247"/>
    <s v="MSH"/>
    <n v="0"/>
    <n v="92279.07"/>
    <n v="92279.07"/>
    <s v="NG"/>
    <x v="10"/>
  </r>
  <r>
    <s v="400-04"/>
    <x v="1"/>
    <n v="0"/>
    <s v="30/11/20"/>
    <s v="30/11/20"/>
    <s v="SI206N04527"/>
    <m/>
    <s v="PRIME&amp;ECO LTO,PRIME RENT"/>
    <s v="120006"/>
    <s v="20019249"/>
    <s v="MSH"/>
    <n v="0"/>
    <n v="204651.16"/>
    <n v="204651.16"/>
    <s v="NG"/>
    <x v="10"/>
  </r>
  <r>
    <s v="400-04"/>
    <x v="1"/>
    <n v="0"/>
    <s v="30/11/20"/>
    <s v="30/11/20"/>
    <s v="SI206N04528"/>
    <m/>
    <s v="PRIME/ECO SETUP &amp; SUBSCR"/>
    <s v="120006"/>
    <s v="20019251"/>
    <s v="MSH"/>
    <n v="0"/>
    <n v="11906.98"/>
    <n v="11906.98"/>
    <s v="NG"/>
    <x v="10"/>
  </r>
  <r>
    <s v="400-04"/>
    <x v="1"/>
    <n v="0"/>
    <s v="30/11/20"/>
    <s v="30/11/20"/>
    <s v="SI206N04611"/>
    <m/>
    <s v="PRIME&amp;ECO LTO,RENTALS"/>
    <s v="120006"/>
    <s v="20019479"/>
    <s v="MSH"/>
    <n v="0"/>
    <n v="63813.95"/>
    <n v="63813.95"/>
    <s v="NG"/>
    <x v="10"/>
  </r>
  <r>
    <s v="400-04"/>
    <x v="1"/>
    <n v="0"/>
    <s v="30/11/20"/>
    <s v="30/11/20"/>
    <s v="SI206N04613"/>
    <m/>
    <s v="PRIME&amp;ECO LTO,RENTALS"/>
    <s v="120006"/>
    <s v="20019483"/>
    <s v="MSH"/>
    <n v="0"/>
    <n v="257023.26"/>
    <n v="257023.26"/>
    <s v="NG"/>
    <x v="10"/>
  </r>
  <r>
    <s v="400-04"/>
    <x v="1"/>
    <n v="0"/>
    <s v="30/11/20"/>
    <s v="30/11/20"/>
    <s v="SI206N04618"/>
    <m/>
    <s v="PRIME LTO 1MTH"/>
    <s v="120006"/>
    <s v="20019493"/>
    <s v="MSH"/>
    <n v="0"/>
    <n v="6790.7"/>
    <n v="6790.7"/>
    <s v="NG"/>
    <x v="10"/>
  </r>
  <r>
    <s v="400-04"/>
    <x v="1"/>
    <n v="0"/>
    <s v="30/11/20"/>
    <s v="30/11/20"/>
    <s v="SI206N04629"/>
    <m/>
    <s v="PRIME LTO 1MTH"/>
    <s v="120006"/>
    <s v="20019515"/>
    <s v="MSH"/>
    <n v="0"/>
    <n v="6790.7"/>
    <n v="6790.7"/>
    <s v="NG"/>
    <x v="10"/>
  </r>
  <r>
    <s v="400-04"/>
    <x v="1"/>
    <n v="0"/>
    <s v="30/11/20"/>
    <s v="30/11/20"/>
    <s v="SI206N04635"/>
    <m/>
    <s v="1PRIME SYS &amp; SUBSCRIPTIO"/>
    <s v="120006"/>
    <s v="20019578"/>
    <s v="MSH"/>
    <n v="0"/>
    <n v="6790.7"/>
    <n v="6790.7"/>
    <s v="NG"/>
    <x v="10"/>
  </r>
  <r>
    <s v="400-04"/>
    <x v="1"/>
    <n v="0"/>
    <s v="30/11/20"/>
    <d v="2020-05-11T00:00:00"/>
    <s v="SI206N04671"/>
    <m/>
    <s v="Reversal of 20018277"/>
    <s v="120006"/>
    <s v="20019656"/>
    <s v="MSH"/>
    <n v="0"/>
    <n v="-6790.7"/>
    <n v="-6790.7"/>
    <s v="NG"/>
    <x v="10"/>
  </r>
  <r>
    <s v="400-04"/>
    <x v="1"/>
    <n v="0"/>
    <s v="30/11/20"/>
    <s v="30/11/20"/>
    <s v="SI206N04753"/>
    <m/>
    <s v="PRIME LTO / ECO RENTAL"/>
    <s v="120006"/>
    <s v="20019949"/>
    <s v="MSH"/>
    <n v="0"/>
    <n v="24093.02"/>
    <n v="24093.02"/>
    <s v="NG"/>
    <x v="10"/>
  </r>
  <r>
    <s v="400-04"/>
    <x v="1"/>
    <n v="0"/>
    <s v="30/11/20"/>
    <s v="30/11/20"/>
    <s v="SI206N04776"/>
    <m/>
    <s v="ECO SETUP &amp; SUBSCRIPTION"/>
    <s v="120006"/>
    <s v="20020029"/>
    <s v="MSH"/>
    <n v="0"/>
    <n v="10232.56"/>
    <n v="10232.56"/>
    <s v="NG"/>
    <x v="10"/>
  </r>
  <r>
    <s v="400-04"/>
    <x v="1"/>
    <n v="0"/>
    <s v="30/11/20"/>
    <s v="30/11/20"/>
    <s v="SI206N04778"/>
    <m/>
    <s v="QUICKTELLER CUSTOMER NOV"/>
    <s v="100048"/>
    <s v="20020051"/>
    <s v="MSH"/>
    <n v="0"/>
    <n v="291320.93"/>
    <n v="291320.93"/>
    <s v="NG"/>
    <x v="10"/>
  </r>
  <r>
    <s v="400-04"/>
    <x v="1"/>
    <n v="0"/>
    <s v="30/11/20"/>
    <s v="30/11/20"/>
    <s v="SI206N04813"/>
    <m/>
    <s v="CORALPAY INVOICE 30TH"/>
    <s v="100039"/>
    <s v="20020307"/>
    <s v="MSH"/>
    <n v="0"/>
    <n v="1012372.09"/>
    <n v="1012372.09"/>
    <s v="NG"/>
    <x v="10"/>
  </r>
  <r>
    <s v="400-04"/>
    <x v="1"/>
    <n v="0"/>
    <s v="30/11/20"/>
    <s v="30/11/20"/>
    <s v="SI206N04833"/>
    <m/>
    <s v="NIBSS CUSTOMERS NOV"/>
    <s v="120006"/>
    <s v="20020353"/>
    <s v="MSH"/>
    <n v="0"/>
    <n v="504372.09"/>
    <n v="504372.09"/>
    <s v="NG"/>
    <x v="10"/>
  </r>
  <r>
    <s v="400-04"/>
    <x v="1"/>
    <n v="0"/>
    <s v="30/11/20"/>
    <s v="30/11/20"/>
    <s v="SI206N04837"/>
    <m/>
    <s v="NIBSS CUSTOMERS NOV"/>
    <s v="120006"/>
    <s v="20020369"/>
    <s v="MSH"/>
    <n v="0"/>
    <n v="496525.58"/>
    <n v="496525.58"/>
    <s v="NG"/>
    <x v="10"/>
  </r>
  <r>
    <s v="400-04"/>
    <x v="1"/>
    <n v="0"/>
    <s v="30/11/20"/>
    <s v="30/11/20"/>
    <s v="CONVRT ECO-PRIME"/>
    <m/>
    <s v="BAL BY DAN AYUBA TO"/>
    <s v="102-2"/>
    <s v="20020377"/>
    <s v="M"/>
    <n v="0"/>
    <n v="1800"/>
    <n v="1800"/>
    <s v="NG"/>
    <x v="10"/>
  </r>
  <r>
    <s v="400-04"/>
    <x v="1"/>
    <n v="0"/>
    <s v="30/11/20"/>
    <s v="30/11/20"/>
    <s v="SI206N04890"/>
    <m/>
    <s v="Reversal of 20020353"/>
    <s v="120006"/>
    <s v="20020674"/>
    <s v="MSH"/>
    <n v="0"/>
    <n v="-504372.09"/>
    <n v="-504372.09"/>
    <s v="NG"/>
    <x v="10"/>
  </r>
  <r>
    <s v="400-04"/>
    <x v="1"/>
    <n v="0"/>
    <d v="2020-01-12T00:00:00"/>
    <d v="2020-01-12T00:00:00"/>
    <s v="SI206N04777"/>
    <m/>
    <s v="MONTH 4 OF 48MONTH"/>
    <s v="100042"/>
    <s v="20020040"/>
    <s v="MSH"/>
    <n v="0"/>
    <n v="162976.74"/>
    <n v="162976.74"/>
    <s v="NG"/>
    <x v="11"/>
  </r>
  <r>
    <s v="400-04"/>
    <x v="1"/>
    <n v="0"/>
    <d v="2020-01-12T00:00:00"/>
    <d v="2020-01-12T00:00:00"/>
    <s v="SI206N04793"/>
    <m/>
    <s v="CORALPAY INVOICE 16TH"/>
    <s v="100039"/>
    <s v="20020115"/>
    <s v="MSH"/>
    <n v="0"/>
    <n v="395488.37"/>
    <n v="395488.37"/>
    <s v="NG"/>
    <x v="11"/>
  </r>
  <r>
    <s v="400-04"/>
    <x v="1"/>
    <n v="0"/>
    <d v="2020-01-12T00:00:00"/>
    <d v="2020-01-12T00:00:00"/>
    <s v="SI206N04815"/>
    <m/>
    <s v="PRIME&amp;ECO LTO,RENTALS"/>
    <s v="120006"/>
    <s v="20020313"/>
    <s v="MSH"/>
    <n v="0"/>
    <n v="163906.98000000001"/>
    <n v="163906.98000000001"/>
    <s v="NG"/>
    <x v="11"/>
  </r>
  <r>
    <s v="400-04"/>
    <x v="1"/>
    <n v="0"/>
    <d v="2020-01-12T00:00:00"/>
    <d v="2020-01-12T00:00:00"/>
    <s v="SI206N04816"/>
    <m/>
    <s v="ECO SETUP&amp;SUBSCRIPTION"/>
    <s v="120006"/>
    <s v="20020315"/>
    <s v="MSH"/>
    <n v="0"/>
    <n v="5116.28"/>
    <n v="5116.28"/>
    <s v="NG"/>
    <x v="11"/>
  </r>
  <r>
    <s v="400-04"/>
    <x v="1"/>
    <n v="0"/>
    <d v="2020-01-12T00:00:00"/>
    <d v="2020-01-12T00:00:00"/>
    <s v="SI206N04817"/>
    <m/>
    <s v="PRIME&amp;ECO LTO,RENTALS"/>
    <s v="120006"/>
    <s v="20020321"/>
    <s v="MSH"/>
    <n v="0"/>
    <n v="205255.81"/>
    <n v="205255.81"/>
    <s v="NG"/>
    <x v="11"/>
  </r>
  <r>
    <s v="400-04"/>
    <x v="1"/>
    <n v="0"/>
    <d v="2020-01-12T00:00:00"/>
    <d v="2020-01-12T00:00:00"/>
    <s v="SI206N04818"/>
    <m/>
    <s v="PRIME RENTAL 2MTH"/>
    <s v="120006"/>
    <s v="20020323"/>
    <s v="MSH"/>
    <n v="0"/>
    <n v="10511.63"/>
    <n v="10511.63"/>
    <s v="NG"/>
    <x v="11"/>
  </r>
  <r>
    <s v="400-04"/>
    <x v="1"/>
    <n v="0"/>
    <d v="2020-01-12T00:00:00"/>
    <d v="2020-01-12T00:00:00"/>
    <s v="SI206N04819"/>
    <m/>
    <s v="PRIME&amp;ECO SETUP &amp; SUBSCR"/>
    <s v="120006"/>
    <s v="20020325"/>
    <s v="MSH"/>
    <n v="0"/>
    <n v="18697.68"/>
    <n v="18697.68"/>
    <s v="NG"/>
    <x v="11"/>
  </r>
  <r>
    <s v="400-04"/>
    <x v="1"/>
    <n v="0"/>
    <d v="2020-01-12T00:00:00"/>
    <d v="2020-01-12T00:00:00"/>
    <s v="SI206N04820"/>
    <m/>
    <s v="PRIME&amp;ECO LTO,RENTALS"/>
    <s v="120006"/>
    <s v="20020327"/>
    <s v="MSH"/>
    <n v="0"/>
    <n v="147860.47"/>
    <n v="147860.47"/>
    <s v="NG"/>
    <x v="11"/>
  </r>
  <r>
    <s v="400-04"/>
    <x v="1"/>
    <n v="0"/>
    <d v="2020-01-12T00:00:00"/>
    <d v="2020-01-12T00:00:00"/>
    <s v="SI206N04821"/>
    <m/>
    <s v="PRIME SETUP&amp;SUBSCRIPTION"/>
    <s v="120006"/>
    <s v="20020329"/>
    <s v="MSH"/>
    <n v="0"/>
    <n v="20372.099999999999"/>
    <n v="20372.099999999999"/>
    <s v="NG"/>
    <x v="11"/>
  </r>
  <r>
    <s v="400-04"/>
    <x v="1"/>
    <n v="0"/>
    <d v="2020-01-12T00:00:00"/>
    <d v="2020-01-12T00:00:00"/>
    <s v="SI206N04822"/>
    <m/>
    <s v="PRIME&amp;ECO LTO,RENTALS"/>
    <s v="120006"/>
    <s v="20020331"/>
    <s v="MSH"/>
    <n v="0"/>
    <n v="109395.35"/>
    <n v="109395.35"/>
    <s v="NG"/>
    <x v="11"/>
  </r>
  <r>
    <s v="400-04"/>
    <x v="1"/>
    <n v="0"/>
    <d v="2020-01-12T00:00:00"/>
    <d v="2020-01-12T00:00:00"/>
    <s v="SI206N04823"/>
    <m/>
    <s v="ECO LTO 1MTH"/>
    <s v="120006"/>
    <s v="20020333"/>
    <s v="MSH"/>
    <n v="0"/>
    <n v="5116.28"/>
    <n v="5116.28"/>
    <s v="NG"/>
    <x v="11"/>
  </r>
  <r>
    <s v="400-04"/>
    <x v="1"/>
    <n v="0"/>
    <d v="2020-01-12T00:00:00"/>
    <d v="2020-01-12T00:00:00"/>
    <s v="SI206N04824"/>
    <m/>
    <s v="PRIME RENTAL 2MTH"/>
    <s v="120006"/>
    <s v="20020334"/>
    <s v="MSH"/>
    <n v="0"/>
    <n v="10511.63"/>
    <n v="10511.63"/>
    <s v="NG"/>
    <x v="11"/>
  </r>
  <r>
    <s v="400-04"/>
    <x v="1"/>
    <n v="0"/>
    <d v="2020-01-12T00:00:00"/>
    <d v="2020-01-12T00:00:00"/>
    <s v="SI206N04825"/>
    <m/>
    <s v="ECO SETUP&amp; SUBSCRIPTION"/>
    <s v="120006"/>
    <s v="20020335"/>
    <s v="MSH"/>
    <n v="0"/>
    <n v="5116.28"/>
    <n v="5116.28"/>
    <s v="NG"/>
    <x v="11"/>
  </r>
  <r>
    <s v="400-04"/>
    <x v="1"/>
    <n v="0"/>
    <d v="2020-01-12T00:00:00"/>
    <d v="2020-01-12T00:00:00"/>
    <s v="SI206N05205"/>
    <m/>
    <s v="Reversal of 20020115"/>
    <s v="100039"/>
    <s v="20021832"/>
    <s v="MSH"/>
    <n v="0"/>
    <n v="-395488.37"/>
    <n v="-395488.37"/>
    <s v="NG"/>
    <x v="11"/>
  </r>
  <r>
    <s v="400-04"/>
    <x v="1"/>
    <n v="0"/>
    <d v="2020-01-12T00:00:00"/>
    <d v="2020-01-12T00:00:00"/>
    <s v="SI206N05231"/>
    <m/>
    <s v="CORALPAY 1ST DEC 20"/>
    <s v="100039"/>
    <s v="20022005"/>
    <s v="MSH"/>
    <n v="0"/>
    <n v="532790.69999999995"/>
    <n v="532790.69999999995"/>
    <s v="NG"/>
    <x v="11"/>
  </r>
  <r>
    <s v="400-04"/>
    <x v="1"/>
    <n v="0"/>
    <d v="2020-02-12T00:00:00"/>
    <d v="2020-02-12T00:00:00"/>
    <s v="SI206N04826"/>
    <m/>
    <s v="PRIME&amp;ECO LTO,RENTALS"/>
    <s v="120006"/>
    <s v="20020339"/>
    <s v="MSH"/>
    <n v="0"/>
    <n v="155581.4"/>
    <n v="155581.4"/>
    <s v="NG"/>
    <x v="11"/>
  </r>
  <r>
    <s v="400-04"/>
    <x v="1"/>
    <n v="0"/>
    <d v="2020-02-12T00:00:00"/>
    <d v="2020-02-12T00:00:00"/>
    <s v="SI206N04827"/>
    <m/>
    <s v="PRIME&amp;ECO LTO,RENTALS"/>
    <s v="120006"/>
    <s v="20020341"/>
    <s v="MSH"/>
    <n v="0"/>
    <n v="107488.37"/>
    <n v="107488.37"/>
    <s v="NG"/>
    <x v="11"/>
  </r>
  <r>
    <s v="400-04"/>
    <x v="1"/>
    <n v="0"/>
    <d v="2020-02-12T00:00:00"/>
    <d v="2020-02-12T00:00:00"/>
    <s v="SI206N04828"/>
    <m/>
    <s v="PRIME&amp;ECO LTO,RENTALS"/>
    <s v="120006"/>
    <s v="20020343"/>
    <s v="MSH"/>
    <n v="0"/>
    <n v="151395.35"/>
    <n v="151395.35"/>
    <s v="NG"/>
    <x v="11"/>
  </r>
  <r>
    <s v="400-04"/>
    <x v="1"/>
    <n v="0"/>
    <d v="2020-02-12T00:00:00"/>
    <d v="2020-02-12T00:00:00"/>
    <s v="SI206N04829"/>
    <m/>
    <s v="PRIME LTO 1MTH"/>
    <s v="120006"/>
    <s v="20020344"/>
    <s v="MSH"/>
    <n v="0"/>
    <n v="6790.7"/>
    <n v="6790.7"/>
    <s v="NG"/>
    <x v="11"/>
  </r>
  <r>
    <s v="400-04"/>
    <x v="1"/>
    <n v="0"/>
    <d v="2020-02-12T00:00:00"/>
    <d v="2020-02-12T00:00:00"/>
    <s v="SI206N04830"/>
    <m/>
    <s v="PRIME&amp;ECO SETUP&amp; SUBSCRI"/>
    <s v="120006"/>
    <s v="20020345"/>
    <s v="MSH"/>
    <n v="0"/>
    <n v="25488.38"/>
    <n v="25488.38"/>
    <s v="NG"/>
    <x v="11"/>
  </r>
  <r>
    <s v="400-04"/>
    <x v="1"/>
    <n v="0"/>
    <d v="2020-02-12T00:00:00"/>
    <d v="2020-02-12T00:00:00"/>
    <s v="SI206N04831"/>
    <m/>
    <s v="PRIME&amp;ECO LTO,RENTALS"/>
    <s v="120006"/>
    <s v="20020349"/>
    <s v="MSH"/>
    <n v="0"/>
    <n v="153162.79"/>
    <n v="153162.79"/>
    <s v="NG"/>
    <x v="11"/>
  </r>
  <r>
    <s v="400-04"/>
    <x v="1"/>
    <n v="0"/>
    <d v="2020-02-12T00:00:00"/>
    <d v="2020-02-12T00:00:00"/>
    <s v="SI206N04832"/>
    <m/>
    <s v="PRIME&amp;ECO SETUP&amp; SUBSCRI"/>
    <s v="120006"/>
    <s v="20020350"/>
    <s v="MSH"/>
    <n v="0"/>
    <n v="18697.68"/>
    <n v="18697.68"/>
    <s v="NG"/>
    <x v="11"/>
  </r>
  <r>
    <s v="400-04"/>
    <x v="1"/>
    <n v="0"/>
    <d v="2020-02-12T00:00:00"/>
    <d v="2020-02-12T00:00:00"/>
    <s v="SI206N05232"/>
    <m/>
    <s v="CORALPAY 2ND DEC 20"/>
    <s v="100039"/>
    <s v="20022007"/>
    <s v="MSH"/>
    <n v="0"/>
    <n v="624697.67000000004"/>
    <n v="624697.67000000004"/>
    <s v="NG"/>
    <x v="11"/>
  </r>
  <r>
    <s v="400-04"/>
    <x v="1"/>
    <n v="0"/>
    <d v="2020-03-12T00:00:00"/>
    <d v="2020-03-12T00:00:00"/>
    <s v="SI206N04957"/>
    <m/>
    <s v="Sunday John A-3228198"/>
    <s v="100018"/>
    <s v="20021027"/>
    <s v="MSH"/>
    <n v="0"/>
    <n v="188558.14"/>
    <n v="188558.14"/>
    <s v="NG"/>
    <x v="11"/>
  </r>
  <r>
    <s v="400-04"/>
    <x v="1"/>
    <n v="0"/>
    <d v="2020-03-12T00:00:00"/>
    <d v="2020-03-12T00:00:00"/>
    <s v="SI206N04960"/>
    <m/>
    <s v="Olufunmilayo O-3348158"/>
    <s v="100010"/>
    <s v="20021054"/>
    <s v="MSH"/>
    <n v="0"/>
    <n v="188558.14"/>
    <n v="188558.14"/>
    <s v="NG"/>
    <x v="11"/>
  </r>
  <r>
    <s v="400-04"/>
    <x v="1"/>
    <n v="0"/>
    <d v="2020-03-12T00:00:00"/>
    <d v="2020-03-12T00:00:00"/>
    <s v="SI206N05233"/>
    <m/>
    <s v="CORALPAY 3RD DEC"/>
    <s v="100039"/>
    <s v="20022012"/>
    <s v="MSH"/>
    <n v="0"/>
    <n v="668697.67000000004"/>
    <n v="668697.67000000004"/>
    <s v="NG"/>
    <x v="11"/>
  </r>
  <r>
    <s v="400-04"/>
    <x v="1"/>
    <n v="0"/>
    <d v="2020-04-12T00:00:00"/>
    <d v="2020-04-12T00:00:00"/>
    <s v="SI206N04984"/>
    <m/>
    <s v="Pastor EZEKIEL K-3348422"/>
    <s v="100004"/>
    <s v="20021133"/>
    <s v="MSH"/>
    <n v="0"/>
    <n v="188558.14"/>
    <n v="188558.14"/>
    <s v="NG"/>
    <x v="11"/>
  </r>
  <r>
    <s v="400-04"/>
    <x v="1"/>
    <n v="0"/>
    <d v="2020-04-12T00:00:00"/>
    <d v="2020-04-12T00:00:00"/>
    <s v="SI206N05234"/>
    <m/>
    <s v="COEALPAY 4TH DEC"/>
    <s v="100039"/>
    <s v="20022015"/>
    <s v="MSH"/>
    <n v="0"/>
    <n v="450837.21"/>
    <n v="450837.21"/>
    <s v="NG"/>
    <x v="11"/>
  </r>
  <r>
    <s v="400-04"/>
    <x v="1"/>
    <n v="0"/>
    <d v="2020-04-12T00:00:00"/>
    <d v="2020-04-12T00:00:00"/>
    <s v="SI206N05380"/>
    <m/>
    <s v="COEALPAY 4TH DEC"/>
    <s v="100039"/>
    <s v="20022368"/>
    <s v="MSH"/>
    <n v="0"/>
    <n v="471209.3"/>
    <n v="471209.3"/>
    <s v="NG"/>
    <x v="11"/>
  </r>
  <r>
    <s v="400-04"/>
    <x v="1"/>
    <n v="0"/>
    <d v="2020-04-12T00:00:00"/>
    <d v="2020-04-12T00:00:00"/>
    <s v="SI206N05381"/>
    <m/>
    <s v="Reversal of 20022015"/>
    <s v="100039"/>
    <s v="20022369"/>
    <s v="MSH"/>
    <n v="0"/>
    <n v="-450837.21"/>
    <n v="-450837.21"/>
    <s v="NG"/>
    <x v="11"/>
  </r>
  <r>
    <s v="400-04"/>
    <x v="1"/>
    <n v="0"/>
    <d v="2020-05-12T00:00:00"/>
    <d v="2020-05-12T00:00:00"/>
    <s v="SI206N05306"/>
    <m/>
    <s v="CORALPAY 5TH DEC"/>
    <s v="100039"/>
    <s v="20022226"/>
    <s v="MSH"/>
    <n v="0"/>
    <n v="705023.26"/>
    <n v="705023.26"/>
    <s v="NG"/>
    <x v="11"/>
  </r>
  <r>
    <s v="400-04"/>
    <x v="1"/>
    <n v="0"/>
    <d v="2020-07-12T00:00:00"/>
    <d v="2020-07-12T00:00:00"/>
    <s v="SI206N05032"/>
    <m/>
    <s v="1 PRIME SYSTEM"/>
    <s v="100042"/>
    <s v="20021277"/>
    <s v="MSH"/>
    <n v="0"/>
    <n v="6790.7"/>
    <n v="6790.7"/>
    <s v="NG"/>
    <x v="11"/>
  </r>
  <r>
    <s v="400-04"/>
    <x v="1"/>
    <n v="0"/>
    <d v="2020-07-12T00:00:00"/>
    <d v="2020-07-12T00:00:00"/>
    <s v="SI206N05307"/>
    <m/>
    <s v="CORALPAY 6TH DEC"/>
    <s v="100039"/>
    <s v="20022228"/>
    <s v="MSH"/>
    <n v="0"/>
    <n v="218744.19"/>
    <n v="218744.19"/>
    <s v="NG"/>
    <x v="11"/>
  </r>
  <r>
    <s v="400-04"/>
    <x v="1"/>
    <n v="0"/>
    <d v="2020-07-12T00:00:00"/>
    <d v="2020-07-12T00:00:00"/>
    <s v="SI206N05310"/>
    <m/>
    <s v="CORALPAY 7TH DEC"/>
    <s v="100039"/>
    <s v="20022232"/>
    <s v="MSH"/>
    <n v="0"/>
    <n v="522837.21"/>
    <n v="522837.21"/>
    <s v="NG"/>
    <x v="11"/>
  </r>
  <r>
    <s v="400-04"/>
    <x v="1"/>
    <n v="0"/>
    <d v="2020-08-12T00:00:00"/>
    <d v="2020-08-12T00:00:00"/>
    <s v="SI206N05311"/>
    <m/>
    <s v="CORALPAY 8TH DEC"/>
    <s v="100039"/>
    <s v="20022234"/>
    <s v="MSH"/>
    <n v="0"/>
    <n v="706604.65"/>
    <n v="706604.65"/>
    <s v="NG"/>
    <x v="11"/>
  </r>
  <r>
    <s v="400-04"/>
    <x v="1"/>
    <n v="0"/>
    <d v="2020-09-12T00:00:00"/>
    <d v="2020-09-12T00:00:00"/>
    <s v="SI206N05092"/>
    <m/>
    <s v="Adeosun Clement-3502983"/>
    <s v="100009"/>
    <s v="20021416"/>
    <s v="MSH"/>
    <n v="0"/>
    <n v="188558.14"/>
    <n v="188558.14"/>
    <s v="NG"/>
    <x v="11"/>
  </r>
  <r>
    <s v="400-04"/>
    <x v="1"/>
    <n v="0"/>
    <d v="2020-09-12T00:00:00"/>
    <d v="2020-09-12T00:00:00"/>
    <s v="SI206N05312"/>
    <m/>
    <s v="CORALPAY 9TH DEC"/>
    <s v="100039"/>
    <s v="20022236"/>
    <s v="MSH"/>
    <n v="0"/>
    <n v="745720.93"/>
    <n v="745720.93"/>
    <s v="NG"/>
    <x v="11"/>
  </r>
  <r>
    <s v="400-04"/>
    <x v="1"/>
    <n v="0"/>
    <d v="2020-10-12T00:00:00"/>
    <d v="2020-10-12T00:00:00"/>
    <s v="SI206N05313"/>
    <m/>
    <s v="CORALPAY 10TH DEC"/>
    <s v="100039"/>
    <s v="20022238"/>
    <s v="MSH"/>
    <n v="0"/>
    <n v="626930.23"/>
    <n v="626930.23"/>
    <s v="NG"/>
    <x v="11"/>
  </r>
  <r>
    <s v="400-04"/>
    <x v="1"/>
    <n v="0"/>
    <d v="2020-11-12T00:00:00"/>
    <d v="2020-11-12T00:00:00"/>
    <s v="SI206N05314"/>
    <m/>
    <s v="CORALPAY 11 DEC 20"/>
    <s v="100039"/>
    <s v="20022240"/>
    <s v="MSH"/>
    <n v="0"/>
    <n v="533162.79"/>
    <n v="533162.79"/>
    <s v="NG"/>
    <x v="11"/>
  </r>
  <r>
    <s v="400-04"/>
    <x v="1"/>
    <n v="0"/>
    <d v="2020-12-12T00:00:00"/>
    <d v="2020-12-12T00:00:00"/>
    <s v="SI206N05315"/>
    <m/>
    <s v="CORALPAY 12TH DEC"/>
    <s v="100039"/>
    <s v="20022242"/>
    <s v="MSH"/>
    <n v="0"/>
    <n v="640837.21"/>
    <n v="640837.21"/>
    <s v="NG"/>
    <x v="11"/>
  </r>
  <r>
    <s v="400-04"/>
    <x v="1"/>
    <n v="0"/>
    <s v="13/12/20"/>
    <s v="13/12/20"/>
    <s v="SI206N05316"/>
    <m/>
    <s v="CORALPAY 13TH DEC"/>
    <s v="100039"/>
    <s v="20022244"/>
    <s v="MSH"/>
    <n v="0"/>
    <n v="267255.81"/>
    <n v="267255.81"/>
    <s v="NG"/>
    <x v="11"/>
  </r>
  <r>
    <s v="400-04"/>
    <x v="1"/>
    <n v="0"/>
    <s v="14/12/20"/>
    <s v="14/12/20"/>
    <s v="SI206N05317"/>
    <m/>
    <s v="CORALPAY 14TH DEC"/>
    <s v="100039"/>
    <s v="20022246"/>
    <s v="MSH"/>
    <n v="0"/>
    <n v="776511.63"/>
    <n v="776511.63"/>
    <s v="NG"/>
    <x v="11"/>
  </r>
  <r>
    <s v="400-04"/>
    <x v="1"/>
    <n v="0"/>
    <s v="15/12/20"/>
    <d v="2020-01-12T00:00:00"/>
    <s v="SI206N04846"/>
    <m/>
    <s v="Reversal of 20020315"/>
    <s v="120006"/>
    <s v="20020507"/>
    <s v="MSH"/>
    <n v="0"/>
    <n v="-5116.28"/>
    <n v="-5116.28"/>
    <s v="NG"/>
    <x v="11"/>
  </r>
  <r>
    <s v="400-04"/>
    <x v="1"/>
    <n v="0"/>
    <s v="15/12/20"/>
    <s v="15/12/20"/>
    <s v="SI206N04851"/>
    <m/>
    <s v="PRIME&amp;ECO LTO,RENTALS"/>
    <s v="120006"/>
    <s v="20020551"/>
    <s v="MSH"/>
    <n v="0"/>
    <n v="228558.14"/>
    <n v="228558.14"/>
    <s v="NG"/>
    <x v="11"/>
  </r>
  <r>
    <s v="400-04"/>
    <x v="1"/>
    <n v="0"/>
    <s v="15/12/20"/>
    <s v="15/12/20"/>
    <s v="SI206N04852"/>
    <m/>
    <s v="PRIME LTO 1MTH"/>
    <s v="120006"/>
    <s v="20020553"/>
    <s v="MSH"/>
    <n v="0"/>
    <n v="6790.7"/>
    <n v="6790.7"/>
    <s v="NG"/>
    <x v="11"/>
  </r>
  <r>
    <s v="400-04"/>
    <x v="1"/>
    <n v="0"/>
    <s v="15/12/20"/>
    <s v="15/12/20"/>
    <s v="SI206N04853"/>
    <m/>
    <s v="PRIME&amp;ECO SET UP&amp; SUBSCR"/>
    <s v="120006"/>
    <s v="20020554"/>
    <s v="MSH"/>
    <n v="0"/>
    <n v="11906.98"/>
    <n v="11906.98"/>
    <s v="NG"/>
    <x v="11"/>
  </r>
  <r>
    <s v="400-04"/>
    <x v="1"/>
    <n v="0"/>
    <s v="15/12/20"/>
    <s v="15/12/20"/>
    <s v="SI206N04857"/>
    <m/>
    <s v="PRIME&amp;ECO LTO,PRIME RENT"/>
    <s v="120006"/>
    <s v="20020564"/>
    <s v="MSH"/>
    <n v="0"/>
    <n v="137302.32999999999"/>
    <n v="137302.32999999999"/>
    <s v="NG"/>
    <x v="11"/>
  </r>
  <r>
    <s v="400-04"/>
    <x v="1"/>
    <n v="0"/>
    <s v="15/12/20"/>
    <s v="15/12/20"/>
    <s v="SI206N04858"/>
    <m/>
    <s v="PRIME LTO 1MTH"/>
    <s v="120006"/>
    <s v="20020566"/>
    <s v="MSH"/>
    <n v="0"/>
    <n v="6790.7"/>
    <n v="6790.7"/>
    <s v="NG"/>
    <x v="11"/>
  </r>
  <r>
    <s v="400-04"/>
    <x v="1"/>
    <n v="0"/>
    <s v="15/12/20"/>
    <s v="15/12/20"/>
    <s v="SI206N04859"/>
    <m/>
    <s v="PRIME&amp;ECO SETUP &amp; SUBSCR"/>
    <s v="120006"/>
    <s v="20020567"/>
    <s v="MSH"/>
    <n v="0"/>
    <n v="39627.910000000003"/>
    <n v="39627.910000000003"/>
    <s v="NG"/>
    <x v="11"/>
  </r>
  <r>
    <s v="400-04"/>
    <x v="1"/>
    <n v="0"/>
    <s v="15/12/20"/>
    <s v="15/12/20"/>
    <s v="SI206N04860"/>
    <m/>
    <s v="PRIME&amp;ECO LTO,PRIME RENT"/>
    <s v="120006"/>
    <s v="20020570"/>
    <s v="MSH"/>
    <n v="0"/>
    <n v="106232.56"/>
    <n v="106232.56"/>
    <s v="NG"/>
    <x v="11"/>
  </r>
  <r>
    <s v="400-04"/>
    <x v="1"/>
    <n v="0"/>
    <s v="15/12/20"/>
    <s v="15/12/20"/>
    <s v="SI206N04861"/>
    <m/>
    <s v="ECO SETUP &amp; SUBSCRIPTION"/>
    <s v="120006"/>
    <s v="20020571"/>
    <s v="MSH"/>
    <n v="0"/>
    <n v="5116.28"/>
    <n v="5116.28"/>
    <s v="NG"/>
    <x v="11"/>
  </r>
  <r>
    <s v="400-04"/>
    <x v="1"/>
    <n v="0"/>
    <s v="15/12/20"/>
    <s v="15/12/20"/>
    <s v="SI206N04862"/>
    <m/>
    <s v="PRIME&amp;ECO LTO,RENTALS"/>
    <s v="120006"/>
    <s v="20020574"/>
    <s v="MSH"/>
    <n v="0"/>
    <n v="147395.35"/>
    <n v="147395.35"/>
    <s v="NG"/>
    <x v="11"/>
  </r>
  <r>
    <s v="400-04"/>
    <x v="1"/>
    <n v="0"/>
    <s v="15/12/20"/>
    <s v="15/12/20"/>
    <s v="SI206N04863"/>
    <m/>
    <s v="PRIME&amp;ECO SETUP&amp; SUBSCRI"/>
    <s v="120006"/>
    <s v="20020575"/>
    <s v="MSH"/>
    <n v="0"/>
    <n v="18697.68"/>
    <n v="18697.68"/>
    <s v="NG"/>
    <x v="11"/>
  </r>
  <r>
    <s v="400-04"/>
    <x v="1"/>
    <n v="0"/>
    <s v="15/12/20"/>
    <s v="15/12/20"/>
    <s v="SI206N04864"/>
    <m/>
    <s v="PRIME&amp;ECO LTO,PRIME RENT"/>
    <s v="120006"/>
    <s v="20020578"/>
    <s v="MSH"/>
    <n v="0"/>
    <n v="123767.44"/>
    <n v="123767.44"/>
    <s v="NG"/>
    <x v="11"/>
  </r>
  <r>
    <s v="400-04"/>
    <x v="1"/>
    <n v="0"/>
    <s v="15/12/20"/>
    <s v="15/12/20"/>
    <s v="SI206N04865"/>
    <m/>
    <s v="PRIME SETUP &amp; SUBSCRTION"/>
    <s v="120006"/>
    <s v="20020579"/>
    <s v="MSH"/>
    <n v="0"/>
    <n v="20372.099999999999"/>
    <n v="20372.099999999999"/>
    <s v="NG"/>
    <x v="11"/>
  </r>
  <r>
    <s v="400-04"/>
    <x v="1"/>
    <n v="0"/>
    <s v="15/12/20"/>
    <s v="15/12/20"/>
    <s v="SI206N04866"/>
    <m/>
    <s v="PRIME&amp;ECO LTO,RENTALS"/>
    <s v="120006"/>
    <s v="20020586"/>
    <s v="MSH"/>
    <n v="0"/>
    <n v="145720.93"/>
    <n v="145720.93"/>
    <s v="NG"/>
    <x v="11"/>
  </r>
  <r>
    <s v="400-04"/>
    <x v="1"/>
    <n v="0"/>
    <s v="15/12/20"/>
    <s v="15/12/20"/>
    <s v="SI206N04867"/>
    <m/>
    <s v="Multi-Shipmt Inv"/>
    <s v="120006"/>
    <s v="20020587"/>
    <s v="MSH"/>
    <n v="0"/>
    <n v="6790.7"/>
    <n v="6790.7"/>
    <s v="NG"/>
    <x v="11"/>
  </r>
  <r>
    <s v="400-04"/>
    <x v="1"/>
    <n v="0"/>
    <s v="15/12/20"/>
    <s v="15/12/20"/>
    <s v="SI206N05318"/>
    <m/>
    <s v="CORALPAY 15TH DEC"/>
    <s v="100039"/>
    <s v="20022248"/>
    <s v="MSH"/>
    <n v="0"/>
    <n v="600837.21"/>
    <n v="600837.21"/>
    <s v="NG"/>
    <x v="11"/>
  </r>
  <r>
    <s v="400-04"/>
    <x v="1"/>
    <n v="0"/>
    <s v="15/12/20"/>
    <s v="15/12/20"/>
    <s v="SI206N05735"/>
    <m/>
    <s v="PRIME&amp;ECO SETUP &amp; SUBSCR"/>
    <s v="120006"/>
    <s v="20023493"/>
    <s v="MSH"/>
    <n v="0"/>
    <n v="23813.96"/>
    <n v="23813.96"/>
    <s v="NG"/>
    <x v="11"/>
  </r>
  <r>
    <s v="400-04"/>
    <x v="1"/>
    <n v="0"/>
    <s v="16/12/20"/>
    <s v="16/12/20"/>
    <s v="SI206N05336"/>
    <m/>
    <s v="CORALPAY 16TH DEC"/>
    <s v="100039"/>
    <s v="20022286"/>
    <s v="MSH"/>
    <n v="0"/>
    <n v="690651.16"/>
    <n v="690651.16"/>
    <s v="NG"/>
    <x v="11"/>
  </r>
  <r>
    <s v="400-04"/>
    <x v="1"/>
    <n v="0"/>
    <s v="17/12/20"/>
    <s v="17/12/20"/>
    <s v="SI206N05337"/>
    <m/>
    <s v="CORALPAY 17TH DEC"/>
    <s v="100039"/>
    <s v="20022288"/>
    <s v="MSH"/>
    <n v="0"/>
    <n v="749906.98"/>
    <n v="749906.98"/>
    <s v="NG"/>
    <x v="11"/>
  </r>
  <r>
    <s v="400-04"/>
    <x v="1"/>
    <n v="0"/>
    <s v="18/12/20"/>
    <s v="18/12/20"/>
    <s v="SI206N05338"/>
    <m/>
    <s v="CORALPAY 18TH DEC"/>
    <s v="100039"/>
    <s v="20022290"/>
    <s v="MSH"/>
    <n v="0"/>
    <n v="749441.86"/>
    <n v="749441.86"/>
    <s v="NG"/>
    <x v="11"/>
  </r>
  <r>
    <s v="400-04"/>
    <x v="1"/>
    <n v="0"/>
    <s v="18/12/20"/>
    <s v="18/11/20"/>
    <s v="SI206N05483"/>
    <m/>
    <s v="Reversal of 20020118"/>
    <s v="100042"/>
    <s v="20022765"/>
    <s v="MSH"/>
    <n v="0"/>
    <n v="-162976.74"/>
    <n v="-162976.74"/>
    <s v="NG"/>
    <x v="11"/>
  </r>
  <r>
    <s v="400-04"/>
    <x v="1"/>
    <n v="0"/>
    <s v="19/12/20"/>
    <s v="19/12/20"/>
    <s v="SI206N05339"/>
    <m/>
    <s v="CORALPAY 19TH DEC"/>
    <s v="100039"/>
    <s v="20022291"/>
    <s v="MSH"/>
    <n v="0"/>
    <n v="474558.14"/>
    <n v="474558.14"/>
    <s v="NG"/>
    <x v="11"/>
  </r>
  <r>
    <s v="400-04"/>
    <x v="1"/>
    <n v="0"/>
    <s v="20/12/20"/>
    <s v="20/12/20"/>
    <s v="SI206N05340"/>
    <m/>
    <s v="CORALPAY 20TH DEC"/>
    <s v="100039"/>
    <s v="20022294"/>
    <s v="MSH"/>
    <n v="0"/>
    <n v="313348.84000000003"/>
    <n v="313348.84000000003"/>
    <s v="NG"/>
    <x v="11"/>
  </r>
  <r>
    <s v="400-04"/>
    <x v="1"/>
    <n v="0"/>
    <s v="21/12/20"/>
    <s v="21/12/20"/>
    <s v="SI206N05341"/>
    <m/>
    <s v="CORALPAY 21 DEC"/>
    <s v="100039"/>
    <s v="20022296"/>
    <s v="MSH"/>
    <n v="0"/>
    <n v="863348.84"/>
    <n v="863348.84"/>
    <s v="NG"/>
    <x v="11"/>
  </r>
  <r>
    <s v="400-04"/>
    <x v="1"/>
    <n v="0"/>
    <s v="22/12/20"/>
    <s v="22/12/20"/>
    <s v="SI206N04902"/>
    <m/>
    <s v="PRIME&amp;ECO LTO,RENTALS"/>
    <s v="120006"/>
    <s v="20020768"/>
    <s v="MSH"/>
    <n v="0"/>
    <n v="110883.72"/>
    <n v="110883.72"/>
    <s v="NG"/>
    <x v="11"/>
  </r>
  <r>
    <s v="400-04"/>
    <x v="1"/>
    <n v="0"/>
    <s v="22/12/20"/>
    <s v="22/12/20"/>
    <s v="SI206N04903"/>
    <m/>
    <s v="ECO RENTAL 2MTH"/>
    <s v="120006"/>
    <s v="20020772"/>
    <s v="MSH"/>
    <n v="0"/>
    <n v="7813.95"/>
    <n v="7813.95"/>
    <s v="NG"/>
    <x v="11"/>
  </r>
  <r>
    <s v="400-04"/>
    <x v="1"/>
    <n v="0"/>
    <s v="22/12/20"/>
    <s v="22/12/20"/>
    <s v="SI206N04904"/>
    <m/>
    <s v="PRIME SETUP + SUB"/>
    <s v="120006"/>
    <s v="20020775"/>
    <s v="MSH"/>
    <n v="0"/>
    <n v="13581.4"/>
    <n v="13581.4"/>
    <s v="NG"/>
    <x v="11"/>
  </r>
  <r>
    <s v="400-04"/>
    <x v="1"/>
    <n v="0"/>
    <s v="22/12/20"/>
    <s v="22/12/20"/>
    <s v="SI206N05342"/>
    <m/>
    <s v="CORALPAY 22ND DEC"/>
    <s v="100039"/>
    <s v="20022298"/>
    <s v="MSH"/>
    <n v="0"/>
    <n v="777953.49"/>
    <n v="777953.49"/>
    <s v="NG"/>
    <x v="11"/>
  </r>
  <r>
    <s v="400-04"/>
    <x v="1"/>
    <n v="0"/>
    <s v="23/12/20"/>
    <s v="23/12/20"/>
    <s v="SI206N04909"/>
    <m/>
    <s v="PRIME&amp;ECOLTO,PRIME RENTA"/>
    <s v="120006"/>
    <s v="20020794"/>
    <s v="MSH"/>
    <n v="0"/>
    <n v="448465.17"/>
    <n v="448465.17"/>
    <s v="NG"/>
    <x v="11"/>
  </r>
  <r>
    <s v="400-04"/>
    <x v="1"/>
    <n v="0"/>
    <s v="23/12/20"/>
    <s v="23/12/20"/>
    <s v="SI206N04911"/>
    <m/>
    <s v="PRIME&amp;ECO SETUP+SUBSCRIP"/>
    <s v="120006"/>
    <s v="20020802"/>
    <s v="MSH"/>
    <n v="0"/>
    <n v="50976.75"/>
    <n v="50976.75"/>
    <s v="NG"/>
    <x v="11"/>
  </r>
  <r>
    <s v="400-04"/>
    <x v="1"/>
    <n v="0"/>
    <s v="23/12/20"/>
    <s v="23/12/20"/>
    <s v="SI206N04928"/>
    <m/>
    <s v="PRIME&amp;ECO LTO,RENTALS"/>
    <s v="120006"/>
    <s v="20020897"/>
    <s v="MSH"/>
    <n v="0"/>
    <n v="211488.37"/>
    <n v="211488.37"/>
    <s v="NG"/>
    <x v="11"/>
  </r>
  <r>
    <s v="400-04"/>
    <x v="1"/>
    <n v="0"/>
    <s v="23/12/20"/>
    <s v="23/12/20"/>
    <s v="SI206N04929"/>
    <m/>
    <s v="PRIME LTO 2MTH"/>
    <s v="120006"/>
    <s v="20020898"/>
    <s v="MSH"/>
    <n v="0"/>
    <n v="13162.79"/>
    <n v="13162.79"/>
    <s v="NG"/>
    <x v="11"/>
  </r>
  <r>
    <s v="400-04"/>
    <x v="1"/>
    <n v="0"/>
    <s v="23/12/20"/>
    <s v="23/12/20"/>
    <s v="SI206N04930"/>
    <m/>
    <s v="PRIME&amp;ECO SETUP+SUB"/>
    <s v="120006"/>
    <s v="20020899"/>
    <s v="MSH"/>
    <n v="0"/>
    <n v="18697.68"/>
    <n v="18697.68"/>
    <s v="NG"/>
    <x v="11"/>
  </r>
  <r>
    <s v="400-04"/>
    <x v="1"/>
    <n v="0"/>
    <s v="23/12/20"/>
    <s v="23/12/20"/>
    <s v="SI206N04931"/>
    <m/>
    <s v="PRIME&amp;ECOLTO,PRIME RENTA"/>
    <s v="120006"/>
    <s v="20020905"/>
    <s v="MSH"/>
    <n v="0"/>
    <n v="158139.53"/>
    <n v="158139.53"/>
    <s v="NG"/>
    <x v="11"/>
  </r>
  <r>
    <s v="400-04"/>
    <x v="1"/>
    <n v="0"/>
    <s v="23/12/20"/>
    <s v="23/12/20"/>
    <s v="SI206N04932"/>
    <m/>
    <s v="PRIME LTO 1MTH"/>
    <s v="120006"/>
    <s v="20020906"/>
    <s v="MSH"/>
    <n v="0"/>
    <n v="6790.7"/>
    <n v="6790.7"/>
    <s v="NG"/>
    <x v="11"/>
  </r>
  <r>
    <s v="400-04"/>
    <x v="1"/>
    <n v="0"/>
    <s v="23/12/20"/>
    <s v="23/12/20"/>
    <s v="SI206N04933"/>
    <m/>
    <s v="PRIME&amp;ECO SEETUP+SUB"/>
    <s v="120006"/>
    <s v="20020907"/>
    <s v="MSH"/>
    <n v="0"/>
    <n v="18697.68"/>
    <n v="18697.68"/>
    <s v="NG"/>
    <x v="11"/>
  </r>
  <r>
    <s v="400-04"/>
    <x v="1"/>
    <n v="0"/>
    <s v="23/12/20"/>
    <s v="23/12/20"/>
    <s v="SI206N04934"/>
    <m/>
    <s v="PRIME&amp;ECOLTO,RENTALS"/>
    <s v="120006"/>
    <s v="20020913"/>
    <s v="MSH"/>
    <n v="0"/>
    <n v="135302.32999999999"/>
    <n v="135302.32999999999"/>
    <s v="NG"/>
    <x v="11"/>
  </r>
  <r>
    <s v="400-04"/>
    <x v="1"/>
    <n v="0"/>
    <s v="23/12/20"/>
    <s v="23/12/20"/>
    <s v="SI206N04935"/>
    <m/>
    <s v="ECO RENTAL 3MTH"/>
    <s v="120006"/>
    <s v="20020914"/>
    <s v="MSH"/>
    <n v="0"/>
    <n v="11162.79"/>
    <n v="11162.79"/>
    <s v="NG"/>
    <x v="11"/>
  </r>
  <r>
    <s v="400-04"/>
    <x v="1"/>
    <n v="0"/>
    <s v="23/12/20"/>
    <s v="23/12/20"/>
    <s v="SI206N04936"/>
    <m/>
    <s v="1 PRIME SETUP + SUB"/>
    <s v="120006"/>
    <s v="20020915"/>
    <s v="MSH"/>
    <n v="0"/>
    <n v="6790.7"/>
    <n v="6790.7"/>
    <s v="NG"/>
    <x v="11"/>
  </r>
  <r>
    <s v="400-04"/>
    <x v="1"/>
    <n v="0"/>
    <s v="23/12/20"/>
    <s v="23/12/20"/>
    <s v="SI206N04937"/>
    <m/>
    <s v="PRIME&amp;ECO LTO,PRIME RENT"/>
    <s v="120006"/>
    <s v="20020919"/>
    <s v="MSH"/>
    <n v="0"/>
    <n v="122744.19"/>
    <n v="122744.19"/>
    <s v="NG"/>
    <x v="11"/>
  </r>
  <r>
    <s v="400-04"/>
    <x v="1"/>
    <n v="0"/>
    <s v="23/12/20"/>
    <s v="23/12/20"/>
    <s v="SI206N04938"/>
    <m/>
    <s v="ECO RENTAL 2MTH"/>
    <s v="120006"/>
    <s v="20020920"/>
    <s v="MSH"/>
    <n v="0"/>
    <n v="7813.95"/>
    <n v="7813.95"/>
    <s v="NG"/>
    <x v="11"/>
  </r>
  <r>
    <s v="400-04"/>
    <x v="1"/>
    <n v="0"/>
    <s v="23/12/20"/>
    <s v="23/12/20"/>
    <s v="SI206N04939"/>
    <m/>
    <s v="1 ECO SETUP+ SUB"/>
    <s v="120006"/>
    <s v="20020921"/>
    <s v="MSH"/>
    <n v="0"/>
    <n v="5116.28"/>
    <n v="5116.28"/>
    <s v="NG"/>
    <x v="11"/>
  </r>
  <r>
    <s v="400-04"/>
    <x v="1"/>
    <n v="0"/>
    <s v="23/12/20"/>
    <s v="23/12/20"/>
    <s v="SI206N04940"/>
    <m/>
    <s v="PRIME&amp;ECO LTO,RENTALS"/>
    <s v="120006"/>
    <s v="20020925"/>
    <s v="MSH"/>
    <n v="0"/>
    <n v="232651.16"/>
    <n v="232651.16"/>
    <s v="NG"/>
    <x v="11"/>
  </r>
  <r>
    <s v="400-04"/>
    <x v="1"/>
    <n v="0"/>
    <s v="23/12/20"/>
    <s v="23/12/20"/>
    <s v="SI206N04941"/>
    <m/>
    <s v="PRIME LTO 3MTH"/>
    <s v="120006"/>
    <s v="20020926"/>
    <s v="MSH"/>
    <n v="0"/>
    <n v="19348.84"/>
    <n v="19348.84"/>
    <s v="NG"/>
    <x v="11"/>
  </r>
  <r>
    <s v="400-04"/>
    <x v="1"/>
    <n v="0"/>
    <s v="23/12/20"/>
    <s v="23/12/20"/>
    <s v="SI206N04942"/>
    <m/>
    <s v="ECO SETUP+SUB"/>
    <s v="120006"/>
    <s v="20020927"/>
    <s v="MSH"/>
    <n v="0"/>
    <n v="25581.39"/>
    <n v="25581.39"/>
    <s v="NG"/>
    <x v="11"/>
  </r>
  <r>
    <s v="400-04"/>
    <x v="1"/>
    <n v="0"/>
    <s v="23/12/20"/>
    <s v="23/12/20"/>
    <s v="SI206N05343"/>
    <m/>
    <s v="CORALPAY 23RD DEC"/>
    <s v="100039"/>
    <s v="20022300"/>
    <s v="MSH"/>
    <n v="0"/>
    <n v="713348.84"/>
    <n v="713348.84"/>
    <s v="NG"/>
    <x v="11"/>
  </r>
  <r>
    <s v="400-04"/>
    <x v="1"/>
    <n v="0"/>
    <s v="24/12/20"/>
    <s v="24/12/20"/>
    <s v="SI206N05344"/>
    <m/>
    <s v="CORALPAY 24TH DEC"/>
    <s v="100039"/>
    <s v="20022302"/>
    <s v="MSH"/>
    <n v="0"/>
    <n v="671627.91"/>
    <n v="671627.91"/>
    <s v="NG"/>
    <x v="11"/>
  </r>
  <r>
    <s v="400-04"/>
    <x v="1"/>
    <n v="0"/>
    <s v="24/12/20"/>
    <s v="24/12/20"/>
    <s v="SI206N05462"/>
    <m/>
    <s v="Oguntola Omosola-3275203"/>
    <s v="100043"/>
    <s v="20022702"/>
    <s v="MSH"/>
    <n v="0"/>
    <n v="181767.44"/>
    <n v="181767.44"/>
    <s v="NG"/>
    <x v="11"/>
  </r>
  <r>
    <s v="400-04"/>
    <x v="1"/>
    <n v="0"/>
    <s v="25/12/20"/>
    <s v="25/12/20"/>
    <s v="SI206N05373"/>
    <m/>
    <s v="CORALPAY 25TH DEC"/>
    <s v="100039"/>
    <s v="20022355"/>
    <s v="MSH"/>
    <n v="0"/>
    <n v="424976.74"/>
    <n v="424976.74"/>
    <s v="NG"/>
    <x v="11"/>
  </r>
  <r>
    <s v="400-04"/>
    <x v="1"/>
    <n v="0"/>
    <s v="26/12/20"/>
    <s v="26/12/20"/>
    <s v="SI206N05374"/>
    <m/>
    <s v="CORALPAY 26TH DEC"/>
    <s v="100039"/>
    <s v="20022357"/>
    <s v="MSH"/>
    <n v="0"/>
    <n v="732465.12"/>
    <n v="732465.12"/>
    <s v="NG"/>
    <x v="11"/>
  </r>
  <r>
    <s v="400-04"/>
    <x v="1"/>
    <n v="0"/>
    <s v="27/12/20"/>
    <s v="27/12/20"/>
    <s v="SI206N05375"/>
    <m/>
    <s v="CORALPAY 27TH DEC"/>
    <s v="100039"/>
    <s v="20022359"/>
    <s v="MSH"/>
    <n v="0"/>
    <n v="337302.33"/>
    <n v="337302.33"/>
    <s v="NG"/>
    <x v="11"/>
  </r>
  <r>
    <s v="400-04"/>
    <x v="1"/>
    <n v="0"/>
    <s v="28/12/20"/>
    <s v="28/12/20"/>
    <s v="SI206N05376"/>
    <m/>
    <s v="CORALPAY 28TH DEC"/>
    <s v="100039"/>
    <s v="20022361"/>
    <s v="MSH"/>
    <n v="0"/>
    <n v="812744.19"/>
    <n v="812744.19"/>
    <s v="NG"/>
    <x v="11"/>
  </r>
  <r>
    <s v="400-04"/>
    <x v="1"/>
    <n v="0"/>
    <s v="28/12/20"/>
    <s v="28/12/20"/>
    <s v="SI206N05526"/>
    <m/>
    <s v="Adaka Pere-3478738"/>
    <s v="100051"/>
    <s v="20022883"/>
    <s v="MSH"/>
    <n v="0"/>
    <n v="143720.93"/>
    <n v="143720.93"/>
    <s v="NG"/>
    <x v="11"/>
  </r>
  <r>
    <s v="400-04"/>
    <x v="1"/>
    <n v="0"/>
    <s v="29/12/20"/>
    <s v="29/12/20"/>
    <s v="SI206N04961"/>
    <m/>
    <s v="PRIME&amp;ECO LTO,RENTALS"/>
    <s v="120006"/>
    <s v="20021057"/>
    <s v="MSH"/>
    <n v="0"/>
    <n v="146325.57999999999"/>
    <n v="146325.57999999999"/>
    <s v="NG"/>
    <x v="11"/>
  </r>
  <r>
    <s v="400-04"/>
    <x v="1"/>
    <n v="0"/>
    <s v="29/12/20"/>
    <s v="29/12/20"/>
    <s v="SI206N04963"/>
    <m/>
    <s v="PRIME LTO 1MTH"/>
    <s v="120006"/>
    <s v="20021060"/>
    <s v="MSH"/>
    <n v="0"/>
    <n v="6790.7"/>
    <n v="6790.7"/>
    <s v="NG"/>
    <x v="11"/>
  </r>
  <r>
    <s v="400-04"/>
    <x v="1"/>
    <n v="0"/>
    <s v="29/12/20"/>
    <s v="29/12/20"/>
    <s v="SI206N04964"/>
    <m/>
    <s v="PRIMEUP + SUBSCRIP"/>
    <s v="120006"/>
    <s v="20021061"/>
    <s v="MSH"/>
    <n v="0"/>
    <n v="20372.099999999999"/>
    <n v="20372.099999999999"/>
    <s v="NG"/>
    <x v="11"/>
  </r>
  <r>
    <s v="400-04"/>
    <x v="1"/>
    <n v="0"/>
    <s v="29/12/20"/>
    <s v="29/12/20"/>
    <s v="SI206N04966"/>
    <m/>
    <s v="PRIME&amp;ECOLTO,PRIME RENTA"/>
    <s v="120006"/>
    <s v="20021067"/>
    <s v="MSH"/>
    <n v="0"/>
    <n v="187534.88"/>
    <n v="187534.88"/>
    <s v="NG"/>
    <x v="11"/>
  </r>
  <r>
    <s v="400-04"/>
    <x v="1"/>
    <n v="0"/>
    <s v="29/12/20"/>
    <s v="29/12/20"/>
    <s v="SI206N04978"/>
    <m/>
    <s v="PRIME LTO 1MTH"/>
    <s v="120006"/>
    <s v="20021120"/>
    <s v="MSH"/>
    <n v="0"/>
    <n v="6790.7"/>
    <n v="6790.7"/>
    <s v="NG"/>
    <x v="11"/>
  </r>
  <r>
    <s v="400-04"/>
    <x v="1"/>
    <n v="0"/>
    <s v="29/12/20"/>
    <s v="29/12/20"/>
    <s v="SI206N04979"/>
    <m/>
    <s v="PRIME RENTAL 3MTH"/>
    <s v="120006"/>
    <s v="20021121"/>
    <s v="MSH"/>
    <n v="0"/>
    <n v="14930.23"/>
    <n v="14930.23"/>
    <s v="NG"/>
    <x v="11"/>
  </r>
  <r>
    <s v="400-04"/>
    <x v="1"/>
    <n v="0"/>
    <s v="29/12/20"/>
    <s v="29/12/20"/>
    <s v="SI206N04980"/>
    <m/>
    <s v="PRIME SETUP &amp; SUBSCRIPTI"/>
    <s v="120006"/>
    <s v="20021122"/>
    <s v="MSH"/>
    <n v="0"/>
    <n v="13581.4"/>
    <n v="13581.4"/>
    <s v="NG"/>
    <x v="11"/>
  </r>
  <r>
    <s v="400-04"/>
    <x v="1"/>
    <n v="0"/>
    <s v="29/12/20"/>
    <s v="29/12/20"/>
    <s v="SI206N04981"/>
    <m/>
    <s v="PRIME&amp;ECOLTO,PRIME RENTA"/>
    <s v="120006"/>
    <s v="20021127"/>
    <s v="MSH"/>
    <n v="0"/>
    <n v="271116.28000000003"/>
    <n v="271116.28000000003"/>
    <s v="NG"/>
    <x v="11"/>
  </r>
  <r>
    <s v="400-04"/>
    <x v="1"/>
    <n v="0"/>
    <s v="29/12/20"/>
    <s v="29/12/20"/>
    <s v="SI206N05377"/>
    <m/>
    <s v="CORALPAY 29 DEC"/>
    <s v="100039"/>
    <s v="20022363"/>
    <s v="MSH"/>
    <n v="0"/>
    <n v="748837.21"/>
    <n v="748837.21"/>
    <s v="NG"/>
    <x v="11"/>
  </r>
  <r>
    <s v="400-04"/>
    <x v="1"/>
    <n v="0"/>
    <s v="30/12/20"/>
    <s v="30/12/20"/>
    <s v="SI206N05000"/>
    <m/>
    <s v="PRIME RENTAL 2MTH"/>
    <s v="120006"/>
    <s v="20021174"/>
    <s v="MSH"/>
    <n v="0"/>
    <n v="10511.63"/>
    <n v="10511.63"/>
    <s v="NG"/>
    <x v="11"/>
  </r>
  <r>
    <s v="400-04"/>
    <x v="1"/>
    <n v="0"/>
    <s v="30/12/20"/>
    <s v="30/12/20"/>
    <s v="SI206N05001"/>
    <m/>
    <s v="ECO SETUP+ SUBSCRIPTION"/>
    <s v="120006"/>
    <s v="20021175"/>
    <s v="MSH"/>
    <n v="0"/>
    <n v="10232.56"/>
    <n v="10232.56"/>
    <s v="NG"/>
    <x v="11"/>
  </r>
  <r>
    <s v="400-04"/>
    <x v="1"/>
    <n v="0"/>
    <s v="30/12/20"/>
    <s v="30/12/20"/>
    <s v="SI206N05002"/>
    <m/>
    <s v="PRIME LTO,PRIME RENTAL"/>
    <s v="120006"/>
    <s v="20021180"/>
    <s v="MSH"/>
    <n v="0"/>
    <n v="118976.74"/>
    <n v="118976.74"/>
    <s v="NG"/>
    <x v="11"/>
  </r>
  <r>
    <s v="400-04"/>
    <x v="1"/>
    <n v="0"/>
    <s v="30/12/20"/>
    <s v="30/12/20"/>
    <s v="SI206N05003"/>
    <m/>
    <s v="PRIME LTO 2MTH"/>
    <s v="120006"/>
    <s v="20021181"/>
    <s v="MSH"/>
    <n v="0"/>
    <n v="13162.79"/>
    <n v="13162.79"/>
    <s v="NG"/>
    <x v="11"/>
  </r>
  <r>
    <s v="400-04"/>
    <x v="1"/>
    <n v="0"/>
    <s v="30/12/20"/>
    <s v="30/12/20"/>
    <s v="SI206N05004"/>
    <m/>
    <s v="ECO SETUP+SUBSCRIPTION"/>
    <s v="120006"/>
    <s v="20021182"/>
    <s v="MSH"/>
    <n v="0"/>
    <n v="5116.28"/>
    <n v="5116.28"/>
    <s v="NG"/>
    <x v="11"/>
  </r>
  <r>
    <s v="400-04"/>
    <x v="1"/>
    <n v="0"/>
    <s v="30/12/20"/>
    <s v="30/12/20"/>
    <s v="SI206N05005"/>
    <m/>
    <s v="PRIME&amp;ECO LTO,PRIME RENT"/>
    <s v="120006"/>
    <s v="20021220"/>
    <s v="MSH"/>
    <n v="0"/>
    <n v="230418.6"/>
    <n v="230418.6"/>
    <s v="NG"/>
    <x v="11"/>
  </r>
  <r>
    <s v="400-04"/>
    <x v="1"/>
    <n v="0"/>
    <s v="30/12/20"/>
    <s v="30/12/20"/>
    <s v="SI206N05006"/>
    <m/>
    <s v="PRIME SETUP+SUBSCRIPTION"/>
    <s v="120006"/>
    <s v="20021221"/>
    <s v="MSH"/>
    <n v="0"/>
    <n v="6790.7"/>
    <n v="6790.7"/>
    <s v="NG"/>
    <x v="11"/>
  </r>
  <r>
    <s v="400-04"/>
    <x v="1"/>
    <n v="0"/>
    <s v="30/12/20"/>
    <s v="30/12/20"/>
    <s v="SI206N05007"/>
    <m/>
    <s v="PRIME&amp;ECO LTO,PRIME RENT"/>
    <s v="120006"/>
    <s v="20021224"/>
    <s v="MSH"/>
    <n v="0"/>
    <n v="77627.91"/>
    <n v="77627.91"/>
    <s v="NG"/>
    <x v="11"/>
  </r>
  <r>
    <s v="400-04"/>
    <x v="1"/>
    <n v="0"/>
    <s v="30/12/20"/>
    <s v="30/12/20"/>
    <s v="SI206N05008"/>
    <m/>
    <s v="1 ECO SETUP + SUBSCRIPTI"/>
    <s v="120006"/>
    <s v="20021225"/>
    <s v="MSH"/>
    <n v="0"/>
    <n v="5116.28"/>
    <n v="5116.28"/>
    <s v="NG"/>
    <x v="11"/>
  </r>
  <r>
    <s v="400-04"/>
    <x v="1"/>
    <n v="0"/>
    <s v="30/12/20"/>
    <s v="30/12/20"/>
    <s v="SI206N05378"/>
    <m/>
    <s v="CORALPAY 30TH DEC"/>
    <s v="100039"/>
    <s v="20022365"/>
    <s v="MSH"/>
    <n v="0"/>
    <n v="1093953.49"/>
    <n v="1093953.49"/>
    <s v="NG"/>
    <x v="11"/>
  </r>
  <r>
    <s v="400-04"/>
    <x v="1"/>
    <n v="0"/>
    <s v="30/12/20"/>
    <s v="30/12/20"/>
    <s v="SI206N05590"/>
    <m/>
    <s v="Bello Hassan-3461571"/>
    <s v="100018"/>
    <s v="20023023"/>
    <s v="MSH"/>
    <n v="0"/>
    <n v="188558.14"/>
    <n v="188558.14"/>
    <s v="NG"/>
    <x v="11"/>
  </r>
  <r>
    <s v="400-04"/>
    <x v="1"/>
    <n v="0"/>
    <s v="31/12/20"/>
    <s v="31/12/20"/>
    <s v="SI206N05117"/>
    <m/>
    <s v="PRIME&amp;ECO LTO,RENTALS"/>
    <s v="120006"/>
    <s v="20021467"/>
    <s v="MSH"/>
    <n v="0"/>
    <n v="176325.58"/>
    <n v="176325.58"/>
    <s v="NG"/>
    <x v="11"/>
  </r>
  <r>
    <s v="400-04"/>
    <x v="1"/>
    <n v="0"/>
    <s v="31/12/20"/>
    <s v="31/12/20"/>
    <s v="SI206N05118"/>
    <m/>
    <s v="PRIME LTO 1MTH"/>
    <s v="120006"/>
    <s v="20021468"/>
    <s v="MSH"/>
    <n v="0"/>
    <n v="6790.7"/>
    <n v="6790.7"/>
    <s v="NG"/>
    <x v="11"/>
  </r>
  <r>
    <s v="400-04"/>
    <x v="1"/>
    <n v="0"/>
    <s v="31/12/20"/>
    <s v="31/12/20"/>
    <s v="SI206N05119"/>
    <m/>
    <s v="PRIME&amp;ECO SETUP+SUBSCRIP"/>
    <s v="120006"/>
    <s v="20021469"/>
    <s v="MSH"/>
    <n v="0"/>
    <n v="11906.98"/>
    <n v="11906.98"/>
    <s v="NG"/>
    <x v="11"/>
  </r>
  <r>
    <s v="400-04"/>
    <x v="1"/>
    <n v="0"/>
    <s v="31/12/20"/>
    <s v="31/12/20"/>
    <s v="SI206N05120"/>
    <m/>
    <s v="PRIME&amp;ECO LTO,PRIME RENT"/>
    <s v="120006"/>
    <s v="20021473"/>
    <s v="MSH"/>
    <n v="0"/>
    <n v="229534.88"/>
    <n v="229534.88"/>
    <s v="NG"/>
    <x v="11"/>
  </r>
  <r>
    <s v="400-04"/>
    <x v="1"/>
    <n v="0"/>
    <s v="31/12/20"/>
    <s v="31/12/20"/>
    <s v="SI206N05121"/>
    <m/>
    <s v="PRIME LTO 2MTH"/>
    <s v="120006"/>
    <s v="20021474"/>
    <s v="MSH"/>
    <n v="0"/>
    <n v="13162.79"/>
    <n v="13162.79"/>
    <s v="NG"/>
    <x v="11"/>
  </r>
  <r>
    <s v="400-04"/>
    <x v="1"/>
    <n v="0"/>
    <s v="31/12/20"/>
    <s v="31/12/20"/>
    <s v="SI206N05122"/>
    <m/>
    <s v="PRIME&amp;ECO SETUP+SUBSCRIP"/>
    <s v="120006"/>
    <s v="20021475"/>
    <s v="MSH"/>
    <n v="0"/>
    <n v="32279.07"/>
    <n v="32279.07"/>
    <s v="NG"/>
    <x v="11"/>
  </r>
  <r>
    <s v="400-04"/>
    <x v="1"/>
    <n v="0"/>
    <s v="31/12/20"/>
    <s v="31/12/20"/>
    <s v="SI206N05123"/>
    <m/>
    <s v="PRIME&amp;ECO LTO,PRIME RENT"/>
    <s v="120006"/>
    <s v="20021479"/>
    <s v="MSH"/>
    <n v="0"/>
    <n v="292232.56"/>
    <n v="292232.56"/>
    <s v="NG"/>
    <x v="11"/>
  </r>
  <r>
    <s v="400-04"/>
    <x v="1"/>
    <n v="0"/>
    <s v="31/12/20"/>
    <s v="31/12/20"/>
    <s v="SI206N05124"/>
    <m/>
    <s v="ECO RENTAL 3MTH"/>
    <s v="120006"/>
    <s v="20021480"/>
    <s v="MSH"/>
    <n v="0"/>
    <n v="11162.79"/>
    <n v="11162.79"/>
    <s v="NG"/>
    <x v="11"/>
  </r>
  <r>
    <s v="400-04"/>
    <x v="1"/>
    <n v="0"/>
    <s v="31/12/20"/>
    <s v="31/12/20"/>
    <s v="SI206N05125"/>
    <m/>
    <s v="PRIME SETUP &amp; SUBSCRIPTI"/>
    <s v="120006"/>
    <s v="20021481"/>
    <s v="MSH"/>
    <n v="0"/>
    <n v="33953.5"/>
    <n v="33953.5"/>
    <s v="NG"/>
    <x v="11"/>
  </r>
  <r>
    <s v="400-04"/>
    <x v="1"/>
    <n v="0"/>
    <s v="31/12/20"/>
    <s v="31/12/20"/>
    <s v="SI206N05150"/>
    <m/>
    <s v="PRIME&amp;ECO LTO,PRIME RENT"/>
    <s v="120006"/>
    <s v="20021581"/>
    <s v="MSH"/>
    <n v="0"/>
    <n v="446139.59"/>
    <n v="446139.59"/>
    <s v="NG"/>
    <x v="11"/>
  </r>
  <r>
    <s v="400-04"/>
    <x v="1"/>
    <n v="0"/>
    <s v="31/12/20"/>
    <s v="31/12/20"/>
    <s v="SI206N05151"/>
    <m/>
    <s v="ECO LTO 2MTH"/>
    <s v="120006"/>
    <s v="20021588"/>
    <s v="MSH"/>
    <n v="0"/>
    <n v="9906.98"/>
    <n v="9906.98"/>
    <s v="NG"/>
    <x v="11"/>
  </r>
  <r>
    <s v="400-04"/>
    <x v="1"/>
    <n v="0"/>
    <s v="31/12/20"/>
    <s v="31/12/20"/>
    <s v="SI206N05152"/>
    <m/>
    <s v="PRIME RENTAL 3MTH"/>
    <s v="120006"/>
    <s v="20021589"/>
    <s v="MSH"/>
    <n v="0"/>
    <n v="14930.23"/>
    <n v="14930.23"/>
    <s v="NG"/>
    <x v="11"/>
  </r>
  <r>
    <s v="400-04"/>
    <x v="1"/>
    <n v="0"/>
    <s v="31/12/20"/>
    <s v="31/12/20"/>
    <s v="SI206N05154"/>
    <m/>
    <s v="PRIME RENTAL 1MTH&amp; 3MTH"/>
    <s v="120006"/>
    <s v="20021599"/>
    <s v="MSH"/>
    <n v="0"/>
    <n v="26000"/>
    <n v="26000"/>
    <s v="NG"/>
    <x v="11"/>
  </r>
  <r>
    <s v="400-04"/>
    <x v="1"/>
    <n v="0"/>
    <s v="31/12/20"/>
    <s v="31/12/20"/>
    <s v="SI206N05155"/>
    <m/>
    <s v="PRIME&amp; ECO SETUP+SUBSCRI"/>
    <s v="120006"/>
    <s v="20021600"/>
    <s v="MSH"/>
    <n v="0"/>
    <n v="37395.35"/>
    <n v="37395.35"/>
    <s v="NG"/>
    <x v="11"/>
  </r>
  <r>
    <s v="400-04"/>
    <x v="1"/>
    <n v="0"/>
    <s v="31/12/20"/>
    <s v="31/12/20"/>
    <s v="SI206N05156"/>
    <m/>
    <s v="PRIME LTO 3MTH"/>
    <s v="120006"/>
    <s v="20021601"/>
    <s v="MSH"/>
    <n v="0"/>
    <n v="19348.84"/>
    <n v="19348.84"/>
    <s v="NG"/>
    <x v="11"/>
  </r>
  <r>
    <s v="400-04"/>
    <x v="1"/>
    <n v="0"/>
    <s v="31/12/20"/>
    <s v="31/12/20"/>
    <s v="SI206N05192"/>
    <m/>
    <s v="QUICKTELLER 1ST TO 30TH"/>
    <s v="100048"/>
    <s v="20021801"/>
    <s v="MSH"/>
    <n v="0"/>
    <n v="1203162.79"/>
    <n v="1203162.79"/>
    <s v="NG"/>
    <x v="11"/>
  </r>
  <r>
    <s v="400-04"/>
    <x v="1"/>
    <n v="0"/>
    <s v="31/12/20"/>
    <s v="31/12/20"/>
    <s v="SI206N05193"/>
    <m/>
    <s v="QUICKTELLER 31ST DEC 20"/>
    <s v="100048"/>
    <s v="20021802"/>
    <s v="MSH"/>
    <n v="0"/>
    <n v="221209.3"/>
    <n v="221209.3"/>
    <s v="NG"/>
    <x v="11"/>
  </r>
  <r>
    <s v="400-04"/>
    <x v="1"/>
    <n v="0"/>
    <s v="31/12/20"/>
    <s v="31/12/20"/>
    <s v="SI206N05202"/>
    <m/>
    <s v="NIBSS CUSTOMER 1ST TO 31"/>
    <s v="120006"/>
    <s v="20021827"/>
    <s v="MSH"/>
    <n v="0"/>
    <n v="909302.33"/>
    <n v="909302.33"/>
    <s v="NG"/>
    <x v="11"/>
  </r>
  <r>
    <s v="400-04"/>
    <x v="1"/>
    <n v="0"/>
    <s v="31/12/20"/>
    <s v="31/12/20"/>
    <s v="SI206N05216"/>
    <m/>
    <s v="2 PRIME AJAH STORE"/>
    <s v="100057"/>
    <s v="20021921"/>
    <s v="MSH"/>
    <n v="0"/>
    <n v="13581.4"/>
    <n v="13581.4"/>
    <s v="NG"/>
    <x v="11"/>
  </r>
  <r>
    <s v="400-04"/>
    <x v="1"/>
    <n v="0"/>
    <s v="31/12/20"/>
    <s v="31/12/20"/>
    <s v="SI206N05217"/>
    <m/>
    <s v="2PRIME &amp;1ECO OMOLE STORE"/>
    <s v="100057"/>
    <s v="20021923"/>
    <s v="MSH"/>
    <n v="0"/>
    <n v="18697.68"/>
    <n v="18697.68"/>
    <s v="NG"/>
    <x v="11"/>
  </r>
  <r>
    <s v="400-04"/>
    <x v="1"/>
    <n v="0"/>
    <s v="31/12/20"/>
    <s v="31/12/20"/>
    <s v="SI206N05268"/>
    <m/>
    <s v="2PRIME/1ECO-OMOLE SET&amp;US"/>
    <s v="100057"/>
    <s v="20022113"/>
    <s v="MSH"/>
    <n v="0"/>
    <n v="18697.68"/>
    <n v="18697.68"/>
    <s v="NG"/>
    <x v="11"/>
  </r>
  <r>
    <s v="400-04"/>
    <x v="1"/>
    <n v="0"/>
    <s v="31/12/20"/>
    <s v="31/12/20"/>
    <s v="SI206N05277"/>
    <m/>
    <s v="2PRIME SET&amp;USAGE"/>
    <s v="100057"/>
    <s v="20022136"/>
    <s v="MSH"/>
    <n v="0"/>
    <n v="13581.4"/>
    <n v="13581.4"/>
    <s v="NG"/>
    <x v="11"/>
  </r>
  <r>
    <s v="400-04"/>
    <x v="1"/>
    <n v="0"/>
    <s v="31/12/20"/>
    <s v="31/12/20"/>
    <s v="SI206N05308"/>
    <m/>
    <s v="Reversal of 20021921"/>
    <s v="100057"/>
    <s v="20022230"/>
    <s v="MSH"/>
    <n v="0"/>
    <n v="-13581.4"/>
    <n v="-13581.4"/>
    <s v="NG"/>
    <x v="11"/>
  </r>
  <r>
    <s v="400-04"/>
    <x v="1"/>
    <n v="0"/>
    <s v="31/12/20"/>
    <s v="31/12/20"/>
    <s v="SI206N05309"/>
    <m/>
    <s v="Reversal of 20021923"/>
    <s v="100057"/>
    <s v="20022231"/>
    <s v="MSH"/>
    <n v="0"/>
    <n v="-18697.68"/>
    <n v="-18697.68"/>
    <s v="NG"/>
    <x v="11"/>
  </r>
  <r>
    <s v="400-04"/>
    <x v="1"/>
    <n v="0"/>
    <s v="31/12/20"/>
    <s v="31/12/20"/>
    <s v="SI206N05379"/>
    <m/>
    <s v="CORALPAY 31ST DEC"/>
    <s v="100039"/>
    <s v="20022367"/>
    <s v="MSH"/>
    <n v="0"/>
    <n v="1419069.77"/>
    <n v="1419069.77"/>
    <s v="NG"/>
    <x v="11"/>
  </r>
  <r>
    <s v="400-04"/>
    <x v="1"/>
    <n v="0"/>
    <s v="31/12/20"/>
    <s v="31/12/20"/>
    <s v="SI206N05603"/>
    <m/>
    <s v="PRIME&amp;ECO LTO,PRIME RENT"/>
    <s v="120006"/>
    <s v="20023066"/>
    <s v="MSH"/>
    <n v="0"/>
    <n v="17441.86"/>
    <n v="17441.86"/>
    <s v="NG"/>
    <x v="11"/>
  </r>
  <r>
    <s v="400-04"/>
    <x v="1"/>
    <n v="0"/>
    <s v="31/12/20"/>
    <s v="31/12/20"/>
    <s v="SI206N05674"/>
    <m/>
    <s v="2PRIME SETUP + SUB"/>
    <s v="120006"/>
    <s v="20023222"/>
    <s v="MSH"/>
    <n v="0"/>
    <n v="13581.4"/>
    <n v="13581.4"/>
    <s v="NG"/>
    <x v="11"/>
  </r>
  <r>
    <s v="400-04"/>
    <x v="1"/>
    <n v="0"/>
    <s v="31/12/20"/>
    <s v="31/12/20"/>
    <s v="SI206N05677"/>
    <m/>
    <s v="Abubakiri Akande-3559853"/>
    <s v="100016"/>
    <s v="20023241"/>
    <s v="MSH"/>
    <n v="0"/>
    <n v="143720.93"/>
    <n v="143720.93"/>
    <s v="NG"/>
    <x v="11"/>
  </r>
  <r>
    <s v="400-04"/>
    <x v="1"/>
    <n v="0"/>
    <s v="31/12/20"/>
    <s v="15/12/20"/>
    <s v="SI206N05736"/>
    <m/>
    <s v="Reversal of 20020567"/>
    <s v="120006"/>
    <s v="20023495"/>
    <s v="MSH"/>
    <n v="0"/>
    <n v="-39627.910000000003"/>
    <n v="-39627.910000000003"/>
    <s v="NG"/>
    <x v="11"/>
  </r>
  <r>
    <s v="400-04"/>
    <x v="1"/>
    <n v="0"/>
    <s v="31/12/20"/>
    <s v="31/12/20"/>
    <s v="SI206N05739"/>
    <m/>
    <s v="CORAL PAY FOR 3RD DEC"/>
    <s v="100039"/>
    <s v="20023534"/>
    <s v="MSH"/>
    <n v="0"/>
    <n v="6778.05"/>
    <n v="6778.05"/>
    <s v="NG"/>
    <x v="11"/>
  </r>
  <r>
    <s v="400-02"/>
    <x v="2"/>
    <n v="0"/>
    <s v="31/01/20"/>
    <n v="43833"/>
    <s v="IN204N00001"/>
    <m/>
    <s v="DEVICE FEE JAN 2020"/>
    <s v="120001"/>
    <s v="20001080"/>
    <s v="INV"/>
    <n v="0"/>
    <n v="32260410"/>
    <n v="32260410"/>
    <s v="NG"/>
    <x v="0"/>
  </r>
  <r>
    <s v="400-02"/>
    <x v="2"/>
    <n v="0"/>
    <s v="29/02/20"/>
    <s v="30/03/20"/>
    <s v="IN204N00002"/>
    <m/>
    <s v="DEVICE FEE FEB 2020"/>
    <s v="120001"/>
    <s v="20002933"/>
    <s v="INV"/>
    <n v="0"/>
    <n v="22911044"/>
    <n v="22911044"/>
    <s v="NG"/>
    <x v="1"/>
  </r>
  <r>
    <s v="400-02"/>
    <x v="2"/>
    <n v="0"/>
    <s v="29/02/20"/>
    <s v="30/03/20"/>
    <s v="IN204N00003"/>
    <m/>
    <s v="DEVICE FEE FEB 2020"/>
    <s v="120001"/>
    <s v="20003013"/>
    <s v="INV"/>
    <n v="0"/>
    <n v="22378229.02"/>
    <n v="22378229.02"/>
    <s v="NG"/>
    <x v="1"/>
  </r>
  <r>
    <s v="400-02"/>
    <x v="2"/>
    <n v="0"/>
    <s v="31/03/20"/>
    <s v="30/04/20"/>
    <s v="IN204N00004"/>
    <m/>
    <s v="DEVICE FEE FOR MARCH 20"/>
    <s v="120001"/>
    <s v="20004747"/>
    <s v="INV"/>
    <n v="0"/>
    <n v="24656141.02"/>
    <n v="24656141.02"/>
    <s v="NG"/>
    <x v="2"/>
  </r>
  <r>
    <s v="400-02"/>
    <x v="2"/>
    <n v="0"/>
    <s v="31/03/20"/>
    <s v="30/04/20"/>
    <s v="IN204N00005"/>
    <m/>
    <s v="DEVICE FEE FOR MARCH 20"/>
    <s v="120001"/>
    <s v="20004752"/>
    <s v="INV"/>
    <n v="0"/>
    <n v="24633285.210000001"/>
    <n v="24633285.210000001"/>
    <s v="NG"/>
    <x v="2"/>
  </r>
  <r>
    <s v="400-02"/>
    <x v="2"/>
    <n v="0"/>
    <s v="30/04/20"/>
    <s v="30/05/20"/>
    <s v="IN204N00006"/>
    <m/>
    <s v="DEVICE FEE FOR APRIL 20"/>
    <s v="120001"/>
    <s v="20006251"/>
    <s v="INV"/>
    <n v="0"/>
    <n v="17724683.719999999"/>
    <n v="17724683.719999999"/>
    <s v="NG"/>
    <x v="3"/>
  </r>
  <r>
    <s v="400-02"/>
    <x v="2"/>
    <n v="0"/>
    <s v="30/04/20"/>
    <s v="30/05/20"/>
    <s v="IN204N00007"/>
    <m/>
    <s v="DEVICE FEE ADDITION MAR."/>
    <s v="120001"/>
    <s v="20006254"/>
    <s v="INV"/>
    <n v="0"/>
    <n v="23719.26"/>
    <n v="23719.26"/>
    <s v="NG"/>
    <x v="3"/>
  </r>
  <r>
    <s v="400-02"/>
    <x v="2"/>
    <n v="0"/>
    <s v="31/05/20"/>
    <s v="30/06/20"/>
    <s v="IN204N00008"/>
    <m/>
    <s v="DEVICE FEE - MAY 2020"/>
    <s v="120001"/>
    <s v="20007889"/>
    <s v="INV"/>
    <n v="0"/>
    <n v="6814460.9299999997"/>
    <n v="6814460.9299999997"/>
    <s v="NG"/>
    <x v="4"/>
  </r>
  <r>
    <s v="400-02"/>
    <x v="2"/>
    <n v="0"/>
    <s v="30/06/20"/>
    <s v="30/07/20"/>
    <s v="CR207N00009"/>
    <m/>
    <s v="CREDITNOTE MAY 20 DEVICE"/>
    <s v="120001"/>
    <s v="20009270"/>
    <s v="CRD"/>
    <n v="823726.05"/>
    <n v="0"/>
    <n v="-823726.05"/>
    <s v="NG"/>
    <x v="5"/>
  </r>
  <r>
    <s v="400-02"/>
    <x v="2"/>
    <n v="0"/>
    <s v="30/06/20"/>
    <s v="30/07/20"/>
    <s v="IN204N00009"/>
    <m/>
    <s v="DEVICE FEE - JUNE 2020"/>
    <s v="120001"/>
    <s v="20009277"/>
    <s v="INV"/>
    <n v="0"/>
    <n v="20372472.559999999"/>
    <n v="20372472.559999999"/>
    <s v="NG"/>
    <x v="5"/>
  </r>
  <r>
    <s v="400-02"/>
    <x v="2"/>
    <n v="0"/>
    <s v="31/07/20"/>
    <s v="30/08/20"/>
    <s v="IN204N00011"/>
    <m/>
    <s v="DEVICE FEE JULY"/>
    <s v="120001"/>
    <s v="20011088"/>
    <s v="INV"/>
    <n v="0"/>
    <n v="22322857.670000002"/>
    <n v="22322857.670000002"/>
    <s v="NG"/>
    <x v="6"/>
  </r>
  <r>
    <s v="400-02"/>
    <x v="2"/>
    <n v="0"/>
    <s v="31/08/20"/>
    <s v="31/08/20"/>
    <s v="IN204N00012"/>
    <m/>
    <s v="DEVICE FEE AUG 2020"/>
    <s v="120001"/>
    <s v="20013282"/>
    <s v="INV"/>
    <n v="0"/>
    <n v="11015754.42"/>
    <n v="11015754.42"/>
    <s v="NG"/>
    <x v="7"/>
  </r>
  <r>
    <s v="400-02"/>
    <x v="2"/>
    <n v="0"/>
    <s v="30/09/20"/>
    <s v="30/10/20"/>
    <s v="IN204N00013"/>
    <m/>
    <s v="DEVICE FEE SEPT 2020"/>
    <s v="120001"/>
    <s v="20015450"/>
    <s v="INV"/>
    <n v="0"/>
    <n v="3013884.65"/>
    <n v="3013884.65"/>
    <s v="NG"/>
    <x v="8"/>
  </r>
  <r>
    <s v="400-02"/>
    <x v="2"/>
    <n v="0"/>
    <s v="31/10/20"/>
    <s v="30/11/20"/>
    <s v="IN204N00014"/>
    <m/>
    <s v="DEVICE FEE OCT. 2020"/>
    <s v="120001"/>
    <s v="20017385"/>
    <s v="INV"/>
    <n v="0"/>
    <n v="14788115.35"/>
    <n v="14788115.35"/>
    <s v="NG"/>
    <x v="9"/>
  </r>
  <r>
    <s v="400-02"/>
    <x v="2"/>
    <n v="0"/>
    <s v="30/11/20"/>
    <s v="30/12/20"/>
    <s v="IN204N00015"/>
    <m/>
    <s v="DEVICE FEE NOVEMBER 20"/>
    <s v="120001"/>
    <s v="20020043"/>
    <s v="INV"/>
    <n v="0"/>
    <n v="20051720.93"/>
    <n v="20051720.93"/>
    <s v="NG"/>
    <x v="10"/>
  </r>
  <r>
    <s v="400-02"/>
    <x v="2"/>
    <n v="0"/>
    <s v="31/12/20"/>
    <s v="30/01/21"/>
    <s v="IN204N00016"/>
    <m/>
    <s v="DEVICE FEE DEC 2020"/>
    <s v="120001"/>
    <s v="20022250"/>
    <s v="INV"/>
    <n v="0"/>
    <n v="29463813.949999999"/>
    <n v="29463813.949999999"/>
    <s v="NG"/>
    <x v="11"/>
  </r>
  <r>
    <s v="400-05"/>
    <x v="3"/>
    <n v="0"/>
    <s v="30/01/20"/>
    <s v="30/01/20"/>
    <s v="SI206N00305"/>
    <m/>
    <s v="20 PRIME SYS"/>
    <s v="100010"/>
    <s v="20000927"/>
    <s v="MSH"/>
    <n v="0"/>
    <n v="380952.38"/>
    <n v="380952.38"/>
    <s v="NG"/>
    <x v="0"/>
  </r>
  <r>
    <s v="400-05"/>
    <x v="3"/>
    <n v="0"/>
    <s v="30/01/20"/>
    <s v="30/01/20"/>
    <s v="SI206N00307"/>
    <m/>
    <s v="41 PRIME SYS &amp; 12 ECO SY"/>
    <s v="100011"/>
    <s v="20000932"/>
    <s v="MSH"/>
    <n v="0"/>
    <n v="952380.95"/>
    <n v="952380.95"/>
    <s v="NG"/>
    <x v="0"/>
  </r>
  <r>
    <s v="400-05"/>
    <x v="3"/>
    <n v="0"/>
    <s v="30/01/20"/>
    <s v="30/01/20"/>
    <s v="SI206N00310"/>
    <m/>
    <s v="37 PRIME, 3 ECO &amp;100BULB"/>
    <s v="100009"/>
    <s v="20000936"/>
    <s v="MSH"/>
    <n v="0"/>
    <n v="747619.29"/>
    <n v="747619.29"/>
    <s v="NG"/>
    <x v="0"/>
  </r>
  <r>
    <s v="400-05"/>
    <x v="3"/>
    <n v="0"/>
    <s v="30/01/20"/>
    <s v="30/01/20"/>
    <s v="SI206N00312"/>
    <m/>
    <s v="41 PRIME 12 ECO"/>
    <s v="120098"/>
    <s v="20000941"/>
    <s v="MSH"/>
    <n v="0"/>
    <n v="952380.95"/>
    <n v="952380.95"/>
    <s v="NG"/>
    <x v="0"/>
  </r>
  <r>
    <s v="400-05"/>
    <x v="3"/>
    <n v="0"/>
    <s v="31/01/20"/>
    <s v="31/01/20"/>
    <s v="SI206N00353"/>
    <m/>
    <s v="SETUP FEE &amp;USAGE GTB JAN"/>
    <s v="120006"/>
    <s v="20001313"/>
    <s v="MSH"/>
    <n v="0"/>
    <n v="163285.79999999999"/>
    <n v="163285.79999999999"/>
    <s v="NG"/>
    <x v="0"/>
  </r>
  <r>
    <s v="400-05"/>
    <x v="3"/>
    <n v="0"/>
    <s v="31/01/20"/>
    <s v="31/01/20"/>
    <s v="SI206N00354"/>
    <m/>
    <s v="Reversal of 20001313"/>
    <s v="120006"/>
    <s v="20001314"/>
    <s v="MSH"/>
    <n v="0"/>
    <n v="-163285.79999999999"/>
    <n v="-163285.79999999999"/>
    <s v="NG"/>
    <x v="0"/>
  </r>
  <r>
    <s v="400-05"/>
    <x v="3"/>
    <n v="0"/>
    <s v="31/01/20"/>
    <s v="31/01/20"/>
    <s v="SI206N00377"/>
    <m/>
    <s v="SETUP FEE &amp;USAGE GTB JAN"/>
    <s v="120006"/>
    <s v="20001337"/>
    <s v="MSH"/>
    <n v="0"/>
    <n v="163285.74"/>
    <n v="163285.74"/>
    <s v="NG"/>
    <x v="0"/>
  </r>
  <r>
    <s v="400-05"/>
    <x v="3"/>
    <n v="0"/>
    <s v="31/01/20"/>
    <s v="31/01/20"/>
    <s v="SI206N00385"/>
    <m/>
    <s v="SETUP FEE&amp; USAGE ZENI"/>
    <s v="120006"/>
    <s v="20001359"/>
    <s v="MSH"/>
    <n v="0"/>
    <n v="38190.47"/>
    <n v="38190.47"/>
    <s v="NG"/>
    <x v="0"/>
  </r>
  <r>
    <s v="400-05"/>
    <x v="3"/>
    <n v="0"/>
    <s v="31/01/20"/>
    <s v="31/01/20"/>
    <s v="SI206N00393"/>
    <m/>
    <s v="41 PRIME &amp; 12 ECO-FTECH"/>
    <s v="100015"/>
    <s v="20001386"/>
    <s v="MSH"/>
    <n v="0"/>
    <n v="952380.95"/>
    <n v="952380.95"/>
    <s v="NG"/>
    <x v="0"/>
  </r>
  <r>
    <s v="400-05"/>
    <x v="3"/>
    <n v="0"/>
    <s v="31/01/20"/>
    <s v="31/01/20"/>
    <s v="SI206N00397"/>
    <m/>
    <s v="20 PRIME &amp; 6 ECO"/>
    <s v="100017"/>
    <s v="20001402"/>
    <s v="MSH"/>
    <n v="0"/>
    <n v="466666.67"/>
    <n v="466666.67"/>
    <s v="NG"/>
    <x v="0"/>
  </r>
  <r>
    <s v="400-05"/>
    <x v="3"/>
    <n v="0"/>
    <d v="2020-01-02T00:00:00"/>
    <n v="43832"/>
    <s v="SI206N00414"/>
    <m/>
    <s v="135 PRIME/20 ECO SYS-KOJ"/>
    <s v="100016"/>
    <s v="20001540"/>
    <s v="MSH"/>
    <n v="0"/>
    <n v="2790697.67"/>
    <n v="2790697.67"/>
    <s v="NG"/>
    <x v="1"/>
  </r>
  <r>
    <s v="400-05"/>
    <x v="3"/>
    <n v="0"/>
    <s v="13/02/20"/>
    <s v="13/02/20"/>
    <s v="SI206N00439"/>
    <m/>
    <s v="48 PRIME SYSTEMS SOLD"/>
    <s v="100004"/>
    <s v="20001663"/>
    <s v="MSH"/>
    <n v="0"/>
    <n v="753488.37"/>
    <n v="753488.37"/>
    <s v="NG"/>
    <x v="1"/>
  </r>
  <r>
    <s v="400-05"/>
    <x v="3"/>
    <n v="0"/>
    <s v="13/02/20"/>
    <s v="13/02/20"/>
    <s v="SI206N00502"/>
    <m/>
    <s v="35 PRIME &amp; 15 ECO"/>
    <s v="100008"/>
    <s v="20001771"/>
    <s v="MSH"/>
    <n v="0"/>
    <n v="666666.72"/>
    <n v="666666.72"/>
    <s v="NG"/>
    <x v="1"/>
  </r>
  <r>
    <s v="400-05"/>
    <x v="3"/>
    <n v="0"/>
    <s v="13/02/20"/>
    <s v="13/02/20"/>
    <s v="SI206N00502"/>
    <m/>
    <s v="35 PRIME &amp; 15 ECO"/>
    <s v="100008"/>
    <s v="20001771"/>
    <s v="MSH"/>
    <n v="0"/>
    <n v="214285.66"/>
    <n v="214285.66"/>
    <s v="NG"/>
    <x v="1"/>
  </r>
  <r>
    <s v="400-05"/>
    <x v="3"/>
    <n v="0"/>
    <s v="19/02/20"/>
    <s v="19/02/20"/>
    <s v="SI206N00569"/>
    <m/>
    <s v="44 PRIME &amp; 8 ECO"/>
    <s v="100018"/>
    <s v="20001974"/>
    <s v="MSH"/>
    <n v="0"/>
    <n v="952380.95"/>
    <n v="952380.95"/>
    <s v="NG"/>
    <x v="1"/>
  </r>
  <r>
    <s v="400-05"/>
    <x v="3"/>
    <n v="0"/>
    <s v="19/02/20"/>
    <s v="19/02/20"/>
    <s v="SI206N00570"/>
    <m/>
    <s v="48 PRIME"/>
    <s v="100004"/>
    <s v="20001976"/>
    <s v="MSH"/>
    <n v="0"/>
    <n v="914285.71"/>
    <n v="914285.71"/>
    <s v="NG"/>
    <x v="1"/>
  </r>
  <r>
    <s v="400-05"/>
    <x v="3"/>
    <n v="0"/>
    <s v="19/02/20"/>
    <s v="19/02/20"/>
    <s v="SI206N00571"/>
    <m/>
    <s v="Reversal of 20001976"/>
    <s v="100004"/>
    <s v="20001977"/>
    <s v="MSH"/>
    <n v="0"/>
    <n v="-914285.71"/>
    <n v="-914285.71"/>
    <s v="NG"/>
    <x v="1"/>
  </r>
  <r>
    <s v="400-05"/>
    <x v="3"/>
    <n v="0"/>
    <s v="19/02/20"/>
    <s v="19/02/20"/>
    <s v="SI206N00572"/>
    <m/>
    <s v="41 PRIME &amp; 12 ECO-BALOGU"/>
    <s v="100019"/>
    <s v="20001978"/>
    <s v="MSH"/>
    <n v="0"/>
    <n v="952380.95"/>
    <n v="952380.95"/>
    <s v="NG"/>
    <x v="1"/>
  </r>
  <r>
    <s v="400-05"/>
    <x v="3"/>
    <n v="0"/>
    <s v="24/02/20"/>
    <s v="24/02/20"/>
    <s v="SI206N00629"/>
    <m/>
    <s v="20 PRIME"/>
    <s v="100010"/>
    <s v="20002289"/>
    <s v="MSH"/>
    <n v="0"/>
    <n v="952380.95"/>
    <n v="952380.95"/>
    <s v="NG"/>
    <x v="1"/>
  </r>
  <r>
    <s v="400-05"/>
    <x v="3"/>
    <n v="0"/>
    <s v="24/02/20"/>
    <s v="24/02/20"/>
    <s v="SI206N00630"/>
    <m/>
    <s v="44 PRIME &amp; 8 ECO SYS"/>
    <s v="100018"/>
    <s v="20002293"/>
    <s v="MSH"/>
    <n v="0"/>
    <n v="952380.95"/>
    <n v="952380.95"/>
    <s v="NG"/>
    <x v="1"/>
  </r>
  <r>
    <s v="400-05"/>
    <x v="3"/>
    <n v="0"/>
    <s v="24/02/20"/>
    <s v="24/02/20"/>
    <s v="SI206N00631"/>
    <m/>
    <s v="Reversal of 20002293"/>
    <s v="100018"/>
    <s v="20002312"/>
    <s v="MSH"/>
    <n v="0"/>
    <n v="-952380.95"/>
    <n v="-952380.95"/>
    <s v="NG"/>
    <x v="1"/>
  </r>
  <r>
    <s v="400-05"/>
    <x v="3"/>
    <n v="0"/>
    <s v="24/02/20"/>
    <s v="24/02/20"/>
    <s v="SI206N00726"/>
    <m/>
    <s v="22 PRIME &amp; 2 ECO"/>
    <s v="100020"/>
    <s v="20002595"/>
    <s v="MSH"/>
    <n v="0"/>
    <n v="447619.05"/>
    <n v="447619.05"/>
    <s v="NG"/>
    <x v="1"/>
  </r>
  <r>
    <s v="400-05"/>
    <x v="3"/>
    <n v="0"/>
    <s v="29/02/20"/>
    <s v="29/02/20"/>
    <s v="SI206N00743"/>
    <m/>
    <s v="SETUP FEE&amp; USAGE GTB"/>
    <s v="120006"/>
    <s v="20002643"/>
    <s v="MSH"/>
    <n v="0"/>
    <n v="110285.66"/>
    <n v="110285.66"/>
    <s v="NG"/>
    <x v="1"/>
  </r>
  <r>
    <s v="400-05"/>
    <x v="3"/>
    <n v="0"/>
    <s v="29/02/20"/>
    <s v="29/02/20"/>
    <s v="SI206N00744"/>
    <m/>
    <s v="SETUP FEE&amp; USAGE ZENITH"/>
    <s v="120006"/>
    <s v="20002644"/>
    <s v="MSH"/>
    <n v="0"/>
    <n v="57285.7"/>
    <n v="57285.7"/>
    <s v="NG"/>
    <x v="1"/>
  </r>
  <r>
    <s v="400-05"/>
    <x v="3"/>
    <n v="0"/>
    <s v="29/02/20"/>
    <s v="29/02/20"/>
    <s v="SI206N00785"/>
    <m/>
    <s v="Reversal of 20002643"/>
    <s v="120006"/>
    <s v="20002995"/>
    <s v="MSH"/>
    <n v="0"/>
    <n v="-110285.66"/>
    <n v="-110285.66"/>
    <s v="NG"/>
    <x v="1"/>
  </r>
  <r>
    <s v="400-05"/>
    <x v="3"/>
    <n v="0"/>
    <s v="29/02/20"/>
    <s v="29/02/20"/>
    <s v="SI206N00786"/>
    <m/>
    <s v="SETUP FEE&amp; USAGE GTB"/>
    <s v="120006"/>
    <s v="20002997"/>
    <s v="MSH"/>
    <n v="0"/>
    <n v="107720.87"/>
    <n v="107720.87"/>
    <s v="NG"/>
    <x v="1"/>
  </r>
  <r>
    <s v="400-05"/>
    <x v="3"/>
    <n v="0"/>
    <s v="29/02/20"/>
    <s v="29/02/20"/>
    <s v="SI206N00787"/>
    <m/>
    <s v="Reversal of 20002644"/>
    <s v="120006"/>
    <s v="20002998"/>
    <s v="MSH"/>
    <n v="0"/>
    <n v="-57285.7"/>
    <n v="-57285.7"/>
    <s v="NG"/>
    <x v="1"/>
  </r>
  <r>
    <s v="400-05"/>
    <x v="3"/>
    <n v="0"/>
    <s v="29/02/20"/>
    <s v="29/02/20"/>
    <s v="SI206N00788"/>
    <m/>
    <s v="SETUP FEE&amp; USAGE ZENITH"/>
    <s v="120006"/>
    <s v="20002999"/>
    <s v="MSH"/>
    <n v="0"/>
    <n v="55953.45"/>
    <n v="55953.45"/>
    <s v="NG"/>
    <x v="1"/>
  </r>
  <r>
    <s v="400-05"/>
    <x v="3"/>
    <n v="0"/>
    <s v="29/02/20"/>
    <s v="24/02/20"/>
    <s v="SI206N00791"/>
    <m/>
    <s v="Reversal of 20002595"/>
    <s v="100020"/>
    <s v="20003002"/>
    <s v="MSH"/>
    <n v="0"/>
    <n v="-447619.05"/>
    <n v="-447619.05"/>
    <s v="NG"/>
    <x v="1"/>
  </r>
  <r>
    <s v="400-05"/>
    <x v="3"/>
    <n v="0"/>
    <s v="29/02/20"/>
    <s v="29/02/20"/>
    <s v="SI206N00792"/>
    <m/>
    <s v="22 PRIME &amp; 2 ECO"/>
    <s v="100020"/>
    <s v="20003003"/>
    <s v="MSH"/>
    <n v="0"/>
    <n v="437209.3"/>
    <n v="437209.3"/>
    <s v="NG"/>
    <x v="1"/>
  </r>
  <r>
    <s v="400-05"/>
    <x v="3"/>
    <n v="0"/>
    <s v="29/02/20"/>
    <s v="19/02/20"/>
    <s v="SI206N00793"/>
    <m/>
    <s v="Reversal of 20001978"/>
    <s v="100019"/>
    <s v="20003004"/>
    <s v="MSH"/>
    <n v="0"/>
    <n v="-952380.95"/>
    <n v="-952380.95"/>
    <s v="NG"/>
    <x v="1"/>
  </r>
  <r>
    <s v="400-05"/>
    <x v="3"/>
    <n v="0"/>
    <s v="29/02/20"/>
    <s v="29/02/20"/>
    <s v="SI206N00794"/>
    <m/>
    <s v="41 PRIME &amp; 12 ECO-BALOGU"/>
    <s v="100019"/>
    <s v="20003005"/>
    <s v="MSH"/>
    <n v="0"/>
    <n v="930232.56"/>
    <n v="930232.56"/>
    <s v="NG"/>
    <x v="1"/>
  </r>
  <r>
    <s v="400-05"/>
    <x v="3"/>
    <n v="0"/>
    <s v="29/02/20"/>
    <s v="19/02/20"/>
    <s v="SI206N00795"/>
    <m/>
    <s v="Reversal of 20001974"/>
    <s v="100018"/>
    <s v="20003006"/>
    <s v="MSH"/>
    <n v="0"/>
    <n v="-952380.95"/>
    <n v="-952380.95"/>
    <s v="NG"/>
    <x v="1"/>
  </r>
  <r>
    <s v="400-05"/>
    <x v="3"/>
    <n v="0"/>
    <s v="29/02/20"/>
    <s v="29/02/20"/>
    <s v="SI206N00796"/>
    <m/>
    <s v="44 PRIME &amp; 8 ECO"/>
    <s v="100018"/>
    <s v="20003007"/>
    <s v="MSH"/>
    <n v="0"/>
    <n v="930232.56"/>
    <n v="930232.56"/>
    <s v="NG"/>
    <x v="1"/>
  </r>
  <r>
    <s v="400-05"/>
    <x v="3"/>
    <n v="0"/>
    <s v="29/02/20"/>
    <s v="24/02/20"/>
    <s v="SI206N00797"/>
    <m/>
    <s v="Reversal of 20002289"/>
    <s v="100010"/>
    <s v="20003008"/>
    <s v="MSH"/>
    <n v="0"/>
    <n v="-952380.95"/>
    <n v="-952380.95"/>
    <s v="NG"/>
    <x v="1"/>
  </r>
  <r>
    <s v="400-05"/>
    <x v="3"/>
    <n v="0"/>
    <s v="29/02/20"/>
    <s v="29/02/20"/>
    <s v="SI206N00798"/>
    <m/>
    <s v="20 PRIME"/>
    <s v="100010"/>
    <s v="20003009"/>
    <s v="MSH"/>
    <n v="0"/>
    <n v="930232.56"/>
    <n v="930232.56"/>
    <s v="NG"/>
    <x v="1"/>
  </r>
  <r>
    <s v="400-05"/>
    <x v="3"/>
    <n v="0"/>
    <s v="29/02/20"/>
    <s v="13/02/20"/>
    <s v="SI206N00799"/>
    <m/>
    <s v="Reversal of 20001771"/>
    <s v="100008"/>
    <s v="20003010"/>
    <s v="MSH"/>
    <n v="0"/>
    <n v="-666666.72"/>
    <n v="-666666.72"/>
    <s v="NG"/>
    <x v="1"/>
  </r>
  <r>
    <s v="400-05"/>
    <x v="3"/>
    <n v="0"/>
    <s v="29/02/20"/>
    <s v="13/02/20"/>
    <s v="SI206N00799"/>
    <m/>
    <s v="Reversal of 20001771"/>
    <s v="100008"/>
    <s v="20003010"/>
    <s v="MSH"/>
    <n v="0"/>
    <n v="-214285.66"/>
    <n v="-214285.66"/>
    <s v="NG"/>
    <x v="1"/>
  </r>
  <r>
    <s v="400-05"/>
    <x v="3"/>
    <n v="0"/>
    <s v="29/02/20"/>
    <s v="29/02/20"/>
    <s v="SI206N00800"/>
    <m/>
    <s v="35 PRIME &amp; 15 ECO"/>
    <s v="100008"/>
    <s v="20003011"/>
    <s v="MSH"/>
    <n v="0"/>
    <n v="860465.12"/>
    <n v="860465.12"/>
    <s v="NG"/>
    <x v="1"/>
  </r>
  <r>
    <s v="400-05"/>
    <x v="3"/>
    <n v="0"/>
    <d v="2020-11-03T00:00:00"/>
    <n v="44138"/>
    <s v="REPLCMNT 20 PRIM"/>
    <m/>
    <s v="REFUND FOR 20 ECO SYS"/>
    <s v="100007"/>
    <s v="20003855"/>
    <s v="M"/>
    <n v="419396.82"/>
    <n v="0"/>
    <n v="-419396.82"/>
    <s v="NG"/>
    <x v="2"/>
  </r>
  <r>
    <s v="400-05"/>
    <x v="3"/>
    <n v="0"/>
    <s v="16/03/20"/>
    <s v="16/03/20"/>
    <s v="SI206N00912"/>
    <m/>
    <s v="121 PRIME &amp; 21 BULBS"/>
    <s v="100007"/>
    <s v="20003531"/>
    <s v="MSH"/>
    <n v="0"/>
    <n v="2251162.65"/>
    <n v="2251162.65"/>
    <s v="NG"/>
    <x v="2"/>
  </r>
  <r>
    <s v="400-05"/>
    <x v="3"/>
    <n v="0"/>
    <s v="16/03/20"/>
    <s v="16/03/20"/>
    <s v="SI206N00914"/>
    <m/>
    <s v="50 PRIME SYS"/>
    <s v="100014"/>
    <s v="20003537"/>
    <s v="MSH"/>
    <n v="0"/>
    <n v="930232.56"/>
    <n v="930232.56"/>
    <s v="NG"/>
    <x v="2"/>
  </r>
  <r>
    <s v="400-05"/>
    <x v="3"/>
    <n v="0"/>
    <s v="23/03/20"/>
    <s v="23/03/20"/>
    <s v="SI206N00993"/>
    <m/>
    <s v="40 PRIME"/>
    <s v="100009"/>
    <s v="20003798"/>
    <s v="MSH"/>
    <n v="0"/>
    <n v="744186.05"/>
    <n v="744186.05"/>
    <s v="NG"/>
    <x v="2"/>
  </r>
  <r>
    <s v="400-05"/>
    <x v="3"/>
    <n v="0"/>
    <s v="23/03/20"/>
    <s v="23/03/20"/>
    <s v="SI206N01020"/>
    <m/>
    <s v="88 PRIME &amp; 16 ECO"/>
    <s v="100021"/>
    <s v="20003907"/>
    <s v="MSH"/>
    <n v="0"/>
    <n v="1637209.13"/>
    <n v="1637209.13"/>
    <s v="NG"/>
    <x v="2"/>
  </r>
  <r>
    <s v="400-05"/>
    <x v="3"/>
    <n v="0"/>
    <s v="23/03/20"/>
    <s v="23/03/20"/>
    <s v="SI206N01020"/>
    <m/>
    <s v="88 PRIME &amp; 16 ECO"/>
    <s v="100021"/>
    <s v="20003907"/>
    <s v="MSH"/>
    <n v="0"/>
    <n v="223255.99"/>
    <n v="223255.99"/>
    <s v="NG"/>
    <x v="2"/>
  </r>
  <r>
    <s v="400-05"/>
    <x v="3"/>
    <n v="0"/>
    <s v="31/03/20"/>
    <s v="31/03/20"/>
    <s v="SI206N01029"/>
    <m/>
    <s v="SETUP FEE&amp; USAGE GTB"/>
    <s v="120006"/>
    <s v="20003945"/>
    <s v="MSH"/>
    <n v="0"/>
    <n v="111907.04"/>
    <n v="111907.04"/>
    <s v="NG"/>
    <x v="2"/>
  </r>
  <r>
    <s v="400-05"/>
    <x v="3"/>
    <n v="0"/>
    <s v="31/03/20"/>
    <s v="31/03/20"/>
    <s v="SI206N01084"/>
    <m/>
    <s v="PRIME GTB"/>
    <s v="120006"/>
    <s v="20004183"/>
    <s v="MSH"/>
    <n v="0"/>
    <n v="18604.650000000001"/>
    <n v="18604.650000000001"/>
    <s v="NG"/>
    <x v="2"/>
  </r>
  <r>
    <s v="400-05"/>
    <x v="3"/>
    <n v="0"/>
    <s v="31/03/20"/>
    <s v="31/03/20"/>
    <s v="SI206N01089"/>
    <m/>
    <s v="SETUP &amp; USAGE GTB"/>
    <s v="120006"/>
    <s v="20004384"/>
    <s v="MSH"/>
    <n v="0"/>
    <n v="18651.169999999998"/>
    <n v="18651.169999999998"/>
    <s v="NG"/>
    <x v="2"/>
  </r>
  <r>
    <s v="400-05"/>
    <x v="3"/>
    <n v="0"/>
    <s v="31/03/20"/>
    <s v="31/03/20"/>
    <s v="SI206N01091"/>
    <m/>
    <s v="44 PRIME &amp; 8 ECO"/>
    <s v="100022"/>
    <s v="20004550"/>
    <s v="MSH"/>
    <n v="0"/>
    <n v="930232.56"/>
    <n v="930232.56"/>
    <s v="NG"/>
    <x v="2"/>
  </r>
  <r>
    <s v="400-05"/>
    <x v="3"/>
    <n v="0"/>
    <s v="31/03/20"/>
    <s v="31/03/20"/>
    <s v="SI206N01092"/>
    <m/>
    <s v="10 PRIME SYSTEMS"/>
    <s v="100023"/>
    <s v="20004620"/>
    <s v="MSH"/>
    <n v="0"/>
    <n v="186046.51"/>
    <n v="186046.51"/>
    <s v="NG"/>
    <x v="2"/>
  </r>
  <r>
    <s v="400-05"/>
    <x v="3"/>
    <n v="0"/>
    <s v="14/04/20"/>
    <s v="14/04/20"/>
    <s v="SI206N01098"/>
    <m/>
    <s v="PRIME &amp; ECO GTB"/>
    <s v="120006"/>
    <s v="20004804"/>
    <s v="MSH"/>
    <n v="0"/>
    <n v="130558.08"/>
    <n v="130558.08"/>
    <s v="NG"/>
    <x v="3"/>
  </r>
  <r>
    <s v="400-05"/>
    <x v="3"/>
    <n v="0"/>
    <s v="14/04/20"/>
    <s v="14/04/20"/>
    <s v="SI206N01099"/>
    <m/>
    <s v="SV GAMING LTD"/>
    <s v="120006"/>
    <s v="20004806"/>
    <s v="MSH"/>
    <n v="0"/>
    <n v="595348.77"/>
    <n v="595348.77"/>
    <s v="NG"/>
    <x v="3"/>
  </r>
  <r>
    <s v="400-05"/>
    <x v="3"/>
    <n v="0"/>
    <s v="14/04/20"/>
    <s v="14/04/20"/>
    <s v="SI206N01100"/>
    <m/>
    <s v="CSCS LTD 6 CUSTOMERS"/>
    <s v="120006"/>
    <s v="20004809"/>
    <s v="MSH"/>
    <n v="0"/>
    <n v="111627.91"/>
    <n v="111627.91"/>
    <s v="NG"/>
    <x v="3"/>
  </r>
  <r>
    <s v="400-05"/>
    <x v="3"/>
    <n v="0"/>
    <s v="20/04/20"/>
    <s v="20/04/20"/>
    <s v="SI206N01218"/>
    <m/>
    <s v="25 PRIME"/>
    <s v="100017"/>
    <s v="20005397"/>
    <s v="MSH"/>
    <n v="0"/>
    <n v="465116.28"/>
    <n v="465116.28"/>
    <s v="NG"/>
    <x v="3"/>
  </r>
  <r>
    <s v="400-05"/>
    <x v="3"/>
    <n v="0"/>
    <s v="30/04/20"/>
    <s v="30/04/20"/>
    <s v="SI206N01311"/>
    <m/>
    <s v="PRIME &amp; ECO GTB"/>
    <s v="120006"/>
    <s v="20005609"/>
    <s v="MSH"/>
    <n v="0"/>
    <n v="66232.539999999994"/>
    <n v="66232.539999999994"/>
    <s v="NG"/>
    <x v="3"/>
  </r>
  <r>
    <s v="400-05"/>
    <x v="3"/>
    <n v="0"/>
    <s v="30/04/20"/>
    <s v="30/04/20"/>
    <s v="SI206N01312"/>
    <m/>
    <s v="SV GAME PRIME GTB"/>
    <s v="120006"/>
    <s v="20005621"/>
    <s v="MSH"/>
    <n v="0"/>
    <n v="37209.300000000003"/>
    <n v="37209.300000000003"/>
    <s v="NG"/>
    <x v="3"/>
  </r>
  <r>
    <s v="400-05"/>
    <x v="3"/>
    <n v="0"/>
    <s v="30/04/20"/>
    <s v="30/04/20"/>
    <s v="SI206N01314"/>
    <m/>
    <s v="7 PRIME GTB CSCS"/>
    <s v="120006"/>
    <s v="20005623"/>
    <s v="MSH"/>
    <n v="0"/>
    <n v="130232.57"/>
    <n v="130232.57"/>
    <s v="NG"/>
    <x v="3"/>
  </r>
  <r>
    <s v="400-05"/>
    <x v="3"/>
    <n v="0"/>
    <s v="30/04/20"/>
    <s v="30/04/20"/>
    <s v="SI206N01331"/>
    <m/>
    <s v="OUTRIGHT SALES PRIME CEO"/>
    <s v="120099"/>
    <s v="20005819"/>
    <s v="MSH"/>
    <n v="0"/>
    <n v="18604.650000000001"/>
    <n v="18604.650000000001"/>
    <s v="NG"/>
    <x v="3"/>
  </r>
  <r>
    <s v="400-05"/>
    <x v="3"/>
    <n v="0"/>
    <d v="2020-11-05T00:00:00"/>
    <n v="44140"/>
    <s v="SI206N01478"/>
    <m/>
    <s v="25 PRIME SYSTEMS"/>
    <s v="100020"/>
    <s v="20006552"/>
    <s v="MSH"/>
    <n v="0"/>
    <n v="465116.28"/>
    <n v="465116.28"/>
    <s v="NG"/>
    <x v="4"/>
  </r>
  <r>
    <s v="400-05"/>
    <x v="3"/>
    <n v="0"/>
    <s v="15/05/20"/>
    <s v="15/05/20"/>
    <s v="SI206N01561"/>
    <m/>
    <s v="GTB PRIME &amp; ECO"/>
    <s v="120006"/>
    <s v="20006730"/>
    <s v="MSH"/>
    <n v="0"/>
    <n v="140837.32"/>
    <n v="140837.32"/>
    <s v="NG"/>
    <x v="4"/>
  </r>
  <r>
    <s v="400-05"/>
    <x v="3"/>
    <n v="0"/>
    <s v="15/05/20"/>
    <s v="15/05/20"/>
    <s v="SI206N01562"/>
    <m/>
    <s v="3 PRIME SV GAMING"/>
    <s v="120006"/>
    <s v="20006734"/>
    <s v="MSH"/>
    <n v="0"/>
    <n v="55813.95"/>
    <n v="55813.95"/>
    <s v="NG"/>
    <x v="4"/>
  </r>
  <r>
    <s v="400-05"/>
    <x v="3"/>
    <n v="0"/>
    <s v="15/05/20"/>
    <s v="15/05/20"/>
    <s v="SI206N01563"/>
    <m/>
    <s v="2 PRIME FOR CSCS"/>
    <s v="120006"/>
    <s v="20006736"/>
    <s v="MSH"/>
    <n v="0"/>
    <n v="37209.31"/>
    <n v="37209.31"/>
    <s v="NG"/>
    <x v="4"/>
  </r>
  <r>
    <s v="400-05"/>
    <x v="3"/>
    <n v="0"/>
    <s v="15/05/20"/>
    <s v="15/05/20"/>
    <s v="SI206N01564"/>
    <m/>
    <s v="50 PRIME FOR HIS"/>
    <s v="120006"/>
    <s v="20006738"/>
    <s v="MSH"/>
    <n v="0"/>
    <n v="930232.45"/>
    <n v="930232.45"/>
    <s v="NG"/>
    <x v="4"/>
  </r>
  <r>
    <s v="400-05"/>
    <x v="3"/>
    <n v="0"/>
    <s v="15/05/20"/>
    <s v="15/05/20"/>
    <s v="SI206N01599"/>
    <m/>
    <s v="50 PRIME SYSTEMS(B9)"/>
    <s v="100006"/>
    <s v="20006893"/>
    <s v="MSH"/>
    <n v="0"/>
    <n v="930232.56"/>
    <n v="930232.56"/>
    <s v="NG"/>
    <x v="4"/>
  </r>
  <r>
    <s v="400-05"/>
    <x v="3"/>
    <n v="0"/>
    <s v="25/05/20"/>
    <s v="25/05/20"/>
    <s v="SI206N01635"/>
    <m/>
    <s v="75 PRIME"/>
    <s v="100018"/>
    <s v="20007102"/>
    <s v="MSH"/>
    <n v="0"/>
    <n v="1395348.84"/>
    <n v="1395348.84"/>
    <s v="NG"/>
    <x v="4"/>
  </r>
  <r>
    <s v="400-05"/>
    <x v="3"/>
    <n v="0"/>
    <s v="31/05/20"/>
    <s v="31/05/20"/>
    <s v="SI206N01774"/>
    <m/>
    <s v="GTB PRIME &amp; ECO MAY"/>
    <s v="120006"/>
    <s v="20007425"/>
    <s v="MSH"/>
    <n v="0"/>
    <n v="89069.72"/>
    <n v="89069.72"/>
    <s v="NG"/>
    <x v="4"/>
  </r>
  <r>
    <s v="400-05"/>
    <x v="3"/>
    <n v="0"/>
    <s v="31/05/20"/>
    <s v="31/05/20"/>
    <s v="SI206N01775"/>
    <m/>
    <s v="SV GAMING 7 SYS"/>
    <s v="120006"/>
    <s v="20007427"/>
    <s v="MSH"/>
    <n v="0"/>
    <n v="130232.54"/>
    <n v="130232.54"/>
    <s v="NG"/>
    <x v="4"/>
  </r>
  <r>
    <s v="400-05"/>
    <x v="3"/>
    <n v="0"/>
    <s v="31/05/20"/>
    <s v="31/05/20"/>
    <s v="SI206N01778"/>
    <m/>
    <s v="IHS 50 PRIME 2ND BATCH"/>
    <s v="120006"/>
    <s v="20007630"/>
    <s v="MSH"/>
    <n v="0"/>
    <n v="930232.45"/>
    <n v="930232.45"/>
    <s v="NG"/>
    <x v="4"/>
  </r>
  <r>
    <s v="400-05"/>
    <x v="3"/>
    <n v="0"/>
    <s v="31/05/20"/>
    <s v="31/05/20"/>
    <s v="SI206N01802"/>
    <m/>
    <s v="25 PRIME SYSTEMS"/>
    <s v="100018"/>
    <s v="20007727"/>
    <s v="MSH"/>
    <n v="0"/>
    <n v="465116.28"/>
    <n v="465116.28"/>
    <s v="NG"/>
    <x v="4"/>
  </r>
  <r>
    <s v="400-05"/>
    <x v="3"/>
    <n v="0"/>
    <s v="15/06/20"/>
    <s v="15/06/20"/>
    <s v="SI206N01869"/>
    <m/>
    <s v="GTB 235PRIME &amp; 22ECO"/>
    <s v="120006"/>
    <s v="20008120"/>
    <s v="MSH"/>
    <n v="0"/>
    <n v="111907.01"/>
    <n v="111907.01"/>
    <s v="NG"/>
    <x v="5"/>
  </r>
  <r>
    <s v="400-05"/>
    <x v="3"/>
    <n v="0"/>
    <s v="15/06/20"/>
    <s v="15/06/20"/>
    <s v="SI206N01891"/>
    <m/>
    <s v="WAVES 25 PRIME"/>
    <s v="120006"/>
    <s v="20008210"/>
    <s v="MSH"/>
    <n v="0"/>
    <n v="465116.23"/>
    <n v="465116.23"/>
    <s v="NG"/>
    <x v="5"/>
  </r>
  <r>
    <s v="400-05"/>
    <x v="3"/>
    <n v="0"/>
    <s v="15/06/20"/>
    <s v="15/06/20"/>
    <s v="SI206N01895"/>
    <m/>
    <s v="WAVES 2 PRIME"/>
    <s v="120006"/>
    <s v="20008214"/>
    <s v="MSH"/>
    <n v="0"/>
    <n v="37209.300000000003"/>
    <n v="37209.300000000003"/>
    <s v="NG"/>
    <x v="5"/>
  </r>
  <r>
    <s v="400-05"/>
    <x v="3"/>
    <n v="0"/>
    <s v="15/06/20"/>
    <s v="15/06/20"/>
    <s v="SI206N01896"/>
    <m/>
    <s v="SV GAMING 4 PRIME"/>
    <s v="120006"/>
    <s v="20008215"/>
    <s v="MSH"/>
    <n v="0"/>
    <n v="74418.600000000006"/>
    <n v="74418.600000000006"/>
    <s v="NG"/>
    <x v="5"/>
  </r>
  <r>
    <s v="400-05"/>
    <x v="3"/>
    <n v="0"/>
    <s v="23/06/20"/>
    <s v="23/06/20"/>
    <s v="SI206N01995"/>
    <m/>
    <s v="13 PRIME &amp; 2 ECO"/>
    <s v="100020"/>
    <s v="20008469"/>
    <s v="MSH"/>
    <n v="0"/>
    <n v="241860.44"/>
    <n v="241860.44"/>
    <s v="NG"/>
    <x v="5"/>
  </r>
  <r>
    <s v="400-05"/>
    <x v="3"/>
    <n v="0"/>
    <s v="23/06/20"/>
    <s v="23/06/20"/>
    <s v="SI206N01995"/>
    <m/>
    <s v="13 PRIME &amp; 2 ECO"/>
    <s v="100020"/>
    <s v="20008469"/>
    <s v="MSH"/>
    <n v="0"/>
    <n v="27907"/>
    <n v="27907"/>
    <s v="NG"/>
    <x v="5"/>
  </r>
  <r>
    <s v="400-05"/>
    <x v="3"/>
    <n v="0"/>
    <s v="23/06/20"/>
    <s v="23/06/20"/>
    <s v="SI206N01997"/>
    <m/>
    <s v="25 PRIME 2 ECO"/>
    <s v="100017"/>
    <s v="20008473"/>
    <s v="MSH"/>
    <n v="0"/>
    <n v="493023.26"/>
    <n v="493023.26"/>
    <s v="NG"/>
    <x v="5"/>
  </r>
  <r>
    <s v="400-05"/>
    <x v="3"/>
    <n v="0"/>
    <s v="27/06/20"/>
    <s v="27/06/20"/>
    <s v="SI206N02028"/>
    <m/>
    <s v="50 PRIME IHS"/>
    <s v="120006"/>
    <s v="20008720"/>
    <s v="MSH"/>
    <n v="0"/>
    <n v="930232.5"/>
    <n v="930232.5"/>
    <s v="NG"/>
    <x v="5"/>
  </r>
  <r>
    <s v="400-05"/>
    <x v="3"/>
    <n v="0"/>
    <s v="30/06/20"/>
    <s v="30/06/20"/>
    <s v="SI206N02029"/>
    <m/>
    <s v="GTB PRIME &amp; ECO"/>
    <s v="120006"/>
    <s v="20008756"/>
    <s v="MSH"/>
    <n v="0"/>
    <n v="130558.08"/>
    <n v="130558.08"/>
    <s v="NG"/>
    <x v="5"/>
  </r>
  <r>
    <s v="400-05"/>
    <x v="3"/>
    <n v="0"/>
    <s v="30/06/20"/>
    <s v="30/06/20"/>
    <s v="SI206N02030"/>
    <m/>
    <s v="SV GAMING CORPORATE SALE"/>
    <s v="120006"/>
    <s v="20008759"/>
    <s v="MSH"/>
    <n v="0"/>
    <n v="74418.600000000006"/>
    <n v="74418.600000000006"/>
    <s v="NG"/>
    <x v="5"/>
  </r>
  <r>
    <s v="400-05"/>
    <x v="3"/>
    <n v="0"/>
    <s v="30/06/20"/>
    <s v="30/06/20"/>
    <s v="SI206N02031"/>
    <m/>
    <s v="ZENITH PRIME &amp; ECO"/>
    <s v="120006"/>
    <s v="20008760"/>
    <s v="MSH"/>
    <n v="0"/>
    <n v="18604.650000000001"/>
    <n v="18604.650000000001"/>
    <s v="NG"/>
    <x v="5"/>
  </r>
  <r>
    <s v="400-05"/>
    <x v="3"/>
    <n v="0"/>
    <s v="30/06/20"/>
    <s v="30/06/20"/>
    <s v="SI206N02076"/>
    <m/>
    <s v="40 PRIME"/>
    <s v="100004"/>
    <s v="20008882"/>
    <s v="MSH"/>
    <n v="0"/>
    <n v="701906.98"/>
    <n v="701906.98"/>
    <s v="NG"/>
    <x v="5"/>
  </r>
  <r>
    <s v="400-05"/>
    <x v="3"/>
    <n v="0"/>
    <s v="30/06/20"/>
    <s v="30/06/20"/>
    <s v="SI206N02077"/>
    <m/>
    <s v="30 PRIME"/>
    <s v="100026"/>
    <s v="20008884"/>
    <s v="MSH"/>
    <n v="0"/>
    <n v="558139.53"/>
    <n v="558139.53"/>
    <s v="NG"/>
    <x v="5"/>
  </r>
  <r>
    <s v="400-05"/>
    <x v="3"/>
    <n v="0"/>
    <s v="30/06/20"/>
    <s v="30/06/20"/>
    <s v="SI206N02080"/>
    <m/>
    <s v="50 PRIME 50 BULBS 5 FAN"/>
    <s v="100009"/>
    <s v="20008890"/>
    <s v="MSH"/>
    <n v="0"/>
    <n v="930232.56"/>
    <n v="930232.56"/>
    <s v="NG"/>
    <x v="5"/>
  </r>
  <r>
    <s v="400-05"/>
    <x v="3"/>
    <n v="0"/>
    <s v="30/06/20"/>
    <s v="30/06/20"/>
    <s v="SI206N02083"/>
    <m/>
    <s v="50 PRIME EAST ATLANTIC"/>
    <s v="100008"/>
    <s v="20008896"/>
    <s v="MSH"/>
    <n v="0"/>
    <n v="930232.56"/>
    <n v="930232.56"/>
    <s v="NG"/>
    <x v="5"/>
  </r>
  <r>
    <s v="400-05"/>
    <x v="3"/>
    <n v="0"/>
    <s v="30/06/20"/>
    <s v="30/06/20"/>
    <s v="SI206N02084"/>
    <m/>
    <s v="10 ECO LADORITE"/>
    <s v="100009"/>
    <s v="20008898"/>
    <s v="MSH"/>
    <n v="0"/>
    <n v="158139.53"/>
    <n v="158139.53"/>
    <s v="NG"/>
    <x v="5"/>
  </r>
  <r>
    <s v="400-05"/>
    <x v="3"/>
    <n v="0"/>
    <s v="30/06/20"/>
    <s v="30/06/20"/>
    <s v="SI206N02116"/>
    <m/>
    <s v="Reversal of 20008890"/>
    <s v="100009"/>
    <s v="20009232"/>
    <s v="MSH"/>
    <n v="0"/>
    <n v="-930232.56"/>
    <n v="-930232.56"/>
    <s v="NG"/>
    <x v="5"/>
  </r>
  <r>
    <s v="400-05"/>
    <x v="3"/>
    <n v="0"/>
    <s v="30/06/20"/>
    <s v="30/06/20"/>
    <s v="SI206N02117"/>
    <m/>
    <s v="50 PRIME/50 BULBS/5 FANS"/>
    <s v="100009"/>
    <s v="20009234"/>
    <s v="MSH"/>
    <n v="0"/>
    <n v="988372.15"/>
    <n v="988372.15"/>
    <s v="NG"/>
    <x v="5"/>
  </r>
  <r>
    <s v="400-05"/>
    <x v="3"/>
    <n v="0"/>
    <s v="30/06/20"/>
    <s v="30/06/20"/>
    <s v="SI206N02119"/>
    <m/>
    <s v="Reversal of 20008896"/>
    <s v="100008"/>
    <s v="20009241"/>
    <s v="MSH"/>
    <n v="0"/>
    <n v="-930232.56"/>
    <n v="-930232.56"/>
    <s v="NG"/>
    <x v="5"/>
  </r>
  <r>
    <s v="400-05"/>
    <x v="3"/>
    <n v="0"/>
    <s v="30/06/20"/>
    <s v="30/06/20"/>
    <s v="SI206N02125"/>
    <m/>
    <s v="GTB BLAZE 2 SYS"/>
    <s v="120006"/>
    <s v="20009272"/>
    <s v="MSH"/>
    <n v="0"/>
    <n v="46511.62"/>
    <n v="46511.62"/>
    <s v="NG"/>
    <x v="5"/>
  </r>
  <r>
    <s v="400-05"/>
    <x v="3"/>
    <n v="0"/>
    <s v="30/06/20"/>
    <s v="30/06/20"/>
    <s v="SI206N02134"/>
    <m/>
    <s v="40 PRIME 10 ECO"/>
    <s v="100010"/>
    <s v="20009332"/>
    <s v="MSH"/>
    <n v="0"/>
    <n v="883720.93"/>
    <n v="883720.93"/>
    <s v="NG"/>
    <x v="5"/>
  </r>
  <r>
    <s v="400-05"/>
    <x v="3"/>
    <n v="0"/>
    <s v="30/06/20"/>
    <s v="30/06/20"/>
    <s v="SI206N02135"/>
    <m/>
    <s v="GTB 4 PRIME"/>
    <s v="120006"/>
    <s v="20009334"/>
    <s v="MSH"/>
    <n v="0"/>
    <n v="18651.16"/>
    <n v="18651.16"/>
    <s v="NG"/>
    <x v="5"/>
  </r>
  <r>
    <s v="400-05"/>
    <x v="3"/>
    <n v="0"/>
    <s v="30/06/20"/>
    <s v="30/06/20"/>
    <s v="SI206N02138"/>
    <m/>
    <s v="50 PRIME"/>
    <s v="100008"/>
    <s v="20009344"/>
    <s v="MSH"/>
    <n v="0"/>
    <n v="988372.09"/>
    <n v="988372.09"/>
    <s v="NG"/>
    <x v="5"/>
  </r>
  <r>
    <s v="400-05"/>
    <x v="3"/>
    <n v="0"/>
    <s v="30/06/20"/>
    <s v="30/06/20"/>
    <s v="SI206N02139"/>
    <m/>
    <s v="Reversal of 20008756"/>
    <s v="120006"/>
    <s v="20009389"/>
    <s v="MSH"/>
    <n v="0"/>
    <n v="-130558.08"/>
    <n v="-130558.08"/>
    <s v="NG"/>
    <x v="5"/>
  </r>
  <r>
    <s v="400-05"/>
    <x v="3"/>
    <n v="0"/>
    <s v="30/06/20"/>
    <s v="30/06/20"/>
    <s v="SI206N02140"/>
    <m/>
    <s v="GTB PRIME &amp; ECO"/>
    <s v="120006"/>
    <s v="20009391"/>
    <s v="MSH"/>
    <n v="0"/>
    <n v="111906.88"/>
    <n v="111906.88"/>
    <s v="NG"/>
    <x v="5"/>
  </r>
  <r>
    <s v="400-05"/>
    <x v="3"/>
    <n v="0"/>
    <s v="30/06/20"/>
    <s v="30/06/20"/>
    <s v="SI206N02171"/>
    <m/>
    <s v="PRICE DIFF 43 PRIME"/>
    <s v="100004"/>
    <s v="20009580"/>
    <s v="MSH"/>
    <n v="0"/>
    <n v="50000"/>
    <n v="50000"/>
    <s v="NG"/>
    <x v="5"/>
  </r>
  <r>
    <s v="400-05"/>
    <x v="3"/>
    <n v="0"/>
    <s v="30/06/20"/>
    <s v="30/06/20"/>
    <s v="SI206N02173"/>
    <m/>
    <s v="PRICE DIFF 38PRIME 11ECO"/>
    <s v="100006"/>
    <s v="20009584"/>
    <s v="MSH"/>
    <n v="0"/>
    <n v="64651.16"/>
    <n v="64651.16"/>
    <s v="NG"/>
    <x v="5"/>
  </r>
  <r>
    <s v="400-05"/>
    <x v="3"/>
    <n v="0"/>
    <s v="30/06/20"/>
    <s v="30/06/20"/>
    <s v="SI206N02174"/>
    <m/>
    <s v="PRICE DIFF 3 ECO"/>
    <s v="100023"/>
    <s v="20009595"/>
    <s v="MSH"/>
    <n v="0"/>
    <n v="5581.39"/>
    <n v="5581.39"/>
    <s v="NG"/>
    <x v="5"/>
  </r>
  <r>
    <s v="400-05"/>
    <x v="3"/>
    <n v="0"/>
    <s v="30/06/20"/>
    <s v="30/06/20"/>
    <s v="SI206N02175"/>
    <m/>
    <s v="PRICE DIFF 29 PRME"/>
    <s v="100026"/>
    <s v="20009601"/>
    <s v="MSH"/>
    <n v="0"/>
    <n v="33720.93"/>
    <n v="33720.93"/>
    <s v="NG"/>
    <x v="5"/>
  </r>
  <r>
    <s v="400-05"/>
    <x v="3"/>
    <n v="0"/>
    <s v="30/06/20"/>
    <s v="30/06/20"/>
    <s v="SI206N02178"/>
    <m/>
    <s v="PRICE DIFF 3PRIME 5 ECO"/>
    <s v="100008"/>
    <s v="20009611"/>
    <s v="MSH"/>
    <n v="0"/>
    <n v="12790.7"/>
    <n v="12790.7"/>
    <s v="NG"/>
    <x v="5"/>
  </r>
  <r>
    <s v="400-05"/>
    <x v="3"/>
    <n v="0"/>
    <s v="30/06/20"/>
    <s v="30/06/20"/>
    <s v="SI206N02186"/>
    <m/>
    <s v="PRICE DIFF 3PRIME 5 EO"/>
    <s v="100008"/>
    <s v="20009624"/>
    <s v="MSH"/>
    <n v="0"/>
    <n v="12790.7"/>
    <n v="12790.7"/>
    <s v="NG"/>
    <x v="5"/>
  </r>
  <r>
    <s v="400-05"/>
    <x v="3"/>
    <n v="0"/>
    <s v="30/06/20"/>
    <s v="30/06/20"/>
    <s v="SI206N02188"/>
    <m/>
    <s v="PRICE DIFF 9 PRIME 6 ECO"/>
    <s v="100008"/>
    <s v="20009631"/>
    <s v="MSH"/>
    <n v="0"/>
    <n v="21627.91"/>
    <n v="21627.91"/>
    <s v="NG"/>
    <x v="5"/>
  </r>
  <r>
    <s v="400-05"/>
    <x v="3"/>
    <n v="0"/>
    <s v="30/06/20"/>
    <s v="30/06/20"/>
    <s v="SI206N02189"/>
    <m/>
    <s v="PRICE DIFF 4PRIME 11 ECO"/>
    <s v="100008"/>
    <s v="20009632"/>
    <s v="MSH"/>
    <n v="0"/>
    <n v="25116.28"/>
    <n v="25116.28"/>
    <s v="NG"/>
    <x v="5"/>
  </r>
  <r>
    <s v="400-05"/>
    <x v="3"/>
    <n v="0"/>
    <s v="30/06/20"/>
    <s v="30/06/20"/>
    <s v="SI206N02190"/>
    <m/>
    <s v="PRICE DIFF 17PRIME 7 ECO"/>
    <s v="100019"/>
    <s v="20009637"/>
    <s v="MSH"/>
    <n v="0"/>
    <n v="32790.699999999997"/>
    <n v="32790.699999999997"/>
    <s v="NG"/>
    <x v="5"/>
  </r>
  <r>
    <s v="400-05"/>
    <x v="3"/>
    <n v="0"/>
    <s v="30/06/20"/>
    <s v="30/06/20"/>
    <s v="SI206N02191"/>
    <m/>
    <s v="PRICE DIFF 3PRIME 5ECO"/>
    <s v="100015"/>
    <s v="20009638"/>
    <s v="MSH"/>
    <n v="0"/>
    <n v="12790.7"/>
    <n v="12790.7"/>
    <s v="NG"/>
    <x v="5"/>
  </r>
  <r>
    <s v="400-05"/>
    <x v="3"/>
    <n v="0"/>
    <s v="30/06/20"/>
    <s v="30/06/20"/>
    <s v="SI206N02192"/>
    <m/>
    <s v="PRICE DIFF 70PRIME 14ECO"/>
    <s v="100021"/>
    <s v="20009640"/>
    <s v="MSH"/>
    <n v="0"/>
    <n v="107441.86"/>
    <n v="107441.86"/>
    <s v="NG"/>
    <x v="5"/>
  </r>
  <r>
    <s v="400-05"/>
    <x v="3"/>
    <n v="0"/>
    <s v="30/06/20"/>
    <s v="30/06/20"/>
    <s v="SI206N02193"/>
    <m/>
    <s v="PRICE DIFF 9 PRIME 8 ECO"/>
    <s v="100011"/>
    <s v="20009643"/>
    <s v="MSH"/>
    <n v="0"/>
    <n v="25348.83"/>
    <n v="25348.83"/>
    <s v="NG"/>
    <x v="5"/>
  </r>
  <r>
    <s v="400-05"/>
    <x v="3"/>
    <n v="0"/>
    <s v="30/06/20"/>
    <s v="30/06/20"/>
    <s v="SI206N02195"/>
    <m/>
    <s v="PRIDCE DIFF 8 PRIME"/>
    <s v="100016"/>
    <s v="20009647"/>
    <s v="MSH"/>
    <n v="0"/>
    <n v="9302.33"/>
    <n v="9302.33"/>
    <s v="NG"/>
    <x v="5"/>
  </r>
  <r>
    <s v="400-05"/>
    <x v="3"/>
    <n v="0"/>
    <s v="30/06/20"/>
    <s v="30/06/20"/>
    <s v="SI206N02196"/>
    <m/>
    <s v="PRICE DIFF 2 PRIME 1 ECO"/>
    <s v="100016"/>
    <s v="20009648"/>
    <s v="MSH"/>
    <n v="0"/>
    <n v="4186.05"/>
    <n v="4186.05"/>
    <s v="NG"/>
    <x v="5"/>
  </r>
  <r>
    <s v="400-05"/>
    <x v="3"/>
    <n v="0"/>
    <s v="30/06/20"/>
    <s v="30/06/20"/>
    <s v="SI206N02198"/>
    <m/>
    <s v="PRICE DIFF 3 PRIME"/>
    <s v="100016"/>
    <s v="20009650"/>
    <s v="MSH"/>
    <n v="0"/>
    <n v="3488.37"/>
    <n v="3488.37"/>
    <s v="NG"/>
    <x v="5"/>
  </r>
  <r>
    <s v="400-05"/>
    <x v="3"/>
    <n v="0"/>
    <s v="30/06/20"/>
    <s v="30/06/20"/>
    <s v="SI206N02199"/>
    <m/>
    <s v="PRICE DIFF 7 PRIME 1 ECO"/>
    <s v="100016"/>
    <s v="20009652"/>
    <s v="MSH"/>
    <n v="0"/>
    <n v="10000"/>
    <n v="10000"/>
    <s v="NG"/>
    <x v="5"/>
  </r>
  <r>
    <s v="400-05"/>
    <x v="3"/>
    <n v="0"/>
    <s v="30/06/20"/>
    <s v="30/06/20"/>
    <s v="SI206N02200"/>
    <m/>
    <s v="PRICE DIFF 41PRIME 5ECO"/>
    <s v="100016"/>
    <s v="20009654"/>
    <s v="MSH"/>
    <n v="0"/>
    <n v="56976.74"/>
    <n v="56976.74"/>
    <s v="NG"/>
    <x v="5"/>
  </r>
  <r>
    <s v="400-05"/>
    <x v="3"/>
    <n v="0"/>
    <s v="30/06/20"/>
    <s v="30/06/20"/>
    <s v="SI206N02201"/>
    <m/>
    <s v="PRICE DIFF 4 PRIME"/>
    <s v="100009"/>
    <s v="20009656"/>
    <s v="MSH"/>
    <n v="0"/>
    <n v="4651.16"/>
    <n v="4651.16"/>
    <s v="NG"/>
    <x v="5"/>
  </r>
  <r>
    <s v="400-05"/>
    <x v="3"/>
    <n v="0"/>
    <s v="30/06/20"/>
    <s v="30/06/20"/>
    <s v="SI206N02202"/>
    <m/>
    <s v="PRICE DIFF 4 PRIME 2 ECO"/>
    <s v="100009"/>
    <s v="20009658"/>
    <s v="MSH"/>
    <n v="0"/>
    <n v="8372.09"/>
    <n v="8372.09"/>
    <s v="NG"/>
    <x v="5"/>
  </r>
  <r>
    <s v="400-05"/>
    <x v="3"/>
    <n v="0"/>
    <s v="30/06/20"/>
    <s v="30/06/20"/>
    <s v="SI206N02203"/>
    <m/>
    <s v="PRICE DIFF 25 PRIME 9ECO"/>
    <s v="100014"/>
    <s v="20009661"/>
    <s v="MSH"/>
    <n v="0"/>
    <n v="45813.95"/>
    <n v="45813.95"/>
    <s v="NG"/>
    <x v="5"/>
  </r>
  <r>
    <s v="400-05"/>
    <x v="3"/>
    <n v="0"/>
    <s v="30/06/20"/>
    <s v="30/06/20"/>
    <s v="SI206N02204"/>
    <m/>
    <s v="PRICE DIFF 12 PRIME 2ECO"/>
    <s v="100020"/>
    <s v="20009662"/>
    <s v="MSH"/>
    <n v="0"/>
    <n v="17674.419999999998"/>
    <n v="17674.419999999998"/>
    <s v="NG"/>
    <x v="5"/>
  </r>
  <r>
    <s v="400-05"/>
    <x v="3"/>
    <n v="0"/>
    <s v="30/06/20"/>
    <s v="30/06/20"/>
    <s v="SI206N02205"/>
    <m/>
    <s v="PRICE DIFF 2 PRIME 4 ECO"/>
    <s v="100010"/>
    <s v="20009664"/>
    <s v="MSH"/>
    <n v="0"/>
    <n v="9767.44"/>
    <n v="9767.44"/>
    <s v="NG"/>
    <x v="5"/>
  </r>
  <r>
    <s v="400-05"/>
    <x v="3"/>
    <n v="0"/>
    <s v="30/06/20"/>
    <s v="30/06/20"/>
    <s v="SI206N02207"/>
    <m/>
    <s v="PRICE DIFF 32PRIME 5 ECO"/>
    <s v="100010"/>
    <s v="20009666"/>
    <s v="MSH"/>
    <n v="0"/>
    <n v="46511.63"/>
    <n v="46511.63"/>
    <s v="NG"/>
    <x v="5"/>
  </r>
  <r>
    <s v="400-05"/>
    <x v="3"/>
    <n v="0"/>
    <s v="30/06/20"/>
    <s v="30/06/20"/>
    <s v="SI206N02210"/>
    <m/>
    <s v="PRICE DIFF 28PRIME 2 ECO"/>
    <s v="100017"/>
    <s v="20009669"/>
    <s v="MSH"/>
    <n v="0"/>
    <n v="36279.07"/>
    <n v="36279.07"/>
    <s v="NG"/>
    <x v="5"/>
  </r>
  <r>
    <s v="400-05"/>
    <x v="3"/>
    <n v="0"/>
    <s v="30/06/20"/>
    <s v="30/06/20"/>
    <s v="SI206N02212"/>
    <m/>
    <s v="PRICE DIFF 31 PRIME 7ECO"/>
    <s v="100022"/>
    <s v="20009671"/>
    <s v="MSH"/>
    <n v="0"/>
    <n v="49069.77"/>
    <n v="49069.77"/>
    <s v="NG"/>
    <x v="5"/>
  </r>
  <r>
    <s v="400-05"/>
    <x v="3"/>
    <n v="0"/>
    <s v="30/06/20"/>
    <s v="30/06/20"/>
    <s v="SI206N02213"/>
    <m/>
    <s v="PRICE DIFF 47 PRIME 1ECO"/>
    <s v="100018"/>
    <s v="20009675"/>
    <s v="MSH"/>
    <n v="0"/>
    <n v="56511.63"/>
    <n v="56511.63"/>
    <s v="NG"/>
    <x v="5"/>
  </r>
  <r>
    <s v="400-05"/>
    <x v="3"/>
    <n v="0"/>
    <s v="30/06/20"/>
    <s v="30/06/20"/>
    <s v="SI206N02214"/>
    <m/>
    <s v="PRICE DIFF 9 PRIME"/>
    <s v="100018"/>
    <s v="20009676"/>
    <s v="MSH"/>
    <n v="0"/>
    <n v="10465.120000000001"/>
    <n v="10465.120000000001"/>
    <s v="NG"/>
    <x v="5"/>
  </r>
  <r>
    <s v="400-05"/>
    <x v="3"/>
    <n v="0"/>
    <s v="30/06/20"/>
    <s v="30/06/20"/>
    <s v="SI206N02215"/>
    <m/>
    <s v="PRICE DIFF 13 PRIME"/>
    <s v="100018"/>
    <s v="20009677"/>
    <s v="MSH"/>
    <n v="0"/>
    <n v="15116.28"/>
    <n v="15116.28"/>
    <s v="NG"/>
    <x v="5"/>
  </r>
  <r>
    <s v="400-05"/>
    <x v="3"/>
    <n v="0"/>
    <s v="30/06/20"/>
    <s v="30/06/20"/>
    <s v="SI206N02216"/>
    <m/>
    <s v="PRICE DIFF 96 PRIME 3ECO"/>
    <s v="100007"/>
    <s v="20009678"/>
    <s v="MSH"/>
    <n v="0"/>
    <n v="117209.31"/>
    <n v="117209.31"/>
    <s v="NG"/>
    <x v="5"/>
  </r>
  <r>
    <s v="400-05"/>
    <x v="3"/>
    <n v="0"/>
    <s v="30/06/20"/>
    <s v="30/06/20"/>
    <s v="SI206N02228"/>
    <m/>
    <s v="Reversal of 20009624"/>
    <s v="100008"/>
    <s v="20009700"/>
    <s v="MSH"/>
    <n v="0"/>
    <n v="-12790.7"/>
    <n v="-12790.7"/>
    <s v="NG"/>
    <x v="5"/>
  </r>
  <r>
    <s v="400-05"/>
    <x v="3"/>
    <n v="0"/>
    <d v="2020-08-07T00:00:00"/>
    <n v="44050"/>
    <s v="SI206N02145"/>
    <m/>
    <s v="GTB B2C PRIME &amp; ECO"/>
    <s v="120006"/>
    <s v="20009423"/>
    <s v="MSH"/>
    <n v="0"/>
    <n v="18651.150000000001"/>
    <n v="18651.150000000001"/>
    <s v="NG"/>
    <x v="6"/>
  </r>
  <r>
    <s v="400-05"/>
    <x v="3"/>
    <n v="0"/>
    <d v="2020-08-07T00:00:00"/>
    <n v="44050"/>
    <s v="SI206N02146"/>
    <m/>
    <s v="GTB L2O PRIME &amp; ECO"/>
    <s v="120006"/>
    <s v="20009425"/>
    <s v="MSH"/>
    <n v="0"/>
    <n v="60465.11"/>
    <n v="60465.11"/>
    <s v="NG"/>
    <x v="6"/>
  </r>
  <r>
    <s v="400-05"/>
    <x v="3"/>
    <n v="0"/>
    <s v="20/07/20"/>
    <s v="20/07/20"/>
    <s v="SI206N02236"/>
    <m/>
    <s v="GTB LTO PRIME &amp; ECO"/>
    <s v="120006"/>
    <s v="20009836"/>
    <s v="MSH"/>
    <n v="0"/>
    <n v="134883.75"/>
    <n v="134883.75"/>
    <s v="NG"/>
    <x v="6"/>
  </r>
  <r>
    <s v="400-05"/>
    <x v="3"/>
    <n v="0"/>
    <s v="20/07/20"/>
    <s v="20/07/20"/>
    <s v="SI206N02241"/>
    <m/>
    <s v="50 PRIME 20 ECO"/>
    <s v="100016"/>
    <s v="20009993"/>
    <s v="MSH"/>
    <n v="0"/>
    <n v="1304651.1599999999"/>
    <n v="1304651.1599999999"/>
    <s v="NG"/>
    <x v="6"/>
  </r>
  <r>
    <s v="400-05"/>
    <x v="3"/>
    <n v="0"/>
    <s v="20/07/20"/>
    <s v="20/07/20"/>
    <s v="SI206N02243"/>
    <m/>
    <s v="27 PRIME 25 ECO"/>
    <s v="100027"/>
    <s v="20009997"/>
    <s v="MSH"/>
    <n v="0"/>
    <n v="929069.77"/>
    <n v="929069.77"/>
    <s v="NG"/>
    <x v="6"/>
  </r>
  <r>
    <s v="400-05"/>
    <x v="3"/>
    <n v="0"/>
    <s v="20/07/20"/>
    <s v="20/07/20"/>
    <s v="SI206N02254"/>
    <m/>
    <s v="20 PRIME 22 ECO LDP ZEST"/>
    <s v="100028"/>
    <s v="20010038"/>
    <s v="MSH"/>
    <n v="0"/>
    <n v="744186.05"/>
    <n v="744186.05"/>
    <s v="NG"/>
    <x v="6"/>
  </r>
  <r>
    <s v="400-05"/>
    <x v="3"/>
    <n v="0"/>
    <s v="20/07/20"/>
    <s v="20/07/20"/>
    <s v="SI206N02255"/>
    <m/>
    <s v="30 PRIME FLEXTEK LDP"/>
    <s v="100019"/>
    <s v="20010042"/>
    <s v="MSH"/>
    <n v="0"/>
    <n v="593023.26"/>
    <n v="593023.26"/>
    <s v="NG"/>
    <x v="6"/>
  </r>
  <r>
    <s v="400-05"/>
    <x v="3"/>
    <n v="0"/>
    <s v="20/07/20"/>
    <s v="20/07/20"/>
    <s v="SI206N02256"/>
    <m/>
    <s v="90 PRIME 5 ECO NAIRA ELE"/>
    <s v="100029"/>
    <s v="20010044"/>
    <s v="MSH"/>
    <n v="0"/>
    <n v="1858139.53"/>
    <n v="1858139.53"/>
    <s v="NG"/>
    <x v="6"/>
  </r>
  <r>
    <s v="400-05"/>
    <x v="3"/>
    <n v="0"/>
    <s v="20/07/20"/>
    <s v="20/07/20"/>
    <s v="SI206N02257"/>
    <m/>
    <s v="8 PRIME FOR SV GAMING"/>
    <s v="120006"/>
    <s v="20010050"/>
    <s v="MSH"/>
    <n v="0"/>
    <n v="148837.20000000001"/>
    <n v="148837.20000000001"/>
    <s v="NG"/>
    <x v="6"/>
  </r>
  <r>
    <s v="400-05"/>
    <x v="3"/>
    <n v="0"/>
    <s v="20/07/20"/>
    <s v="20/07/20"/>
    <s v="SI206N02258"/>
    <m/>
    <s v="10 PRIME CORSICAN"/>
    <s v="100023"/>
    <s v="20010052"/>
    <s v="MSH"/>
    <n v="0"/>
    <n v="197674.42"/>
    <n v="197674.42"/>
    <s v="NG"/>
    <x v="6"/>
  </r>
  <r>
    <s v="400-05"/>
    <x v="3"/>
    <n v="0"/>
    <s v="20/07/20"/>
    <s v="20/07/20"/>
    <s v="SI206N02260"/>
    <m/>
    <s v="90 PRIME 5 ECO LDP COVEN"/>
    <s v="100031"/>
    <s v="20010056"/>
    <s v="MSH"/>
    <n v="0"/>
    <n v="1858139.53"/>
    <n v="1858139.53"/>
    <s v="NG"/>
    <x v="6"/>
  </r>
  <r>
    <s v="400-05"/>
    <x v="3"/>
    <n v="0"/>
    <s v="21/07/20"/>
    <s v="21/07/20"/>
    <s v="SI206N02287"/>
    <m/>
    <s v="LDP 25 PRIME"/>
    <s v="100015"/>
    <s v="20010153"/>
    <s v="MSH"/>
    <n v="0"/>
    <n v="494186.05"/>
    <n v="494186.05"/>
    <s v="NG"/>
    <x v="6"/>
  </r>
  <r>
    <s v="400-05"/>
    <x v="3"/>
    <n v="0"/>
    <s v="21/07/20"/>
    <s v="21/07/20"/>
    <s v="SI206N02288"/>
    <m/>
    <s v="LDP 20 PRIME 5 ECO"/>
    <s v="100011"/>
    <s v="20010156"/>
    <s v="MSH"/>
    <n v="0"/>
    <n v="474418.6"/>
    <n v="474418.6"/>
    <s v="NG"/>
    <x v="6"/>
  </r>
  <r>
    <s v="400-05"/>
    <x v="3"/>
    <n v="0"/>
    <s v="31/07/20"/>
    <s v="31/07/20"/>
    <s v="SI206N02339"/>
    <m/>
    <s v="GTB LTO PRIME &amp;ECO"/>
    <s v="120006"/>
    <s v="20010504"/>
    <s v="MSH"/>
    <n v="0"/>
    <n v="162790.73000000001"/>
    <n v="162790.73000000001"/>
    <s v="NG"/>
    <x v="6"/>
  </r>
  <r>
    <s v="400-05"/>
    <x v="3"/>
    <n v="0"/>
    <s v="31/07/20"/>
    <s v="31/07/20"/>
    <s v="SI206N02340"/>
    <m/>
    <s v="BETKING 2 SYS"/>
    <s v="120006"/>
    <s v="20010514"/>
    <s v="MSH"/>
    <n v="0"/>
    <n v="37209.300000000003"/>
    <n v="37209.300000000003"/>
    <s v="NG"/>
    <x v="6"/>
  </r>
  <r>
    <s v="400-05"/>
    <x v="3"/>
    <n v="0"/>
    <s v="31/07/20"/>
    <s v="31/07/20"/>
    <s v="SI206N02351"/>
    <m/>
    <s v="90 PRIME &amp; 20 ECO"/>
    <s v="100018"/>
    <s v="20010609"/>
    <s v="MSH"/>
    <n v="0"/>
    <n v="2095348.84"/>
    <n v="2095348.84"/>
    <s v="NG"/>
    <x v="6"/>
  </r>
  <r>
    <s v="400-05"/>
    <x v="3"/>
    <n v="0"/>
    <s v="31/07/20"/>
    <s v="31/07/20"/>
    <s v="SI206N02352"/>
    <m/>
    <s v="30 PRIME LDP"/>
    <s v="100017"/>
    <s v="20010623"/>
    <s v="MSH"/>
    <n v="0"/>
    <n v="593023.26"/>
    <n v="593023.26"/>
    <s v="NG"/>
    <x v="6"/>
  </r>
  <r>
    <s v="400-05"/>
    <x v="3"/>
    <n v="0"/>
    <s v="31/07/20"/>
    <s v="31/07/20"/>
    <s v="SI206N02353"/>
    <m/>
    <s v="43 PRIME 5 ECO"/>
    <s v="100033"/>
    <s v="20010625"/>
    <s v="MSH"/>
    <n v="0"/>
    <n v="929069.77"/>
    <n v="929069.77"/>
    <s v="NG"/>
    <x v="6"/>
  </r>
  <r>
    <s v="400-05"/>
    <x v="3"/>
    <n v="0"/>
    <s v="31/07/20"/>
    <s v="31/07/20"/>
    <s v="SI206N02362"/>
    <m/>
    <s v="1 PRIME CORPORATE"/>
    <s v="120006"/>
    <s v="20010814"/>
    <s v="MSH"/>
    <n v="0"/>
    <n v="18604.650000000001"/>
    <n v="18604.650000000001"/>
    <s v="NG"/>
    <x v="6"/>
  </r>
  <r>
    <s v="400-05"/>
    <x v="3"/>
    <n v="0"/>
    <s v="31/07/20"/>
    <n v="44050"/>
    <s v="SI206N02411"/>
    <m/>
    <s v="Reversal of 20009423"/>
    <s v="120006"/>
    <s v="20011001"/>
    <s v="MSH"/>
    <n v="0"/>
    <n v="-18651.150000000001"/>
    <n v="-18651.150000000001"/>
    <s v="NG"/>
    <x v="6"/>
  </r>
  <r>
    <s v="400-05"/>
    <x v="3"/>
    <n v="0"/>
    <s v="31/07/20"/>
    <s v="31/07/20"/>
    <s v="SI206N02412"/>
    <m/>
    <s v="GTB B2C PRIME &amp; ECO"/>
    <s v="120006"/>
    <s v="20011002"/>
    <s v="MSH"/>
    <n v="0"/>
    <n v="18651.169999999998"/>
    <n v="18651.169999999998"/>
    <s v="NG"/>
    <x v="6"/>
  </r>
  <r>
    <s v="400-05"/>
    <x v="3"/>
    <n v="0"/>
    <s v="31/07/20"/>
    <s v="31/07/20"/>
    <s v="SI206N02414"/>
    <m/>
    <s v="23 PRIME 2 ECO"/>
    <s v="100020"/>
    <s v="20011036"/>
    <s v="MSH"/>
    <n v="0"/>
    <n v="486279.07"/>
    <n v="486279.07"/>
    <s v="NG"/>
    <x v="6"/>
  </r>
  <r>
    <s v="400-05"/>
    <x v="3"/>
    <n v="0"/>
    <s v="31/07/20"/>
    <s v="31/07/20"/>
    <s v="SI206N02419"/>
    <m/>
    <s v="33 PRME 5 ECO LDP HONEYD"/>
    <s v="100030"/>
    <s v="20011077"/>
    <s v="MSH"/>
    <n v="0"/>
    <n v="731395.35"/>
    <n v="731395.35"/>
    <s v="NG"/>
    <x v="6"/>
  </r>
  <r>
    <s v="400-05"/>
    <x v="3"/>
    <n v="0"/>
    <s v="31/07/20"/>
    <s v="31/07/20"/>
    <s v="SI206N02427"/>
    <m/>
    <s v="5 PRIME/5 ECO/10 BULBS"/>
    <s v="100020"/>
    <s v="20011153"/>
    <s v="MSH"/>
    <n v="0"/>
    <n v="98837.22"/>
    <n v="98837.22"/>
    <s v="NG"/>
    <x v="6"/>
  </r>
  <r>
    <s v="400-05"/>
    <x v="3"/>
    <n v="0"/>
    <s v="31/07/20"/>
    <s v="31/07/20"/>
    <s v="SI206N02427"/>
    <m/>
    <s v="5 PRIME/5 ECO/10 BULBS"/>
    <s v="100020"/>
    <s v="20011153"/>
    <s v="MSH"/>
    <n v="0"/>
    <n v="101925.57"/>
    <n v="101925.57"/>
    <s v="NG"/>
    <x v="6"/>
  </r>
  <r>
    <s v="400-05"/>
    <x v="3"/>
    <n v="0"/>
    <s v="31/07/20"/>
    <s v="31/07/20"/>
    <s v="SI206N02427"/>
    <m/>
    <s v="RECLASS 4 10BULBS"/>
    <s v="400-4"/>
    <s v="20011190"/>
    <s v="M"/>
    <n v="24570"/>
    <n v="0"/>
    <n v="-24570"/>
    <s v="NG"/>
    <x v="6"/>
  </r>
  <r>
    <s v="400-05"/>
    <x v="3"/>
    <n v="0"/>
    <s v="31/07/20"/>
    <s v="31/07/20"/>
    <s v="SI206N02427"/>
    <m/>
    <s v="Reversal of 20011190"/>
    <s v="400-4"/>
    <s v="20011191"/>
    <s v="M"/>
    <n v="-24570"/>
    <n v="0"/>
    <n v="24570"/>
    <s v="NG"/>
    <x v="6"/>
  </r>
  <r>
    <s v="400-05"/>
    <x v="3"/>
    <n v="0"/>
    <s v="31/07/20"/>
    <s v="31/07/20"/>
    <s v="SI206N02432"/>
    <m/>
    <s v="Reversal of 20011153"/>
    <s v="100020"/>
    <s v="20011192"/>
    <s v="MSH"/>
    <n v="0"/>
    <n v="-98837.22"/>
    <n v="-98837.22"/>
    <s v="NG"/>
    <x v="6"/>
  </r>
  <r>
    <s v="400-05"/>
    <x v="3"/>
    <n v="0"/>
    <s v="31/07/20"/>
    <s v="31/07/20"/>
    <s v="SI206N02432"/>
    <m/>
    <s v="Reversal of 20011153"/>
    <s v="100020"/>
    <s v="20011192"/>
    <s v="MSH"/>
    <n v="0"/>
    <n v="-101925.57"/>
    <n v="-101925.57"/>
    <s v="NG"/>
    <x v="6"/>
  </r>
  <r>
    <s v="400-05"/>
    <x v="3"/>
    <n v="0"/>
    <s v="31/07/20"/>
    <s v="31/07/20"/>
    <s v="SI206N02433"/>
    <m/>
    <s v="5PRIME &amp;5ECO, 10BULBS"/>
    <s v="100020"/>
    <s v="20011193"/>
    <s v="MSH"/>
    <n v="0"/>
    <n v="177906.99"/>
    <n v="177906.99"/>
    <s v="NG"/>
    <x v="6"/>
  </r>
  <r>
    <s v="400-05"/>
    <x v="3"/>
    <n v="0"/>
    <d v="2020-01-08T00:00:00"/>
    <n v="43838"/>
    <s v="SI206N02462"/>
    <m/>
    <s v="1M LTO PRIME&amp;SETUP-04/08"/>
    <s v="120006"/>
    <s v="20011264"/>
    <s v="MSH"/>
    <n v="0"/>
    <n v="23255.81"/>
    <n v="23255.81"/>
    <s v="NG"/>
    <x v="7"/>
  </r>
  <r>
    <s v="400-05"/>
    <x v="3"/>
    <n v="0"/>
    <d v="2020-01-08T00:00:00"/>
    <n v="43838"/>
    <s v="SI206N02470"/>
    <m/>
    <s v="1MLTO PRME&amp;STUP(1)-05/08"/>
    <s v="120006"/>
    <s v="20011280"/>
    <s v="MSH"/>
    <n v="0"/>
    <n v="23255.81"/>
    <n v="23255.81"/>
    <s v="NG"/>
    <x v="7"/>
  </r>
  <r>
    <s v="400-05"/>
    <x v="3"/>
    <n v="0"/>
    <d v="2020-01-08T00:00:00"/>
    <n v="43838"/>
    <s v="SI206N02477"/>
    <m/>
    <s v="1M LTO ECO&amp;STUP(1)-06/08"/>
    <s v="120006"/>
    <s v="20011294"/>
    <s v="MSH"/>
    <n v="0"/>
    <n v="18604.650000000001"/>
    <n v="18604.650000000001"/>
    <s v="NG"/>
    <x v="7"/>
  </r>
  <r>
    <s v="400-05"/>
    <x v="3"/>
    <n v="0"/>
    <d v="2020-01-08T00:00:00"/>
    <n v="43838"/>
    <s v="SI206N02480"/>
    <m/>
    <s v="1M LTO PRM&amp;STUP(1)-06/08"/>
    <s v="120006"/>
    <s v="20011300"/>
    <s v="MSH"/>
    <n v="0"/>
    <n v="23255.81"/>
    <n v="23255.81"/>
    <s v="NG"/>
    <x v="7"/>
  </r>
  <r>
    <s v="400-05"/>
    <x v="3"/>
    <n v="0"/>
    <d v="2020-01-08T00:00:00"/>
    <n v="43838"/>
    <s v="SI206N02490"/>
    <m/>
    <s v="1M LTO ECO&amp;STUP(1)-07/08"/>
    <s v="120006"/>
    <s v="20011320"/>
    <s v="MSH"/>
    <n v="0"/>
    <n v="18604.650000000001"/>
    <n v="18604.650000000001"/>
    <s v="NG"/>
    <x v="7"/>
  </r>
  <r>
    <s v="400-05"/>
    <x v="3"/>
    <n v="0"/>
    <d v="2020-01-08T00:00:00"/>
    <n v="43838"/>
    <s v="SI206N02497"/>
    <m/>
    <s v="1M LTO ECO&amp;STUP(1)-08/08"/>
    <s v="120006"/>
    <s v="20011334"/>
    <s v="MSH"/>
    <n v="0"/>
    <n v="18604.650000000001"/>
    <n v="18604.650000000001"/>
    <s v="NG"/>
    <x v="7"/>
  </r>
  <r>
    <s v="400-05"/>
    <x v="3"/>
    <n v="0"/>
    <d v="2020-12-08T00:00:00"/>
    <n v="44173"/>
    <s v="SI206N02563"/>
    <m/>
    <s v="PRIME&amp; ECO USAGE,1PRIME"/>
    <s v="120006"/>
    <s v="20011649"/>
    <s v="MSH"/>
    <n v="0"/>
    <n v="23255.81"/>
    <n v="23255.81"/>
    <s v="NG"/>
    <x v="7"/>
  </r>
  <r>
    <s v="400-05"/>
    <x v="3"/>
    <n v="0"/>
    <d v="2020-12-08T00:00:00"/>
    <n v="44173"/>
    <s v="SI206N02599"/>
    <m/>
    <s v="SV GAMING-8 PRIME"/>
    <s v="120006"/>
    <s v="20011736"/>
    <s v="MSH"/>
    <n v="0"/>
    <n v="148837.21"/>
    <n v="148837.21"/>
    <s v="NG"/>
    <x v="7"/>
  </r>
  <r>
    <s v="400-05"/>
    <x v="3"/>
    <n v="0"/>
    <d v="2020-12-08T00:00:00"/>
    <n v="44173"/>
    <s v="SI206N02653"/>
    <m/>
    <s v="37 PRIME SYSTEMS"/>
    <s v="100034"/>
    <s v="20011878"/>
    <s v="MSH"/>
    <n v="0"/>
    <n v="731395.35"/>
    <n v="731395.35"/>
    <s v="NG"/>
    <x v="7"/>
  </r>
  <r>
    <s v="400-05"/>
    <x v="3"/>
    <n v="0"/>
    <d v="2020-12-08T00:00:00"/>
    <n v="44173"/>
    <s v="SI206N02656"/>
    <m/>
    <s v="80 PRIME/20 ECO"/>
    <s v="Man ‘D’ Sat"/>
    <s v="20011884"/>
    <s v="MSH"/>
    <n v="0"/>
    <n v="1897674.42"/>
    <n v="1897674.42"/>
    <s v="NG"/>
    <x v="7"/>
  </r>
  <r>
    <s v="400-05"/>
    <x v="3"/>
    <n v="0"/>
    <d v="2020-12-08T00:00:00"/>
    <n v="44173"/>
    <s v="SI206N02683"/>
    <m/>
    <s v="40 PRIME &amp; 8 ECO"/>
    <s v="100035"/>
    <s v="20011988"/>
    <s v="MSH"/>
    <n v="0"/>
    <n v="917209.3"/>
    <n v="917209.3"/>
    <s v="NG"/>
    <x v="7"/>
  </r>
  <r>
    <s v="400-05"/>
    <x v="3"/>
    <n v="0"/>
    <s v="17/08/20"/>
    <s v="17/08/20"/>
    <s v="SI206N02703"/>
    <m/>
    <s v="PRIME&amp;ECO LTO,RENTAL,SET"/>
    <s v="120006"/>
    <s v="20012100"/>
    <s v="MSH"/>
    <n v="0"/>
    <n v="23255.81"/>
    <n v="23255.81"/>
    <s v="NG"/>
    <x v="7"/>
  </r>
  <r>
    <s v="400-05"/>
    <x v="3"/>
    <n v="0"/>
    <s v="19/08/20"/>
    <s v="19/08/20"/>
    <s v="SI206N02739"/>
    <m/>
    <s v="5 ECO SYSTEMS"/>
    <s v="100007"/>
    <s v="20012235"/>
    <s v="MSH"/>
    <n v="0"/>
    <n v="79069.77"/>
    <n v="79069.77"/>
    <s v="NG"/>
    <x v="7"/>
  </r>
  <r>
    <s v="400-05"/>
    <x v="3"/>
    <n v="0"/>
    <s v="19/08/20"/>
    <s v="19/08/20"/>
    <s v="SI206N02741"/>
    <m/>
    <s v="10 PRIME SYSTEMS"/>
    <s v="100023"/>
    <s v="20012239"/>
    <s v="MSH"/>
    <n v="0"/>
    <n v="197674.42"/>
    <n v="197674.42"/>
    <s v="NG"/>
    <x v="7"/>
  </r>
  <r>
    <s v="400-05"/>
    <x v="3"/>
    <n v="0"/>
    <s v="19/08/20"/>
    <s v="19/08/20"/>
    <s v="SI206N02742"/>
    <m/>
    <s v="40 PRIME &amp; 10 ECO"/>
    <s v="100010"/>
    <s v="20012248"/>
    <s v="MSH"/>
    <n v="0"/>
    <n v="948837.21"/>
    <n v="948837.21"/>
    <s v="NG"/>
    <x v="7"/>
  </r>
  <r>
    <s v="400-05"/>
    <x v="3"/>
    <n v="0"/>
    <s v="19/08/20"/>
    <s v="19/08/20"/>
    <s v="SI206N02750"/>
    <m/>
    <s v="PRIME&amp;ECO LTO,RENTAL,SET"/>
    <s v="120006"/>
    <s v="20012262"/>
    <s v="MSH"/>
    <n v="0"/>
    <n v="18604.650000000001"/>
    <n v="18604.650000000001"/>
    <s v="NG"/>
    <x v="7"/>
  </r>
  <r>
    <s v="400-05"/>
    <x v="3"/>
    <n v="0"/>
    <s v="20/08/20"/>
    <s v="20/08/20"/>
    <s v="SI206N02830"/>
    <m/>
    <s v="34 PRIME SYS-IHS"/>
    <s v="120006"/>
    <s v="20012571"/>
    <s v="MSH"/>
    <n v="0"/>
    <n v="632558.07999999996"/>
    <n v="632558.07999999996"/>
    <s v="NG"/>
    <x v="7"/>
  </r>
  <r>
    <s v="400-05"/>
    <x v="3"/>
    <n v="0"/>
    <s v="20/08/20"/>
    <s v="20/08/20"/>
    <s v="SI206N02840"/>
    <m/>
    <s v="15 PRIME &amp; 5 ECO SYSTEMS"/>
    <s v="100028"/>
    <s v="20012630"/>
    <s v="MSH"/>
    <n v="0"/>
    <n v="375581.4"/>
    <n v="375581.4"/>
    <s v="NG"/>
    <x v="7"/>
  </r>
  <r>
    <s v="400-05"/>
    <x v="3"/>
    <n v="0"/>
    <s v="31/08/20"/>
    <s v="31/08/20"/>
    <s v="SI206N02957"/>
    <m/>
    <s v="SV GAMING 3 UNIT OF PRIM"/>
    <s v="120006"/>
    <s v="20013142"/>
    <s v="MSH"/>
    <n v="0"/>
    <n v="55813.96"/>
    <n v="55813.96"/>
    <s v="NG"/>
    <x v="7"/>
  </r>
  <r>
    <s v="400-05"/>
    <x v="3"/>
    <n v="0"/>
    <s v="31/08/20"/>
    <s v="31/08/20"/>
    <s v="SI206N02960"/>
    <m/>
    <s v="8 PRIME &amp; 4 ECO SYSTEM"/>
    <s v="100020"/>
    <s v="20013152"/>
    <s v="MSH"/>
    <n v="0"/>
    <n v="221395.35"/>
    <n v="221395.35"/>
    <s v="NG"/>
    <x v="7"/>
  </r>
  <r>
    <s v="400-05"/>
    <x v="3"/>
    <n v="0"/>
    <s v="31/08/20"/>
    <s v="31/08/20"/>
    <s v="SI206N02961"/>
    <m/>
    <s v="10 ECO SYS &amp; 8 MEIND CON"/>
    <s v="Man ‘D’ Sat"/>
    <s v="20013154"/>
    <s v="MSH"/>
    <n v="0"/>
    <n v="158139.51"/>
    <n v="158139.51"/>
    <s v="NG"/>
    <x v="7"/>
  </r>
  <r>
    <s v="400-05"/>
    <x v="3"/>
    <n v="0"/>
    <s v="31/08/20"/>
    <s v="31/08/20"/>
    <s v="SI206N02997"/>
    <m/>
    <s v="PRICE DIFFERENTIAL"/>
    <s v="100004"/>
    <s v="20013291"/>
    <s v="MSH"/>
    <n v="0"/>
    <n v="1162.79"/>
    <n v="1162.79"/>
    <s v="NG"/>
    <x v="7"/>
  </r>
  <r>
    <s v="400-05"/>
    <x v="3"/>
    <n v="0"/>
    <s v="31/08/20"/>
    <s v="31/08/20"/>
    <s v="SI206N02998"/>
    <m/>
    <s v="PRICE DIFFERENTIAL"/>
    <s v="100015"/>
    <s v="20013295"/>
    <s v="MSH"/>
    <n v="0"/>
    <n v="1162.79"/>
    <n v="1162.79"/>
    <s v="NG"/>
    <x v="7"/>
  </r>
  <r>
    <s v="400-05"/>
    <x v="3"/>
    <n v="0"/>
    <s v="31/08/20"/>
    <s v="31/08/20"/>
    <s v="SI206N02999"/>
    <m/>
    <s v="PRICE DIFFERENTIAL"/>
    <s v="100018"/>
    <s v="20013296"/>
    <s v="MSH"/>
    <n v="0"/>
    <n v="2325.58"/>
    <n v="2325.58"/>
    <s v="NG"/>
    <x v="7"/>
  </r>
  <r>
    <s v="400-05"/>
    <x v="3"/>
    <n v="0"/>
    <s v="31/08/20"/>
    <s v="31/08/20"/>
    <s v="SI206N03002"/>
    <m/>
    <s v="NIBSS USAGE ZINETH 1-31"/>
    <s v="120006"/>
    <s v="20013301"/>
    <s v="MSH"/>
    <n v="0"/>
    <n v="23255.82"/>
    <n v="23255.82"/>
    <s v="NG"/>
    <x v="7"/>
  </r>
  <r>
    <s v="400-05"/>
    <x v="3"/>
    <n v="0"/>
    <d v="2020-01-09T00:00:00"/>
    <n v="43839"/>
    <s v="SI206N03038"/>
    <m/>
    <s v="SO20N03546-Talking Point"/>
    <s v="100032"/>
    <s v="20013397"/>
    <s v="MSH"/>
    <n v="0"/>
    <n v="96279.07"/>
    <n v="96279.07"/>
    <s v="NG"/>
    <x v="8"/>
  </r>
  <r>
    <s v="400-05"/>
    <x v="3"/>
    <n v="0"/>
    <d v="2020-01-09T00:00:00"/>
    <n v="43839"/>
    <s v="SI206N03039"/>
    <m/>
    <s v="SO20N03524-Anidi Mitchel"/>
    <s v="100032"/>
    <s v="20013399"/>
    <s v="MSH"/>
    <n v="0"/>
    <n v="75348.84"/>
    <n v="75348.84"/>
    <s v="NG"/>
    <x v="8"/>
  </r>
  <r>
    <s v="400-05"/>
    <x v="3"/>
    <n v="0"/>
    <d v="2020-01-09T00:00:00"/>
    <n v="43839"/>
    <s v="SI206N03040"/>
    <m/>
    <s v="SO20N03525-EZENWOBI ANTH"/>
    <s v="120099"/>
    <s v="20013401"/>
    <s v="MSH"/>
    <n v="0"/>
    <n v="65116.28"/>
    <n v="65116.28"/>
    <s v="NG"/>
    <x v="8"/>
  </r>
  <r>
    <s v="400-05"/>
    <x v="3"/>
    <n v="0"/>
    <d v="2020-01-09T00:00:00"/>
    <n v="43839"/>
    <s v="SI206N03041"/>
    <m/>
    <s v="SO20N03527-Nelix Enginee"/>
    <s v="100032"/>
    <s v="20013403"/>
    <s v="MSH"/>
    <n v="0"/>
    <n v="104651.16"/>
    <n v="104651.16"/>
    <s v="NG"/>
    <x v="8"/>
  </r>
  <r>
    <s v="400-05"/>
    <x v="3"/>
    <n v="0"/>
    <d v="2020-01-09T00:00:00"/>
    <n v="43839"/>
    <s v="SI206N03042"/>
    <m/>
    <s v="SO20N03528-THANTONE"/>
    <s v="100032"/>
    <s v="20013405"/>
    <s v="MSH"/>
    <n v="0"/>
    <n v="100465.12"/>
    <n v="100465.12"/>
    <s v="NG"/>
    <x v="8"/>
  </r>
  <r>
    <s v="400-05"/>
    <x v="3"/>
    <n v="0"/>
    <d v="2020-01-09T00:00:00"/>
    <n v="43839"/>
    <s v="SI206N03043"/>
    <m/>
    <s v="SO20N03526-ODOEMENE, NNA"/>
    <s v="120099"/>
    <s v="20013407"/>
    <s v="MSH"/>
    <n v="0"/>
    <n v="18604.650000000001"/>
    <n v="18604.650000000001"/>
    <s v="NG"/>
    <x v="8"/>
  </r>
  <r>
    <s v="400-05"/>
    <x v="3"/>
    <n v="0"/>
    <d v="2020-01-09T00:00:00"/>
    <n v="43839"/>
    <s v="SI206N03044"/>
    <m/>
    <s v="SO20N03530-Joy Esugunum"/>
    <s v="100032"/>
    <s v="20013422"/>
    <s v="MSH"/>
    <n v="0"/>
    <n v="33488.370000000003"/>
    <n v="33488.370000000003"/>
    <s v="NG"/>
    <x v="8"/>
  </r>
  <r>
    <s v="400-05"/>
    <x v="3"/>
    <n v="0"/>
    <d v="2020-01-09T00:00:00"/>
    <n v="43839"/>
    <s v="SI206N03045"/>
    <m/>
    <s v="SO20N03532-EVER UP MARKE"/>
    <s v="100032"/>
    <s v="20013424"/>
    <s v="MSH"/>
    <n v="0"/>
    <n v="41860.47"/>
    <n v="41860.47"/>
    <s v="NG"/>
    <x v="8"/>
  </r>
  <r>
    <s v="400-05"/>
    <x v="3"/>
    <n v="0"/>
    <d v="2020-01-09T00:00:00"/>
    <n v="43839"/>
    <s v="SI206N03073"/>
    <m/>
    <s v="Reversal of 20013401"/>
    <s v="120099"/>
    <s v="20013524"/>
    <s v="MSH"/>
    <n v="0"/>
    <n v="-65116.28"/>
    <n v="-65116.28"/>
    <s v="NG"/>
    <x v="8"/>
  </r>
  <r>
    <s v="400-05"/>
    <x v="3"/>
    <n v="0"/>
    <d v="2020-01-09T00:00:00"/>
    <n v="43839"/>
    <s v="SI206N03347"/>
    <m/>
    <s v="SO20N04511-LEGACY FOOD"/>
    <s v="100032"/>
    <s v="20014380"/>
    <s v="MSH"/>
    <n v="0"/>
    <n v="54845.58"/>
    <n v="54845.58"/>
    <s v="NG"/>
    <x v="8"/>
  </r>
  <r>
    <s v="400-05"/>
    <x v="3"/>
    <n v="0"/>
    <d v="2020-01-09T00:00:00"/>
    <n v="43839"/>
    <s v="SI206N03595"/>
    <m/>
    <s v="SO20N04917-ALIYU ABDULL"/>
    <s v="100032"/>
    <s v="20015265"/>
    <s v="MSH"/>
    <n v="0"/>
    <n v="51940.46"/>
    <n v="51940.46"/>
    <s v="NG"/>
    <x v="8"/>
  </r>
  <r>
    <s v="400-05"/>
    <x v="3"/>
    <n v="0"/>
    <d v="2020-01-09T00:00:00"/>
    <n v="43839"/>
    <s v="SI206N03597"/>
    <m/>
    <s v="SO20N04918-SUNDAY YAKUBU"/>
    <s v="100032"/>
    <s v="20015267"/>
    <s v="MSH"/>
    <n v="0"/>
    <n v="90895.81"/>
    <n v="90895.81"/>
    <s v="NG"/>
    <x v="8"/>
  </r>
  <r>
    <s v="400-05"/>
    <x v="3"/>
    <n v="0"/>
    <d v="2020-01-09T00:00:00"/>
    <n v="43839"/>
    <s v="SI206N03601"/>
    <m/>
    <s v="SO20N04925-Jamesbull Glo"/>
    <s v="100032"/>
    <s v="20015273"/>
    <s v="MSH"/>
    <n v="0"/>
    <n v="129851.16"/>
    <n v="129851.16"/>
    <s v="NG"/>
    <x v="8"/>
  </r>
  <r>
    <s v="400-05"/>
    <x v="3"/>
    <n v="0"/>
    <d v="2020-01-09T00:00:00"/>
    <n v="43839"/>
    <s v="SI206N03610"/>
    <m/>
    <s v="SO20N04934-SAMSEG AUTOMO"/>
    <s v="100032"/>
    <s v="20015311"/>
    <s v="MSH"/>
    <n v="0"/>
    <n v="38955.35"/>
    <n v="38955.35"/>
    <s v="NG"/>
    <x v="8"/>
  </r>
  <r>
    <s v="400-05"/>
    <x v="3"/>
    <n v="0"/>
    <d v="2020-01-09T00:00:00"/>
    <n v="43839"/>
    <s v="SI206N03614"/>
    <m/>
    <s v="SO20N04938-SAMSEG AUTOM"/>
    <s v="100032"/>
    <s v="20015322"/>
    <s v="MSH"/>
    <n v="0"/>
    <n v="12985.12"/>
    <n v="12985.12"/>
    <s v="NG"/>
    <x v="8"/>
  </r>
  <r>
    <s v="400-05"/>
    <x v="3"/>
    <n v="0"/>
    <d v="2020-01-09T00:00:00"/>
    <n v="43839"/>
    <s v="SO20N03612-SAMUE"/>
    <m/>
    <s v="RECLASSIFICATION"/>
    <s v="400-3"/>
    <s v="20015376"/>
    <s v="M"/>
    <n v="0"/>
    <n v="55813.95"/>
    <n v="55813.95"/>
    <s v="NG"/>
    <x v="8"/>
  </r>
  <r>
    <s v="400-05"/>
    <x v="3"/>
    <n v="0"/>
    <d v="2020-10-09T00:00:00"/>
    <n v="44113"/>
    <s v="SI206N03051"/>
    <m/>
    <s v="SO20N03588-NONSO ANTHONY"/>
    <s v="120099"/>
    <s v="20013476"/>
    <s v="MSH"/>
    <n v="0"/>
    <n v="74418.600000000006"/>
    <n v="74418.600000000006"/>
    <s v="NG"/>
    <x v="8"/>
  </r>
  <r>
    <s v="400-05"/>
    <x v="3"/>
    <n v="0"/>
    <d v="2020-10-09T00:00:00"/>
    <n v="44113"/>
    <s v="SI206N03052"/>
    <m/>
    <s v="SO20N03638-NONSO EZENWOB"/>
    <s v="120099"/>
    <s v="20013480"/>
    <s v="MSH"/>
    <n v="0"/>
    <n v="37209.300000000003"/>
    <n v="37209.300000000003"/>
    <s v="NG"/>
    <x v="8"/>
  </r>
  <r>
    <s v="400-05"/>
    <x v="3"/>
    <n v="0"/>
    <d v="2020-10-09T00:00:00"/>
    <n v="44113"/>
    <s v="SI206N03053"/>
    <m/>
    <s v="SO20N03639-NUHU GARBA"/>
    <s v="120099"/>
    <s v="20013482"/>
    <s v="MSH"/>
    <n v="0"/>
    <n v="46511.63"/>
    <n v="46511.63"/>
    <s v="NG"/>
    <x v="8"/>
  </r>
  <r>
    <s v="400-05"/>
    <x v="3"/>
    <n v="0"/>
    <d v="2020-10-09T00:00:00"/>
    <n v="44113"/>
    <s v="SI206N03054"/>
    <m/>
    <s v="SO20N03645-OLADIPUPO BAB"/>
    <s v="120099"/>
    <s v="20013484"/>
    <s v="MSH"/>
    <n v="0"/>
    <n v="69767.44"/>
    <n v="69767.44"/>
    <s v="NG"/>
    <x v="8"/>
  </r>
  <r>
    <s v="400-05"/>
    <x v="3"/>
    <n v="0"/>
    <d v="2020-10-09T00:00:00"/>
    <n v="44113"/>
    <s v="SI206N03055"/>
    <m/>
    <s v="SO20N03647-NONSO EZENWOB"/>
    <s v="120099"/>
    <s v="20013486"/>
    <s v="MSH"/>
    <n v="0"/>
    <n v="23255.81"/>
    <n v="23255.81"/>
    <s v="NG"/>
    <x v="8"/>
  </r>
  <r>
    <s v="400-05"/>
    <x v="3"/>
    <n v="0"/>
    <d v="2020-10-09T00:00:00"/>
    <n v="44113"/>
    <s v="SI206N03056"/>
    <m/>
    <s v="SO20N03653-OLUWAFEMI OPE"/>
    <s v="120099"/>
    <s v="20013488"/>
    <s v="MSH"/>
    <n v="0"/>
    <n v="18604.650000000001"/>
    <n v="18604.650000000001"/>
    <s v="NG"/>
    <x v="8"/>
  </r>
  <r>
    <s v="400-05"/>
    <x v="3"/>
    <n v="0"/>
    <d v="2020-10-09T00:00:00"/>
    <n v="44113"/>
    <s v="SI206N03057"/>
    <m/>
    <s v="SO20N03657-OLUWAFEMI OPE"/>
    <s v="120099"/>
    <s v="20013490"/>
    <s v="MSH"/>
    <n v="0"/>
    <n v="18604.650000000001"/>
    <n v="18604.650000000001"/>
    <s v="NG"/>
    <x v="8"/>
  </r>
  <r>
    <s v="400-05"/>
    <x v="3"/>
    <n v="0"/>
    <d v="2020-10-09T00:00:00"/>
    <n v="44113"/>
    <s v="SI206N03058"/>
    <m/>
    <s v="SO20N03668-BABARINDE OLA"/>
    <s v="120099"/>
    <s v="20013492"/>
    <s v="MSH"/>
    <n v="0"/>
    <n v="23255.81"/>
    <n v="23255.81"/>
    <s v="NG"/>
    <x v="8"/>
  </r>
  <r>
    <s v="400-05"/>
    <x v="3"/>
    <n v="0"/>
    <d v="2020-10-09T00:00:00"/>
    <n v="44113"/>
    <s v="SI206N03059"/>
    <m/>
    <s v="SO20N03678-RUSA DANJUMA"/>
    <s v="120099"/>
    <s v="20013494"/>
    <s v="MSH"/>
    <n v="0"/>
    <n v="93023.26"/>
    <n v="93023.26"/>
    <s v="NG"/>
    <x v="8"/>
  </r>
  <r>
    <s v="400-05"/>
    <x v="3"/>
    <n v="0"/>
    <d v="2020-10-09T00:00:00"/>
    <n v="44113"/>
    <s v="SI206N03060"/>
    <m/>
    <s v="SO20N03656-NUHU GARBA"/>
    <s v="120099"/>
    <s v="20013496"/>
    <s v="MSH"/>
    <n v="0"/>
    <n v="46511.63"/>
    <n v="46511.63"/>
    <s v="NG"/>
    <x v="8"/>
  </r>
  <r>
    <s v="400-05"/>
    <x v="3"/>
    <n v="0"/>
    <d v="2020-10-09T00:00:00"/>
    <n v="44113"/>
    <s v="SI206N03061"/>
    <m/>
    <s v="SO20N03691-EDET IMAIKOP"/>
    <s v="120099"/>
    <s v="20013498"/>
    <s v="MSH"/>
    <n v="0"/>
    <n v="37209.300000000003"/>
    <n v="37209.300000000003"/>
    <s v="NG"/>
    <x v="8"/>
  </r>
  <r>
    <s v="400-05"/>
    <x v="3"/>
    <n v="0"/>
    <d v="2020-10-09T00:00:00"/>
    <n v="44113"/>
    <s v="SI206N03062"/>
    <m/>
    <s v="SO20N03674-SOLA OGUNYOMI"/>
    <s v="120099"/>
    <s v="20013500"/>
    <s v="MSH"/>
    <n v="0"/>
    <n v="69767.44"/>
    <n v="69767.44"/>
    <s v="NG"/>
    <x v="8"/>
  </r>
  <r>
    <s v="400-05"/>
    <x v="3"/>
    <n v="0"/>
    <d v="2020-10-09T00:00:00"/>
    <n v="44113"/>
    <s v="SI206N03063"/>
    <m/>
    <s v="SO20N03679-NONSO EZENWOB"/>
    <s v="120099"/>
    <s v="20013503"/>
    <s v="MSH"/>
    <n v="0"/>
    <n v="23255.81"/>
    <n v="23255.81"/>
    <s v="NG"/>
    <x v="8"/>
  </r>
  <r>
    <s v="400-05"/>
    <x v="3"/>
    <n v="0"/>
    <d v="2020-10-09T00:00:00"/>
    <n v="44113"/>
    <s v="SI206N03064"/>
    <m/>
    <s v="SO20N03713-NUHU GARBA"/>
    <s v="120099"/>
    <s v="20013505"/>
    <s v="MSH"/>
    <n v="0"/>
    <n v="83720.929999999993"/>
    <n v="83720.929999999993"/>
    <s v="NG"/>
    <x v="8"/>
  </r>
  <r>
    <s v="400-05"/>
    <x v="3"/>
    <n v="0"/>
    <d v="2020-10-09T00:00:00"/>
    <n v="44113"/>
    <s v="SI206N03065"/>
    <m/>
    <s v="SO20N03733-NONSO EZENWOB"/>
    <s v="120099"/>
    <s v="20013507"/>
    <s v="MSH"/>
    <n v="0"/>
    <n v="46511.63"/>
    <n v="46511.63"/>
    <s v="NG"/>
    <x v="8"/>
  </r>
  <r>
    <s v="400-05"/>
    <x v="3"/>
    <n v="0"/>
    <d v="2020-10-09T00:00:00"/>
    <n v="44113"/>
    <s v="SI206N03066"/>
    <m/>
    <s v="SO20N03743-RUSA DANJUMA"/>
    <s v="120099"/>
    <s v="20013509"/>
    <s v="MSH"/>
    <n v="0"/>
    <n v="18604.650000000001"/>
    <n v="18604.650000000001"/>
    <s v="NG"/>
    <x v="8"/>
  </r>
  <r>
    <s v="400-05"/>
    <x v="3"/>
    <n v="0"/>
    <d v="2020-10-09T00:00:00"/>
    <n v="44113"/>
    <s v="SI206N03067"/>
    <m/>
    <s v="SO20N03762-NONSO EZENWOB"/>
    <s v="120099"/>
    <s v="20013511"/>
    <s v="MSH"/>
    <n v="0"/>
    <n v="46511.63"/>
    <n v="46511.63"/>
    <s v="NG"/>
    <x v="8"/>
  </r>
  <r>
    <s v="400-05"/>
    <x v="3"/>
    <n v="0"/>
    <d v="2020-10-09T00:00:00"/>
    <n v="44113"/>
    <s v="SI206N03068"/>
    <m/>
    <s v="SO20N03766-NONSO EZENWOB"/>
    <s v="120099"/>
    <s v="20013513"/>
    <s v="MSH"/>
    <n v="0"/>
    <n v="23255.81"/>
    <n v="23255.81"/>
    <s v="NG"/>
    <x v="8"/>
  </r>
  <r>
    <s v="400-05"/>
    <x v="3"/>
    <n v="0"/>
    <d v="2020-10-09T00:00:00"/>
    <n v="44113"/>
    <s v="SI206N03069"/>
    <m/>
    <s v="SO20N03820-BABARINDE OLA"/>
    <s v="120099"/>
    <s v="20013515"/>
    <s v="MSH"/>
    <n v="0"/>
    <n v="111627.91"/>
    <n v="111627.91"/>
    <s v="NG"/>
    <x v="8"/>
  </r>
  <r>
    <s v="400-05"/>
    <x v="3"/>
    <n v="0"/>
    <d v="2020-10-09T00:00:00"/>
    <n v="44113"/>
    <s v="SI206N03070"/>
    <m/>
    <s v="SO20N03822-OYEBOLA JOSEP"/>
    <s v="120099"/>
    <s v="20013517"/>
    <s v="MSH"/>
    <n v="0"/>
    <n v="23255.81"/>
    <n v="23255.81"/>
    <s v="NG"/>
    <x v="8"/>
  </r>
  <r>
    <s v="400-05"/>
    <x v="3"/>
    <n v="0"/>
    <d v="2020-10-09T00:00:00"/>
    <n v="44113"/>
    <s v="SI206N03071"/>
    <m/>
    <s v="SO20N03825-BABARINDE OLA"/>
    <s v="120099"/>
    <s v="20013519"/>
    <s v="MSH"/>
    <n v="0"/>
    <n v="353488.37"/>
    <n v="353488.37"/>
    <s v="NG"/>
    <x v="8"/>
  </r>
  <r>
    <s v="400-05"/>
    <x v="3"/>
    <n v="0"/>
    <d v="2020-10-09T00:00:00"/>
    <n v="44113"/>
    <s v="SI206N03072"/>
    <m/>
    <s v="SO20N03865-NONSO EZENWOB"/>
    <s v="120099"/>
    <s v="20013521"/>
    <s v="MSH"/>
    <n v="0"/>
    <n v="23255.81"/>
    <n v="23255.81"/>
    <s v="NG"/>
    <x v="8"/>
  </r>
  <r>
    <s v="400-05"/>
    <x v="3"/>
    <n v="0"/>
    <d v="2020-12-09T00:00:00"/>
    <n v="44174"/>
    <s v="SI206N03074"/>
    <m/>
    <s v="SO20N03541-Bulus Bitrus"/>
    <s v="100032"/>
    <s v="20013525"/>
    <s v="MSH"/>
    <n v="0"/>
    <n v="205116.28"/>
    <n v="205116.28"/>
    <s v="NG"/>
    <x v="8"/>
  </r>
  <r>
    <s v="400-05"/>
    <x v="3"/>
    <n v="0"/>
    <d v="2020-12-09T00:00:00"/>
    <n v="44174"/>
    <s v="SI206N03075"/>
    <m/>
    <s v="SO20N03554-JOSHUA ADEYEM"/>
    <s v="100032"/>
    <s v="20013527"/>
    <s v="MSH"/>
    <n v="0"/>
    <n v="75348.84"/>
    <n v="75348.84"/>
    <s v="NG"/>
    <x v="8"/>
  </r>
  <r>
    <s v="400-05"/>
    <x v="3"/>
    <n v="0"/>
    <d v="2020-12-09T00:00:00"/>
    <n v="44174"/>
    <s v="SI206N03076"/>
    <m/>
    <s v="SO20N03598-Zeal Star Com"/>
    <s v="100032"/>
    <s v="20013529"/>
    <s v="MSH"/>
    <n v="0"/>
    <n v="188372.09"/>
    <n v="188372.09"/>
    <s v="NG"/>
    <x v="8"/>
  </r>
  <r>
    <s v="400-05"/>
    <x v="3"/>
    <n v="0"/>
    <d v="2020-12-09T00:00:00"/>
    <n v="44174"/>
    <s v="SI206N03077"/>
    <m/>
    <s v="SO20N03558-Jones Communi"/>
    <s v="100032"/>
    <s v="20013531"/>
    <s v="MSH"/>
    <n v="0"/>
    <n v="117209.3"/>
    <n v="117209.3"/>
    <s v="NG"/>
    <x v="8"/>
  </r>
  <r>
    <s v="400-05"/>
    <x v="3"/>
    <n v="0"/>
    <d v="2020-12-09T00:00:00"/>
    <n v="44174"/>
    <s v="SI206N03078"/>
    <m/>
    <s v="SO20N03560-EXTREME GAMER"/>
    <s v="100032"/>
    <s v="20013533"/>
    <s v="MSH"/>
    <n v="0"/>
    <n v="100465.12"/>
    <n v="100465.12"/>
    <s v="NG"/>
    <x v="8"/>
  </r>
  <r>
    <s v="400-05"/>
    <x v="3"/>
    <n v="0"/>
    <d v="2020-12-09T00:00:00"/>
    <n v="44174"/>
    <s v="SI206N03079"/>
    <m/>
    <s v="SO20N03572-ROCOIN INT'L"/>
    <s v="100032"/>
    <s v="20013535"/>
    <s v="MSH"/>
    <n v="0"/>
    <n v="50232.56"/>
    <n v="50232.56"/>
    <s v="NG"/>
    <x v="8"/>
  </r>
  <r>
    <s v="400-05"/>
    <x v="3"/>
    <n v="0"/>
    <d v="2020-12-09T00:00:00"/>
    <n v="44174"/>
    <s v="SI206N03080"/>
    <m/>
    <s v="SO20N03568-MDG'S"/>
    <s v="100032"/>
    <s v="20013537"/>
    <s v="MSH"/>
    <n v="0"/>
    <n v="50232.56"/>
    <n v="50232.56"/>
    <s v="NG"/>
    <x v="8"/>
  </r>
  <r>
    <s v="400-05"/>
    <x v="3"/>
    <n v="0"/>
    <d v="2020-12-09T00:00:00"/>
    <n v="44174"/>
    <s v="SI206N03081"/>
    <m/>
    <s v="SO20N03574-ADEYEMO JOSHU"/>
    <s v="100032"/>
    <s v="20013539"/>
    <s v="MSH"/>
    <n v="0"/>
    <n v="100465.12"/>
    <n v="100465.12"/>
    <s v="NG"/>
    <x v="8"/>
  </r>
  <r>
    <s v="400-05"/>
    <x v="3"/>
    <n v="0"/>
    <d v="2020-12-09T00:00:00"/>
    <n v="44174"/>
    <s v="SI206N03082"/>
    <m/>
    <s v="SO20N03581-ESUGUNUM JOY"/>
    <s v="100032"/>
    <s v="20013541"/>
    <s v="MSH"/>
    <n v="0"/>
    <n v="16744.189999999999"/>
    <n v="16744.189999999999"/>
    <s v="NG"/>
    <x v="8"/>
  </r>
  <r>
    <s v="400-05"/>
    <x v="3"/>
    <n v="0"/>
    <d v="2020-12-09T00:00:00"/>
    <n v="44174"/>
    <s v="SI206N03083"/>
    <m/>
    <s v="SO20N03593-MKC ENTERPRIS"/>
    <s v="100032"/>
    <s v="20013543"/>
    <s v="MSH"/>
    <n v="0"/>
    <n v="50232.57"/>
    <n v="50232.57"/>
    <s v="NG"/>
    <x v="8"/>
  </r>
  <r>
    <s v="400-05"/>
    <x v="3"/>
    <n v="0"/>
    <d v="2020-12-09T00:00:00"/>
    <n v="44174"/>
    <s v="SI206N03083"/>
    <m/>
    <s v="SO20N03593-MKC ENTERPRIS"/>
    <s v="100032"/>
    <s v="20013543"/>
    <s v="MSH"/>
    <n v="0"/>
    <n v="146511.62"/>
    <n v="146511.62"/>
    <s v="NG"/>
    <x v="8"/>
  </r>
  <r>
    <s v="400-05"/>
    <x v="3"/>
    <n v="0"/>
    <d v="2020-12-09T00:00:00"/>
    <n v="44174"/>
    <s v="SI206N03084"/>
    <m/>
    <s v="SO20N03621-LANRECIOUS GR"/>
    <s v="100032"/>
    <s v="20013545"/>
    <s v="MSH"/>
    <n v="0"/>
    <n v="37674.42"/>
    <n v="37674.42"/>
    <s v="NG"/>
    <x v="8"/>
  </r>
  <r>
    <s v="400-05"/>
    <x v="3"/>
    <n v="0"/>
    <d v="2020-12-09T00:00:00"/>
    <n v="44174"/>
    <s v="SI206N03085"/>
    <m/>
    <s v="SO20N03601-ANIDI MITCHEL"/>
    <s v="100032"/>
    <s v="20013547"/>
    <s v="MSH"/>
    <n v="0"/>
    <n v="62790.7"/>
    <n v="62790.7"/>
    <s v="NG"/>
    <x v="8"/>
  </r>
  <r>
    <s v="400-05"/>
    <x v="3"/>
    <n v="0"/>
    <d v="2020-12-09T00:00:00"/>
    <n v="44174"/>
    <s v="SI206N03086"/>
    <m/>
    <s v="SO20N03625-NELIX Enginee"/>
    <s v="100032"/>
    <s v="20013549"/>
    <s v="MSH"/>
    <n v="0"/>
    <n v="58604.65"/>
    <n v="58604.65"/>
    <s v="NG"/>
    <x v="8"/>
  </r>
  <r>
    <s v="400-05"/>
    <x v="3"/>
    <n v="0"/>
    <d v="2020-12-09T00:00:00"/>
    <n v="44174"/>
    <s v="SI206N03087"/>
    <m/>
    <s v="SO20N03615-MATH COMMUNIC"/>
    <s v="100032"/>
    <s v="20013551"/>
    <s v="MSH"/>
    <n v="0"/>
    <n v="200930.23"/>
    <n v="200930.23"/>
    <s v="NG"/>
    <x v="8"/>
  </r>
  <r>
    <s v="400-05"/>
    <x v="3"/>
    <n v="0"/>
    <d v="2020-12-09T00:00:00"/>
    <n v="44174"/>
    <s v="SI206N03088"/>
    <m/>
    <s v="SO20N03617-NURUFATIMA GE"/>
    <s v="100032"/>
    <s v="20013553"/>
    <s v="MSH"/>
    <n v="0"/>
    <n v="20930.23"/>
    <n v="20930.23"/>
    <s v="NG"/>
    <x v="8"/>
  </r>
  <r>
    <s v="400-05"/>
    <x v="3"/>
    <n v="0"/>
    <d v="2020-12-09T00:00:00"/>
    <n v="44174"/>
    <s v="SI206N03089"/>
    <m/>
    <s v="SO20N03636-DIGI SAT VENT"/>
    <s v="100032"/>
    <s v="20013555"/>
    <s v="MSH"/>
    <n v="0"/>
    <n v="16744.189999999999"/>
    <n v="16744.189999999999"/>
    <s v="NG"/>
    <x v="8"/>
  </r>
  <r>
    <s v="400-05"/>
    <x v="3"/>
    <n v="0"/>
    <d v="2020-12-09T00:00:00"/>
    <n v="44174"/>
    <s v="SI206N03090"/>
    <m/>
    <s v="SO20N03609-12VOLT"/>
    <s v="100032"/>
    <s v="20013557"/>
    <s v="MSH"/>
    <n v="0"/>
    <n v="167441.85999999999"/>
    <n v="167441.85999999999"/>
    <s v="NG"/>
    <x v="8"/>
  </r>
  <r>
    <s v="400-05"/>
    <x v="3"/>
    <n v="0"/>
    <d v="2020-12-09T00:00:00"/>
    <n v="44174"/>
    <s v="SI206N03091"/>
    <m/>
    <s v="SO20N03631-ABURAMADHAN G"/>
    <s v="100032"/>
    <s v="20013559"/>
    <s v="MSH"/>
    <n v="0"/>
    <n v="100465.12"/>
    <n v="100465.12"/>
    <s v="NG"/>
    <x v="8"/>
  </r>
  <r>
    <s v="400-05"/>
    <x v="3"/>
    <n v="0"/>
    <d v="2020-12-09T00:00:00"/>
    <n v="44174"/>
    <s v="SI206N03092"/>
    <m/>
    <s v="SO20N03623-MDG'S CENTRE"/>
    <s v="100032"/>
    <s v="20013561"/>
    <s v="MSH"/>
    <n v="0"/>
    <n v="62790.7"/>
    <n v="62790.7"/>
    <s v="NG"/>
    <x v="8"/>
  </r>
  <r>
    <s v="400-05"/>
    <x v="3"/>
    <n v="0"/>
    <d v="2020-12-09T00:00:00"/>
    <n v="44174"/>
    <s v="SI206N03093"/>
    <m/>
    <s v="SO20N03626-Triple H Comm"/>
    <s v="100032"/>
    <s v="20013563"/>
    <s v="MSH"/>
    <n v="0"/>
    <n v="83720.929999999993"/>
    <n v="83720.929999999993"/>
    <s v="NG"/>
    <x v="8"/>
  </r>
  <r>
    <s v="400-05"/>
    <x v="3"/>
    <n v="0"/>
    <d v="2020-12-09T00:00:00"/>
    <n v="44174"/>
    <s v="SI206N03094"/>
    <m/>
    <s v="SO20N03616-Jamesbull Glo"/>
    <s v="100032"/>
    <s v="20013565"/>
    <s v="MSH"/>
    <n v="0"/>
    <n v="66976.740000000005"/>
    <n v="66976.740000000005"/>
    <s v="NG"/>
    <x v="8"/>
  </r>
  <r>
    <s v="400-05"/>
    <x v="3"/>
    <n v="0"/>
    <d v="2020-12-09T00:00:00"/>
    <n v="44174"/>
    <s v="SI206N03095"/>
    <m/>
    <s v="SO20N03778-DIGISAT VENTU"/>
    <s v="100032"/>
    <s v="20013567"/>
    <s v="MSH"/>
    <n v="0"/>
    <n v="20930.23"/>
    <n v="20930.23"/>
    <s v="NG"/>
    <x v="8"/>
  </r>
  <r>
    <s v="400-05"/>
    <x v="3"/>
    <n v="0"/>
    <d v="2020-12-09T00:00:00"/>
    <n v="44174"/>
    <s v="SI206N03096"/>
    <m/>
    <s v="SO20N03634-FUSE COMMUNIC"/>
    <s v="100032"/>
    <s v="20013569"/>
    <s v="MSH"/>
    <n v="0"/>
    <n v="192558.14"/>
    <n v="192558.14"/>
    <s v="NG"/>
    <x v="8"/>
  </r>
  <r>
    <s v="400-05"/>
    <x v="3"/>
    <n v="0"/>
    <d v="2020-12-09T00:00:00"/>
    <n v="44174"/>
    <s v="SI206N03097"/>
    <m/>
    <s v="SO20N03635-EVER UP MKTIN"/>
    <s v="100032"/>
    <s v="20013571"/>
    <s v="MSH"/>
    <n v="0"/>
    <n v="41860.47"/>
    <n v="41860.47"/>
    <s v="NG"/>
    <x v="8"/>
  </r>
  <r>
    <s v="400-05"/>
    <x v="3"/>
    <n v="0"/>
    <d v="2020-12-09T00:00:00"/>
    <n v="44174"/>
    <s v="SI206N03098"/>
    <m/>
    <s v="SO20N03633-LERRY JAY ELE"/>
    <s v="100032"/>
    <s v="20013573"/>
    <s v="MSH"/>
    <n v="0"/>
    <n v="50232.56"/>
    <n v="50232.56"/>
    <s v="NG"/>
    <x v="8"/>
  </r>
  <r>
    <s v="400-05"/>
    <x v="3"/>
    <n v="0"/>
    <d v="2020-12-09T00:00:00"/>
    <n v="44174"/>
    <s v="SI206N03099"/>
    <m/>
    <s v="SO20N03640-Aliyu Abdulla"/>
    <s v="100032"/>
    <s v="20013575"/>
    <s v="MSH"/>
    <n v="0"/>
    <n v="33488.370000000003"/>
    <n v="33488.370000000003"/>
    <s v="NG"/>
    <x v="8"/>
  </r>
  <r>
    <s v="400-05"/>
    <x v="3"/>
    <n v="0"/>
    <d v="2020-12-09T00:00:00"/>
    <n v="44174"/>
    <s v="SI206N03100"/>
    <m/>
    <s v="SO20N03644-ADAMU ISHIAK"/>
    <s v="100032"/>
    <s v="20013577"/>
    <s v="MSH"/>
    <n v="0"/>
    <n v="79534.880000000005"/>
    <n v="79534.880000000005"/>
    <s v="NG"/>
    <x v="8"/>
  </r>
  <r>
    <s v="400-05"/>
    <x v="3"/>
    <n v="0"/>
    <d v="2020-12-09T00:00:00"/>
    <n v="44174"/>
    <s v="SI206N03101"/>
    <m/>
    <s v="SO20N03648-NELIX Enginee"/>
    <s v="100032"/>
    <s v="20013579"/>
    <s v="MSH"/>
    <n v="0"/>
    <n v="92093.02"/>
    <n v="92093.02"/>
    <s v="NG"/>
    <x v="8"/>
  </r>
  <r>
    <s v="400-05"/>
    <x v="3"/>
    <n v="0"/>
    <d v="2020-12-09T00:00:00"/>
    <n v="44174"/>
    <s v="SI206N03102"/>
    <m/>
    <s v="SO20N03646-Jones Communi"/>
    <s v="100032"/>
    <s v="20013581"/>
    <s v="MSH"/>
    <n v="0"/>
    <n v="125581.4"/>
    <n v="125581.4"/>
    <s v="NG"/>
    <x v="8"/>
  </r>
  <r>
    <s v="400-05"/>
    <x v="3"/>
    <n v="0"/>
    <d v="2020-12-09T00:00:00"/>
    <n v="44174"/>
    <s v="SI206N03103"/>
    <m/>
    <s v="SO20N03654-Esugunum Joy"/>
    <s v="100032"/>
    <s v="20013583"/>
    <s v="MSH"/>
    <n v="0"/>
    <n v="83720.929999999993"/>
    <n v="83720.929999999993"/>
    <s v="NG"/>
    <x v="8"/>
  </r>
  <r>
    <s v="400-05"/>
    <x v="3"/>
    <n v="0"/>
    <d v="2020-12-09T00:00:00"/>
    <n v="44174"/>
    <s v="SI206N03104"/>
    <m/>
    <s v="SO20N03649-THANTONE NIG"/>
    <s v="100032"/>
    <s v="20013585"/>
    <s v="MSH"/>
    <n v="0"/>
    <n v="62790.7"/>
    <n v="62790.7"/>
    <s v="NG"/>
    <x v="8"/>
  </r>
  <r>
    <s v="400-05"/>
    <x v="3"/>
    <n v="0"/>
    <d v="2020-12-09T00:00:00"/>
    <n v="44174"/>
    <s v="SI206N03105"/>
    <m/>
    <s v="SO20N03652-Anidi Mitchel"/>
    <s v="100032"/>
    <s v="20013587"/>
    <s v="MSH"/>
    <n v="0"/>
    <n v="125581.4"/>
    <n v="125581.4"/>
    <s v="NG"/>
    <x v="8"/>
  </r>
  <r>
    <s v="400-05"/>
    <x v="3"/>
    <n v="0"/>
    <d v="2020-12-09T00:00:00"/>
    <n v="44174"/>
    <s v="SI206N03106"/>
    <m/>
    <s v="SO20N03655-JOSHUA ADEYEM"/>
    <s v="100032"/>
    <s v="20013589"/>
    <s v="MSH"/>
    <n v="0"/>
    <n v="83720.929999999993"/>
    <n v="83720.929999999993"/>
    <s v="NG"/>
    <x v="8"/>
  </r>
  <r>
    <s v="400-05"/>
    <x v="3"/>
    <n v="0"/>
    <d v="2020-12-09T00:00:00"/>
    <n v="44174"/>
    <s v="SI206N03107"/>
    <m/>
    <s v="SO20N03680-P-BLEZZ VENTU"/>
    <s v="100032"/>
    <s v="20013591"/>
    <s v="MSH"/>
    <n v="0"/>
    <n v="192558.14"/>
    <n v="192558.14"/>
    <s v="NG"/>
    <x v="8"/>
  </r>
  <r>
    <s v="400-05"/>
    <x v="3"/>
    <n v="0"/>
    <d v="2020-12-09T00:00:00"/>
    <n v="44174"/>
    <s v="SI206N03108"/>
    <m/>
    <s v="SO20N03693-ADECO"/>
    <s v="100032"/>
    <s v="20013593"/>
    <s v="MSH"/>
    <n v="0"/>
    <n v="92093.02"/>
    <n v="92093.02"/>
    <s v="NG"/>
    <x v="8"/>
  </r>
  <r>
    <s v="400-05"/>
    <x v="3"/>
    <n v="0"/>
    <d v="2020-12-09T00:00:00"/>
    <n v="44174"/>
    <s v="SI206N03109"/>
    <m/>
    <s v="SO20N03740-NURUFATIMA GE"/>
    <s v="100032"/>
    <s v="20013595"/>
    <s v="MSH"/>
    <n v="0"/>
    <n v="66976.740000000005"/>
    <n v="66976.740000000005"/>
    <s v="NG"/>
    <x v="8"/>
  </r>
  <r>
    <s v="400-05"/>
    <x v="3"/>
    <n v="0"/>
    <d v="2020-12-09T00:00:00"/>
    <n v="44174"/>
    <s v="SI206N03110"/>
    <m/>
    <s v="SO20N03694-JOSHUA ADEYEM"/>
    <s v="100032"/>
    <s v="20013597"/>
    <s v="MSH"/>
    <n v="0"/>
    <n v="41860.47"/>
    <n v="41860.47"/>
    <s v="NG"/>
    <x v="8"/>
  </r>
  <r>
    <s v="400-05"/>
    <x v="3"/>
    <n v="0"/>
    <d v="2020-12-09T00:00:00"/>
    <n v="44174"/>
    <s v="SI206N03111"/>
    <m/>
    <s v="SO20N03694-Thantone Nig"/>
    <s v="100032"/>
    <s v="20013599"/>
    <s v="MSH"/>
    <n v="0"/>
    <n v="92093.02"/>
    <n v="92093.02"/>
    <s v="NG"/>
    <x v="8"/>
  </r>
  <r>
    <s v="400-05"/>
    <x v="3"/>
    <n v="0"/>
    <d v="2020-12-09T00:00:00"/>
    <n v="44174"/>
    <s v="SI206N03112"/>
    <m/>
    <s v="SO20N03697-ANIDI MITCHEL"/>
    <s v="100032"/>
    <s v="20013601"/>
    <s v="MSH"/>
    <n v="0"/>
    <n v="37674.42"/>
    <n v="37674.42"/>
    <s v="NG"/>
    <x v="8"/>
  </r>
  <r>
    <s v="400-05"/>
    <x v="3"/>
    <n v="0"/>
    <d v="2020-12-09T00:00:00"/>
    <n v="44174"/>
    <s v="SI206N03113"/>
    <m/>
    <s v="SO20N03744-ALIYU ABDULLA"/>
    <s v="100032"/>
    <s v="20013603"/>
    <s v="MSH"/>
    <n v="0"/>
    <n v="16744.189999999999"/>
    <n v="16744.189999999999"/>
    <s v="NG"/>
    <x v="8"/>
  </r>
  <r>
    <s v="400-05"/>
    <x v="3"/>
    <n v="0"/>
    <d v="2020-12-09T00:00:00"/>
    <n v="44174"/>
    <s v="SI206N03114"/>
    <m/>
    <s v="SO20N03704-HOOJAY TRADIN"/>
    <s v="100032"/>
    <s v="20013605"/>
    <s v="MSH"/>
    <n v="0"/>
    <n v="104651.16"/>
    <n v="104651.16"/>
    <s v="NG"/>
    <x v="8"/>
  </r>
  <r>
    <s v="400-05"/>
    <x v="3"/>
    <n v="0"/>
    <d v="2020-12-09T00:00:00"/>
    <n v="44174"/>
    <s v="SI206N03115"/>
    <m/>
    <s v="PRIME&amp;ECOLTO,RENTALSETUP"/>
    <s v="120006"/>
    <s v="20013607"/>
    <s v="MSH"/>
    <n v="0"/>
    <n v="23255.81"/>
    <n v="23255.81"/>
    <s v="NG"/>
    <x v="8"/>
  </r>
  <r>
    <s v="400-05"/>
    <x v="3"/>
    <n v="0"/>
    <d v="2020-12-09T00:00:00"/>
    <n v="44174"/>
    <s v="SI206N03120"/>
    <m/>
    <s v="SO20N03712-JOY ESUGUNUM"/>
    <s v="100032"/>
    <s v="20013617"/>
    <s v="MSH"/>
    <n v="0"/>
    <n v="167441.85999999999"/>
    <n v="167441.85999999999"/>
    <s v="NG"/>
    <x v="8"/>
  </r>
  <r>
    <s v="400-05"/>
    <x v="3"/>
    <n v="0"/>
    <d v="2020-12-09T00:00:00"/>
    <n v="44174"/>
    <s v="SI206N03121"/>
    <m/>
    <s v="SO20N03719-IBRAHIM SHEHU"/>
    <s v="100032"/>
    <s v="20013619"/>
    <s v="MSH"/>
    <n v="0"/>
    <n v="79534.880000000005"/>
    <n v="79534.880000000005"/>
    <s v="NG"/>
    <x v="8"/>
  </r>
  <r>
    <s v="400-05"/>
    <x v="3"/>
    <n v="0"/>
    <d v="2020-12-09T00:00:00"/>
    <n v="44174"/>
    <s v="SI206N03123"/>
    <m/>
    <s v="SO20N03773-Multimesh Tec"/>
    <s v="100032"/>
    <s v="20013623"/>
    <s v="MSH"/>
    <n v="0"/>
    <n v="259534.88"/>
    <n v="259534.88"/>
    <s v="NG"/>
    <x v="8"/>
  </r>
  <r>
    <s v="400-05"/>
    <x v="3"/>
    <n v="0"/>
    <d v="2020-12-09T00:00:00"/>
    <n v="44174"/>
    <s v="SI206N03124"/>
    <m/>
    <s v="SO20N03732-JOSHUA ADEYEM"/>
    <s v="100032"/>
    <s v="20013625"/>
    <s v="MSH"/>
    <n v="0"/>
    <n v="33488.370000000003"/>
    <n v="33488.370000000003"/>
    <s v="NG"/>
    <x v="8"/>
  </r>
  <r>
    <s v="400-05"/>
    <x v="3"/>
    <n v="0"/>
    <d v="2020-12-09T00:00:00"/>
    <n v="44174"/>
    <s v="SI206N03126"/>
    <m/>
    <s v="SO20N03738-MDGs Centre"/>
    <s v="100032"/>
    <s v="20013629"/>
    <s v="MSH"/>
    <n v="0"/>
    <n v="83720.929999999993"/>
    <n v="83720.929999999993"/>
    <s v="NG"/>
    <x v="8"/>
  </r>
  <r>
    <s v="400-05"/>
    <x v="3"/>
    <n v="0"/>
    <d v="2020-12-09T00:00:00"/>
    <n v="44174"/>
    <s v="SI206N03127"/>
    <m/>
    <s v="SO20N03739-ROCOIN INT'L"/>
    <s v="100032"/>
    <s v="20013631"/>
    <s v="MSH"/>
    <n v="0"/>
    <n v="62790.7"/>
    <n v="62790.7"/>
    <s v="NG"/>
    <x v="8"/>
  </r>
  <r>
    <s v="400-05"/>
    <x v="3"/>
    <n v="0"/>
    <d v="2020-12-09T00:00:00"/>
    <n v="44174"/>
    <s v="SI206N03129"/>
    <m/>
    <s v="SO20N03739-DIGISAT VENTU"/>
    <s v="100032"/>
    <s v="20013635"/>
    <s v="MSH"/>
    <n v="0"/>
    <n v="83720.929999999993"/>
    <n v="83720.929999999993"/>
    <s v="NG"/>
    <x v="8"/>
  </r>
  <r>
    <s v="400-05"/>
    <x v="3"/>
    <n v="0"/>
    <d v="2020-12-09T00:00:00"/>
    <n v="44174"/>
    <s v="SI206N03130"/>
    <m/>
    <s v="SO20N03764-VERONICA EPHR"/>
    <s v="100032"/>
    <s v="20013637"/>
    <s v="MSH"/>
    <n v="0"/>
    <n v="75348.84"/>
    <n v="75348.84"/>
    <s v="NG"/>
    <x v="8"/>
  </r>
  <r>
    <s v="400-05"/>
    <x v="3"/>
    <n v="0"/>
    <d v="2020-12-09T00:00:00"/>
    <n v="44174"/>
    <s v="SI206N03131"/>
    <m/>
    <s v="SO20N03765-Elohim Solar"/>
    <s v="100032"/>
    <s v="20013639"/>
    <s v="MSH"/>
    <n v="0"/>
    <n v="96279.07"/>
    <n v="96279.07"/>
    <s v="NG"/>
    <x v="8"/>
  </r>
  <r>
    <s v="400-05"/>
    <x v="3"/>
    <n v="0"/>
    <d v="2020-12-09T00:00:00"/>
    <n v="44174"/>
    <s v="SI206N03132"/>
    <m/>
    <s v="SO20N03775-IBRAHIM ADAMU"/>
    <s v="100032"/>
    <s v="20013641"/>
    <s v="MSH"/>
    <n v="0"/>
    <n v="83720.929999999993"/>
    <n v="83720.929999999993"/>
    <s v="NG"/>
    <x v="8"/>
  </r>
  <r>
    <s v="400-05"/>
    <x v="3"/>
    <n v="0"/>
    <d v="2020-12-09T00:00:00"/>
    <n v="44174"/>
    <s v="SI206N03133"/>
    <m/>
    <s v="SO20N03774-Halliru Lawan"/>
    <s v="100032"/>
    <s v="20013642"/>
    <s v="MSH"/>
    <n v="0"/>
    <n v="100465.12"/>
    <n v="100465.12"/>
    <s v="NG"/>
    <x v="8"/>
  </r>
  <r>
    <s v="400-05"/>
    <x v="3"/>
    <n v="0"/>
    <d v="2020-12-09T00:00:00"/>
    <n v="44174"/>
    <s v="SI206N03134"/>
    <m/>
    <s v="SO20N03776-MDG CENTRE"/>
    <s v="100032"/>
    <s v="20013644"/>
    <s v="MSH"/>
    <n v="0"/>
    <n v="83720.929999999993"/>
    <n v="83720.929999999993"/>
    <s v="NG"/>
    <x v="8"/>
  </r>
  <r>
    <s v="400-05"/>
    <x v="3"/>
    <n v="0"/>
    <d v="2020-12-09T00:00:00"/>
    <n v="44174"/>
    <s v="SI206N03135"/>
    <m/>
    <s v="SO20N03779-ADMORLINKS SY"/>
    <s v="100032"/>
    <s v="20013646"/>
    <s v="MSH"/>
    <n v="0"/>
    <n v="104651.16"/>
    <n v="104651.16"/>
    <s v="NG"/>
    <x v="8"/>
  </r>
  <r>
    <s v="400-05"/>
    <x v="3"/>
    <n v="0"/>
    <d v="2020-12-09T00:00:00"/>
    <n v="44174"/>
    <s v="SI206N03136"/>
    <m/>
    <s v="SO20N03875-First Dreogia"/>
    <s v="100032"/>
    <s v="20013648"/>
    <s v="MSH"/>
    <n v="0"/>
    <n v="293023.26"/>
    <n v="293023.26"/>
    <s v="NG"/>
    <x v="8"/>
  </r>
  <r>
    <s v="400-05"/>
    <x v="3"/>
    <n v="0"/>
    <d v="2020-12-09T00:00:00"/>
    <n v="44174"/>
    <s v="SI206N03137"/>
    <m/>
    <s v="SO20N03824-JOSHUA ADEYEM"/>
    <s v="100032"/>
    <s v="20013650"/>
    <s v="MSH"/>
    <n v="0"/>
    <n v="125581.4"/>
    <n v="125581.4"/>
    <s v="NG"/>
    <x v="8"/>
  </r>
  <r>
    <s v="400-05"/>
    <x v="3"/>
    <n v="0"/>
    <d v="2020-12-09T00:00:00"/>
    <n v="44174"/>
    <s v="SI206N03138"/>
    <m/>
    <s v="SO20N03873-BODZIBAH NIGE"/>
    <s v="100032"/>
    <s v="20013652"/>
    <s v="MSH"/>
    <n v="0"/>
    <n v="125581.4"/>
    <n v="125581.4"/>
    <s v="NG"/>
    <x v="8"/>
  </r>
  <r>
    <s v="400-05"/>
    <x v="3"/>
    <n v="0"/>
    <d v="2020-12-09T00:00:00"/>
    <n v="44174"/>
    <s v="SI206N03146"/>
    <m/>
    <s v="SO20N03874-Ukasha Abdull"/>
    <s v="100032"/>
    <s v="20013672"/>
    <s v="MSH"/>
    <n v="0"/>
    <n v="41860.47"/>
    <n v="41860.47"/>
    <s v="NG"/>
    <x v="8"/>
  </r>
  <r>
    <s v="400-05"/>
    <x v="3"/>
    <n v="0"/>
    <d v="2020-12-09T00:00:00"/>
    <n v="44174"/>
    <s v="SI206N03148"/>
    <m/>
    <s v="SO20N03886-Adamu Ibrahim"/>
    <s v="100032"/>
    <s v="20013703"/>
    <s v="MSH"/>
    <n v="0"/>
    <n v="113023.26"/>
    <n v="113023.26"/>
    <s v="NG"/>
    <x v="8"/>
  </r>
  <r>
    <s v="400-05"/>
    <x v="3"/>
    <n v="0"/>
    <d v="2020-12-09T00:00:00"/>
    <n v="44174"/>
    <s v="SI206N03149"/>
    <m/>
    <s v="SO20N03913-EXTREME GAMER"/>
    <s v="100032"/>
    <s v="20013705"/>
    <s v="MSH"/>
    <n v="0"/>
    <n v="117209.3"/>
    <n v="117209.3"/>
    <s v="NG"/>
    <x v="8"/>
  </r>
  <r>
    <s v="400-05"/>
    <x v="3"/>
    <n v="0"/>
    <d v="2020-12-09T00:00:00"/>
    <n v="44174"/>
    <s v="SI206N03150"/>
    <m/>
    <s v="SO20N03931-ISHIAK ADAMU"/>
    <s v="100032"/>
    <s v="20013707"/>
    <s v="MSH"/>
    <n v="0"/>
    <n v="58604.65"/>
    <n v="58604.65"/>
    <s v="NG"/>
    <x v="8"/>
  </r>
  <r>
    <s v="400-05"/>
    <x v="3"/>
    <n v="0"/>
    <d v="2020-12-09T00:00:00"/>
    <n v="44174"/>
    <s v="SI206N03151"/>
    <m/>
    <s v="SO20N03956-JOSHUA ADEYEM"/>
    <s v="100032"/>
    <s v="20013709"/>
    <s v="MSH"/>
    <n v="0"/>
    <n v="104651.16"/>
    <n v="104651.16"/>
    <s v="NG"/>
    <x v="8"/>
  </r>
  <r>
    <s v="400-05"/>
    <x v="3"/>
    <n v="0"/>
    <d v="2020-12-09T00:00:00"/>
    <n v="44174"/>
    <s v="SI206N03152"/>
    <m/>
    <s v="SO20N03951-ANIDI MITCHEL"/>
    <s v="100032"/>
    <s v="20013711"/>
    <s v="MSH"/>
    <n v="0"/>
    <n v="75348.84"/>
    <n v="75348.84"/>
    <s v="NG"/>
    <x v="8"/>
  </r>
  <r>
    <s v="400-05"/>
    <x v="3"/>
    <n v="0"/>
    <d v="2020-12-09T00:00:00"/>
    <n v="44174"/>
    <s v="SI206N03153"/>
    <m/>
    <s v="SO20N03955-IBRAHIM ADAMU"/>
    <s v="100032"/>
    <s v="20013713"/>
    <s v="MSH"/>
    <n v="0"/>
    <n v="62790.7"/>
    <n v="62790.7"/>
    <s v="NG"/>
    <x v="8"/>
  </r>
  <r>
    <s v="400-05"/>
    <x v="3"/>
    <n v="0"/>
    <d v="2020-12-09T00:00:00"/>
    <n v="44174"/>
    <s v="SI206N03154"/>
    <m/>
    <s v="PRIME&amp;ECOLTORENTAL,SETUP"/>
    <s v="120006"/>
    <s v="20013715"/>
    <s v="MSH"/>
    <n v="0"/>
    <n v="23255.81"/>
    <n v="23255.81"/>
    <s v="NG"/>
    <x v="8"/>
  </r>
  <r>
    <s v="400-05"/>
    <x v="3"/>
    <n v="0"/>
    <d v="2020-12-09T00:00:00"/>
    <n v="44174"/>
    <s v="SI206N03156"/>
    <m/>
    <s v="Multi-Shipmt Inv"/>
    <s v="120006"/>
    <s v="20013719"/>
    <s v="MSH"/>
    <n v="0"/>
    <n v="23255.81"/>
    <n v="23255.81"/>
    <s v="NG"/>
    <x v="8"/>
  </r>
  <r>
    <s v="400-05"/>
    <x v="3"/>
    <n v="0"/>
    <d v="2020-12-09T00:00:00"/>
    <n v="44174"/>
    <s v="SI206N03157"/>
    <m/>
    <s v="Reversal of 20013719"/>
    <s v="120006"/>
    <s v="20013720"/>
    <s v="MSH"/>
    <n v="0"/>
    <n v="-23255.81"/>
    <n v="-23255.81"/>
    <s v="NG"/>
    <x v="8"/>
  </r>
  <r>
    <s v="400-05"/>
    <x v="3"/>
    <n v="0"/>
    <d v="2020-12-09T00:00:00"/>
    <n v="44174"/>
    <s v="SI206N03158"/>
    <m/>
    <s v="PRIME&amp;ECO LTO,SETUP,RENT"/>
    <s v="120006"/>
    <s v="20013721"/>
    <s v="MSH"/>
    <n v="0"/>
    <n v="23255.81"/>
    <n v="23255.81"/>
    <s v="NG"/>
    <x v="8"/>
  </r>
  <r>
    <s v="400-05"/>
    <x v="3"/>
    <n v="0"/>
    <d v="2020-12-09T00:00:00"/>
    <n v="44174"/>
    <s v="SI206N03159"/>
    <m/>
    <s v="PRIME&amp;ECOLTO,SETUP,RENTA"/>
    <s v="120006"/>
    <s v="20013723"/>
    <s v="MSH"/>
    <n v="0"/>
    <n v="23255.81"/>
    <n v="23255.81"/>
    <s v="NG"/>
    <x v="8"/>
  </r>
  <r>
    <s v="400-05"/>
    <x v="3"/>
    <n v="0"/>
    <d v="2020-12-09T00:00:00"/>
    <n v="44174"/>
    <s v="SI206N03160"/>
    <m/>
    <s v="SO20N03958-VERA COMMUNIC"/>
    <s v="100032"/>
    <s v="20013725"/>
    <s v="MSH"/>
    <n v="0"/>
    <n v="37674.42"/>
    <n v="37674.42"/>
    <s v="NG"/>
    <x v="8"/>
  </r>
  <r>
    <s v="400-05"/>
    <x v="3"/>
    <n v="0"/>
    <d v="2020-12-09T00:00:00"/>
    <n v="44174"/>
    <s v="SI206N03161"/>
    <m/>
    <s v="SO20N03959-JOY ESUGUNUM"/>
    <s v="100032"/>
    <s v="20013727"/>
    <s v="MSH"/>
    <n v="0"/>
    <n v="75348.84"/>
    <n v="75348.84"/>
    <s v="NG"/>
    <x v="8"/>
  </r>
  <r>
    <s v="400-05"/>
    <x v="3"/>
    <n v="0"/>
    <d v="2020-12-09T00:00:00"/>
    <n v="44174"/>
    <s v="SI206N03162"/>
    <m/>
    <s v="SO20N03965-AFAM KENNETH"/>
    <s v="100032"/>
    <s v="20013729"/>
    <s v="MSH"/>
    <n v="0"/>
    <n v="33488.370000000003"/>
    <n v="33488.370000000003"/>
    <s v="NG"/>
    <x v="8"/>
  </r>
  <r>
    <s v="400-05"/>
    <x v="3"/>
    <n v="0"/>
    <d v="2020-12-09T00:00:00"/>
    <n v="44174"/>
    <s v="SI206N03163"/>
    <m/>
    <s v="SO20N03966-ISRAEL MULTI"/>
    <s v="100032"/>
    <s v="20013730"/>
    <s v="MSH"/>
    <n v="0"/>
    <n v="96279.07"/>
    <n v="96279.07"/>
    <s v="NG"/>
    <x v="8"/>
  </r>
  <r>
    <s v="400-05"/>
    <x v="3"/>
    <n v="0"/>
    <d v="2020-12-09T00:00:00"/>
    <n v="44174"/>
    <s v="SI206N03164"/>
    <m/>
    <s v="SO20N03970-NELIX Enginee"/>
    <s v="100032"/>
    <s v="20013732"/>
    <s v="MSH"/>
    <n v="0"/>
    <n v="79534.880000000005"/>
    <n v="79534.880000000005"/>
    <s v="NG"/>
    <x v="8"/>
  </r>
  <r>
    <s v="400-05"/>
    <x v="3"/>
    <n v="0"/>
    <d v="2020-12-09T00:00:00"/>
    <n v="44174"/>
    <s v="SI206N03165"/>
    <m/>
    <s v="SO20N03974-OBIMAT RESOUR"/>
    <s v="100032"/>
    <s v="20013734"/>
    <s v="MSH"/>
    <n v="0"/>
    <n v="200930.23"/>
    <n v="200930.23"/>
    <s v="NG"/>
    <x v="8"/>
  </r>
  <r>
    <s v="400-05"/>
    <x v="3"/>
    <n v="0"/>
    <d v="2020-12-09T00:00:00"/>
    <n v="44174"/>
    <s v="SI206N03166"/>
    <m/>
    <s v="SO20N03993-LERRY JAY ELE"/>
    <s v="100032"/>
    <s v="20013736"/>
    <s v="MSH"/>
    <n v="0"/>
    <n v="41860.47"/>
    <n v="41860.47"/>
    <s v="NG"/>
    <x v="8"/>
  </r>
  <r>
    <s v="400-05"/>
    <x v="3"/>
    <n v="0"/>
    <s v="16/09/20"/>
    <s v="16/09/20"/>
    <s v="SI206N03175"/>
    <m/>
    <s v="SO20N03690-AFAM KENNETH"/>
    <s v="100032"/>
    <s v="20013760"/>
    <s v="MSH"/>
    <n v="0"/>
    <n v="50232.56"/>
    <n v="50232.56"/>
    <s v="NG"/>
    <x v="8"/>
  </r>
  <r>
    <s v="400-05"/>
    <x v="3"/>
    <n v="0"/>
    <s v="16/09/20"/>
    <s v="16/09/20"/>
    <s v="SI206N03176"/>
    <m/>
    <s v="SO20N03823-G&amp;T Electrica"/>
    <s v="100032"/>
    <s v="20013762"/>
    <s v="MSH"/>
    <n v="0"/>
    <n v="58604.65"/>
    <n v="58604.65"/>
    <s v="NG"/>
    <x v="8"/>
  </r>
  <r>
    <s v="400-05"/>
    <x v="3"/>
    <n v="0"/>
    <s v="16/09/20"/>
    <s v="16/09/20"/>
    <s v="SI206N03177"/>
    <m/>
    <s v="SO20N03941-ALIYU ABDULLA"/>
    <s v="100032"/>
    <s v="20013769"/>
    <s v="MSH"/>
    <n v="0"/>
    <n v="20930.23"/>
    <n v="20930.23"/>
    <s v="NG"/>
    <x v="8"/>
  </r>
  <r>
    <s v="400-05"/>
    <x v="3"/>
    <n v="0"/>
    <s v="16/09/20"/>
    <s v="16/09/20"/>
    <s v="SI206N03178"/>
    <m/>
    <s v="SO20N03938-TNK NIGERIA G"/>
    <s v="100032"/>
    <s v="20013779"/>
    <s v="MSH"/>
    <n v="0"/>
    <n v="96279.07"/>
    <n v="96279.07"/>
    <s v="NG"/>
    <x v="8"/>
  </r>
  <r>
    <s v="400-05"/>
    <x v="3"/>
    <n v="0"/>
    <s v="16/09/20"/>
    <s v="16/09/20"/>
    <s v="SI206N03179"/>
    <m/>
    <s v="SO20N04012-MDGS CENTER"/>
    <s v="100032"/>
    <s v="20013797"/>
    <s v="MSH"/>
    <n v="0"/>
    <n v="83720.929999999993"/>
    <n v="83720.929999999993"/>
    <s v="NG"/>
    <x v="8"/>
  </r>
  <r>
    <s v="400-05"/>
    <x v="3"/>
    <n v="0"/>
    <s v="16/09/20"/>
    <s v="16/09/20"/>
    <s v="SI206N03180"/>
    <m/>
    <s v="SO20N03996-JOY ESUGUNUM"/>
    <s v="100032"/>
    <s v="20013799"/>
    <s v="MSH"/>
    <n v="0"/>
    <n v="83720.929999999993"/>
    <n v="83720.929999999993"/>
    <s v="NG"/>
    <x v="8"/>
  </r>
  <r>
    <s v="400-05"/>
    <x v="3"/>
    <n v="0"/>
    <s v="16/09/20"/>
    <s v="16/09/20"/>
    <s v="SI206N03181"/>
    <m/>
    <s v="SO20N04015-Jones Communi"/>
    <s v="100032"/>
    <s v="20013801"/>
    <s v="MSH"/>
    <n v="0"/>
    <n v="100465.12"/>
    <n v="100465.12"/>
    <s v="NG"/>
    <x v="8"/>
  </r>
  <r>
    <s v="400-05"/>
    <x v="3"/>
    <n v="0"/>
    <s v="16/09/20"/>
    <s v="16/09/20"/>
    <s v="SI206N03182"/>
    <m/>
    <s v="SO20N04017-VERA COMMUNIC"/>
    <s v="100032"/>
    <s v="20013803"/>
    <s v="MSH"/>
    <n v="0"/>
    <n v="104651.16"/>
    <n v="104651.16"/>
    <s v="NG"/>
    <x v="8"/>
  </r>
  <r>
    <s v="400-05"/>
    <x v="3"/>
    <n v="0"/>
    <s v="16/09/20"/>
    <s v="16/09/20"/>
    <s v="SI206N03183"/>
    <m/>
    <s v="SO20N04016-BILUS BITRUS"/>
    <s v="100032"/>
    <s v="20013805"/>
    <s v="MSH"/>
    <n v="0"/>
    <n v="117209.3"/>
    <n v="117209.3"/>
    <s v="NG"/>
    <x v="8"/>
  </r>
  <r>
    <s v="400-05"/>
    <x v="3"/>
    <n v="0"/>
    <s v="16/09/20"/>
    <s v="16/09/20"/>
    <s v="SI206N03184"/>
    <m/>
    <s v="SO20N04018-SUNDAY YAKUBU"/>
    <s v="100032"/>
    <s v="20013807"/>
    <s v="MSH"/>
    <n v="0"/>
    <n v="167441.85999999999"/>
    <n v="167441.85999999999"/>
    <s v="NG"/>
    <x v="8"/>
  </r>
  <r>
    <s v="400-05"/>
    <x v="3"/>
    <n v="0"/>
    <s v="16/09/20"/>
    <s v="16/09/20"/>
    <s v="SI206N03185"/>
    <m/>
    <s v="SO20N04019-ANIDI MITCHEL"/>
    <s v="100032"/>
    <s v="20013809"/>
    <s v="MSH"/>
    <n v="0"/>
    <n v="83720.929999999993"/>
    <n v="83720.929999999993"/>
    <s v="NG"/>
    <x v="8"/>
  </r>
  <r>
    <s v="400-05"/>
    <x v="3"/>
    <n v="0"/>
    <s v="16/09/20"/>
    <s v="16/09/20"/>
    <s v="SI206N03186"/>
    <m/>
    <s v="SO20N04024-OAKHURST LIMI"/>
    <s v="100032"/>
    <s v="20013811"/>
    <s v="MSH"/>
    <n v="0"/>
    <n v="33488.379999999997"/>
    <n v="33488.379999999997"/>
    <s v="NG"/>
    <x v="8"/>
  </r>
  <r>
    <s v="400-05"/>
    <x v="3"/>
    <n v="0"/>
    <s v="16/09/20"/>
    <s v="16/09/20"/>
    <s v="SI206N03186"/>
    <m/>
    <s v="SO20N04024-OAKHURST LIMI"/>
    <s v="100032"/>
    <s v="20013811"/>
    <s v="MSH"/>
    <n v="0"/>
    <n v="125581.39"/>
    <n v="125581.39"/>
    <s v="NG"/>
    <x v="8"/>
  </r>
  <r>
    <s v="400-05"/>
    <x v="3"/>
    <n v="0"/>
    <s v="16/09/20"/>
    <s v="16/09/20"/>
    <s v="SI206N03188"/>
    <m/>
    <s v="SO20N04041-HONEYPLUS COM"/>
    <s v="100032"/>
    <s v="20013814"/>
    <s v="MSH"/>
    <n v="0"/>
    <n v="75348.84"/>
    <n v="75348.84"/>
    <s v="NG"/>
    <x v="8"/>
  </r>
  <r>
    <s v="400-05"/>
    <x v="3"/>
    <n v="0"/>
    <s v="16/09/20"/>
    <s v="16/09/20"/>
    <s v="SI206N03189"/>
    <m/>
    <s v="SO20N04044-OAKHURST LIMI"/>
    <s v="100032"/>
    <s v="20013815"/>
    <s v="MSH"/>
    <n v="0"/>
    <n v="37674.42"/>
    <n v="37674.42"/>
    <s v="NG"/>
    <x v="8"/>
  </r>
  <r>
    <s v="400-05"/>
    <x v="3"/>
    <n v="0"/>
    <s v="16/09/20"/>
    <s v="16/09/20"/>
    <s v="SI206N03190"/>
    <m/>
    <s v="SO20N04049-IDATA INTEGRA"/>
    <s v="100032"/>
    <s v="20013817"/>
    <s v="MSH"/>
    <n v="0"/>
    <n v="62790.7"/>
    <n v="62790.7"/>
    <s v="NG"/>
    <x v="8"/>
  </r>
  <r>
    <s v="400-05"/>
    <x v="3"/>
    <n v="0"/>
    <s v="16/09/20"/>
    <s v="16/09/20"/>
    <s v="SI206N03191"/>
    <m/>
    <s v="SO20N04045-JOY ESUGUNUM"/>
    <s v="100032"/>
    <s v="20013819"/>
    <s v="MSH"/>
    <n v="0"/>
    <n v="83720.929999999993"/>
    <n v="83720.929999999993"/>
    <s v="NG"/>
    <x v="8"/>
  </r>
  <r>
    <s v="400-05"/>
    <x v="3"/>
    <n v="0"/>
    <s v="16/09/20"/>
    <s v="16/09/20"/>
    <s v="SI206N03192"/>
    <m/>
    <s v="SO20N04047-JOSHUA ADEYEM"/>
    <s v="100032"/>
    <s v="20013821"/>
    <s v="MSH"/>
    <n v="0"/>
    <n v="104651.16"/>
    <n v="104651.16"/>
    <s v="NG"/>
    <x v="8"/>
  </r>
  <r>
    <s v="400-05"/>
    <x v="3"/>
    <n v="0"/>
    <s v="16/09/20"/>
    <s v="16/09/20"/>
    <s v="SI206N03193"/>
    <m/>
    <s v="SO20N04060-ABILITY DESIG"/>
    <s v="100032"/>
    <s v="20013823"/>
    <s v="MSH"/>
    <n v="0"/>
    <n v="117209.3"/>
    <n v="117209.3"/>
    <s v="NG"/>
    <x v="8"/>
  </r>
  <r>
    <s v="400-05"/>
    <x v="3"/>
    <n v="0"/>
    <s v="16/09/20"/>
    <s v="16/09/20"/>
    <s v="SI206N03194"/>
    <m/>
    <s v="SO20N04051-HOOJAY TRADIN"/>
    <s v="100032"/>
    <s v="20013825"/>
    <s v="MSH"/>
    <n v="0"/>
    <n v="62790.7"/>
    <n v="62790.7"/>
    <s v="NG"/>
    <x v="8"/>
  </r>
  <r>
    <s v="400-05"/>
    <x v="3"/>
    <n v="0"/>
    <s v="16/09/20"/>
    <s v="16/09/20"/>
    <s v="SI206N03195"/>
    <m/>
    <s v="SO20N04070-LERRY JAY ELE"/>
    <s v="100032"/>
    <s v="20013827"/>
    <s v="MSH"/>
    <n v="0"/>
    <n v="41860.47"/>
    <n v="41860.47"/>
    <s v="NG"/>
    <x v="8"/>
  </r>
  <r>
    <s v="400-05"/>
    <x v="3"/>
    <n v="0"/>
    <s v="16/09/20"/>
    <s v="16/09/20"/>
    <s v="SI206N03196"/>
    <m/>
    <s v="SO20N04076-AFAM KENNETH"/>
    <s v="100032"/>
    <s v="20013829"/>
    <s v="MSH"/>
    <n v="0"/>
    <n v="50232.56"/>
    <n v="50232.56"/>
    <s v="NG"/>
    <x v="8"/>
  </r>
  <r>
    <s v="400-05"/>
    <x v="3"/>
    <n v="0"/>
    <s v="16/09/20"/>
    <s v="16/09/20"/>
    <s v="SI206N03197"/>
    <m/>
    <s v="SO20N04069-ECO COMMUNICA"/>
    <s v="100032"/>
    <s v="20013831"/>
    <s v="MSH"/>
    <n v="0"/>
    <n v="41860.47"/>
    <n v="41860.47"/>
    <s v="NG"/>
    <x v="8"/>
  </r>
  <r>
    <s v="400-05"/>
    <x v="3"/>
    <n v="0"/>
    <s v="16/09/20"/>
    <s v="16/09/20"/>
    <s v="SI206N03198"/>
    <m/>
    <s v="SO20N04080-DIGISAT VENTU"/>
    <s v="100032"/>
    <s v="20013833"/>
    <s v="MSH"/>
    <n v="0"/>
    <n v="83720.929999999993"/>
    <n v="83720.929999999993"/>
    <s v="NG"/>
    <x v="8"/>
  </r>
  <r>
    <s v="400-05"/>
    <x v="3"/>
    <n v="0"/>
    <s v="16/09/20"/>
    <s v="16/09/20"/>
    <s v="SI206N03199"/>
    <m/>
    <s v="SO20N04111-Jamesbull Glo"/>
    <s v="100032"/>
    <s v="20013835"/>
    <s v="MSH"/>
    <n v="0"/>
    <n v="167441.85999999999"/>
    <n v="167441.85999999999"/>
    <s v="NG"/>
    <x v="8"/>
  </r>
  <r>
    <s v="400-05"/>
    <x v="3"/>
    <n v="0"/>
    <s v="16/09/20"/>
    <s v="16/09/20"/>
    <s v="SI206N03200"/>
    <m/>
    <s v="SO20N04109-LERRY JAY ELE"/>
    <s v="100032"/>
    <s v="20013837"/>
    <s v="MSH"/>
    <n v="0"/>
    <n v="104651.16"/>
    <n v="104651.16"/>
    <s v="NG"/>
    <x v="8"/>
  </r>
  <r>
    <s v="400-05"/>
    <x v="3"/>
    <n v="0"/>
    <s v="16/09/20"/>
    <s v="16/09/20"/>
    <s v="SI206N03201"/>
    <m/>
    <s v="SO20N04102-EVER UP MKTIN"/>
    <s v="100032"/>
    <s v="20013839"/>
    <s v="MSH"/>
    <n v="0"/>
    <n v="41860.47"/>
    <n v="41860.47"/>
    <s v="NG"/>
    <x v="8"/>
  </r>
  <r>
    <s v="400-05"/>
    <x v="3"/>
    <n v="0"/>
    <s v="16/09/20"/>
    <s v="16/09/20"/>
    <s v="SI206N03202"/>
    <m/>
    <s v="SO20N04114-ADEYEMO JOSHU"/>
    <s v="100032"/>
    <s v="20013841"/>
    <s v="MSH"/>
    <n v="0"/>
    <n v="104651.16"/>
    <n v="104651.16"/>
    <s v="NG"/>
    <x v="8"/>
  </r>
  <r>
    <s v="400-05"/>
    <x v="3"/>
    <n v="0"/>
    <s v="16/09/20"/>
    <s v="16/09/20"/>
    <s v="SI206N03203"/>
    <m/>
    <s v="SO20N04113-Jones Communi"/>
    <s v="100032"/>
    <s v="20013843"/>
    <s v="MSH"/>
    <n v="0"/>
    <n v="62790.7"/>
    <n v="62790.7"/>
    <s v="NG"/>
    <x v="8"/>
  </r>
  <r>
    <s v="400-05"/>
    <x v="3"/>
    <n v="0"/>
    <s v="16/09/20"/>
    <s v="16/09/20"/>
    <s v="SI206N03204"/>
    <m/>
    <s v="SO20N04115-MDG'S CENTRE"/>
    <s v="100032"/>
    <s v="20013845"/>
    <s v="MSH"/>
    <n v="0"/>
    <n v="83720.929999999993"/>
    <n v="83720.929999999993"/>
    <s v="NG"/>
    <x v="8"/>
  </r>
  <r>
    <s v="400-05"/>
    <x v="3"/>
    <n v="0"/>
    <s v="16/09/20"/>
    <s v="16/09/20"/>
    <s v="SI206N03205"/>
    <m/>
    <s v="SO20N04116-NELIX Enginee"/>
    <s v="100032"/>
    <s v="20013847"/>
    <s v="MSH"/>
    <n v="0"/>
    <n v="79534.880000000005"/>
    <n v="79534.880000000005"/>
    <s v="NG"/>
    <x v="8"/>
  </r>
  <r>
    <s v="400-05"/>
    <x v="3"/>
    <n v="0"/>
    <s v="16/09/20"/>
    <s v="16/09/20"/>
    <s v="SI206N03206"/>
    <m/>
    <s v="SO20N04118-JOY ESUGUNUM"/>
    <s v="100032"/>
    <s v="20013849"/>
    <s v="MSH"/>
    <n v="0"/>
    <n v="83720.929999999993"/>
    <n v="83720.929999999993"/>
    <s v="NG"/>
    <x v="8"/>
  </r>
  <r>
    <s v="400-05"/>
    <x v="3"/>
    <n v="0"/>
    <s v="16/09/20"/>
    <s v="16/09/20"/>
    <s v="SI206N03207"/>
    <m/>
    <s v="SO20N04175-Elohim Solar"/>
    <s v="100032"/>
    <s v="20013851"/>
    <s v="MSH"/>
    <n v="0"/>
    <n v="104651.16"/>
    <n v="104651.16"/>
    <s v="NG"/>
    <x v="8"/>
  </r>
  <r>
    <s v="400-05"/>
    <x v="3"/>
    <n v="0"/>
    <s v="16/09/20"/>
    <s v="16/09/20"/>
    <s v="SI206N03208"/>
    <m/>
    <s v="SO20N04133-Jones Communi"/>
    <s v="100032"/>
    <s v="20013853"/>
    <s v="MSH"/>
    <n v="0"/>
    <n v="41860.47"/>
    <n v="41860.47"/>
    <s v="NG"/>
    <x v="8"/>
  </r>
  <r>
    <s v="400-05"/>
    <x v="3"/>
    <n v="0"/>
    <s v="16/09/20"/>
    <s v="16/09/20"/>
    <s v="SI206N03209"/>
    <m/>
    <s v="SO20N04136-MDG'S CENTRE"/>
    <s v="100032"/>
    <s v="20013855"/>
    <s v="MSH"/>
    <n v="0"/>
    <n v="41860.47"/>
    <n v="41860.47"/>
    <s v="NG"/>
    <x v="8"/>
  </r>
  <r>
    <s v="400-05"/>
    <x v="3"/>
    <n v="0"/>
    <s v="16/09/20"/>
    <s v="16/09/20"/>
    <s v="SI206N03210"/>
    <m/>
    <s v="SO20N03871-EDET IMAIKOP"/>
    <s v="120099"/>
    <s v="20013857"/>
    <s v="MSH"/>
    <n v="0"/>
    <n v="55813.95"/>
    <n v="55813.95"/>
    <s v="NG"/>
    <x v="8"/>
  </r>
  <r>
    <s v="400-05"/>
    <x v="3"/>
    <n v="0"/>
    <s v="16/09/20"/>
    <s v="16/09/20"/>
    <s v="SI206N03211"/>
    <m/>
    <s v="SO20N03930-SAMUEL TANIMO"/>
    <s v="120099"/>
    <s v="20013859"/>
    <s v="MSH"/>
    <n v="0"/>
    <n v="93023.26"/>
    <n v="93023.26"/>
    <s v="NG"/>
    <x v="8"/>
  </r>
  <r>
    <s v="400-05"/>
    <x v="3"/>
    <n v="0"/>
    <s v="16/09/20"/>
    <s v="16/09/20"/>
    <s v="SI206N03212"/>
    <m/>
    <s v="SO20N03935-NONSO EZENWOB"/>
    <s v="120099"/>
    <s v="20013861"/>
    <s v="MSH"/>
    <n v="0"/>
    <n v="23255.81"/>
    <n v="23255.81"/>
    <s v="NG"/>
    <x v="8"/>
  </r>
  <r>
    <s v="400-05"/>
    <x v="3"/>
    <n v="0"/>
    <s v="16/09/20"/>
    <s v="16/09/20"/>
    <s v="SI206N03213"/>
    <m/>
    <s v="SO20N03940-NUHU GARBA"/>
    <s v="120099"/>
    <s v="20013863"/>
    <s v="MSH"/>
    <n v="0"/>
    <n v="69767.44"/>
    <n v="69767.44"/>
    <s v="NG"/>
    <x v="8"/>
  </r>
  <r>
    <s v="400-05"/>
    <x v="3"/>
    <n v="0"/>
    <s v="16/09/20"/>
    <s v="16/09/20"/>
    <s v="SI206N03214"/>
    <m/>
    <s v="SO20N03936-JOSEPH OYEBOL"/>
    <s v="120099"/>
    <s v="20013865"/>
    <s v="MSH"/>
    <n v="0"/>
    <n v="23255.81"/>
    <n v="23255.81"/>
    <s v="NG"/>
    <x v="8"/>
  </r>
  <r>
    <s v="400-05"/>
    <x v="3"/>
    <n v="0"/>
    <s v="16/09/20"/>
    <s v="16/09/20"/>
    <s v="SI206N03215"/>
    <m/>
    <s v="SO20N03937-NONSO EZENWOB"/>
    <s v="120099"/>
    <s v="20013867"/>
    <s v="MSH"/>
    <n v="0"/>
    <n v="23255.81"/>
    <n v="23255.81"/>
    <s v="NG"/>
    <x v="8"/>
  </r>
  <r>
    <s v="400-05"/>
    <x v="3"/>
    <n v="0"/>
    <s v="16/09/20"/>
    <s v="16/09/20"/>
    <s v="SI206N03216"/>
    <m/>
    <s v="SO20N03935-NONSO EZENWOB"/>
    <s v="120099"/>
    <s v="20013869"/>
    <s v="MSH"/>
    <n v="0"/>
    <n v="23255.81"/>
    <n v="23255.81"/>
    <s v="NG"/>
    <x v="8"/>
  </r>
  <r>
    <s v="400-05"/>
    <x v="3"/>
    <n v="0"/>
    <s v="16/09/20"/>
    <s v="16/09/20"/>
    <s v="SI206N03217"/>
    <m/>
    <s v="SO20N03964-ABS ENTERPRIS"/>
    <s v="120099"/>
    <s v="20013876"/>
    <s v="MSH"/>
    <n v="0"/>
    <n v="41860.47"/>
    <n v="41860.47"/>
    <s v="NG"/>
    <x v="8"/>
  </r>
  <r>
    <s v="400-05"/>
    <x v="3"/>
    <n v="0"/>
    <s v="16/09/20"/>
    <s v="16/09/20"/>
    <s v="SI206N03218"/>
    <m/>
    <s v="SO20N03961-BABARINDE OLA"/>
    <s v="120099"/>
    <s v="20013881"/>
    <s v="MSH"/>
    <n v="0"/>
    <n v="93023.26"/>
    <n v="93023.26"/>
    <s v="NG"/>
    <x v="8"/>
  </r>
  <r>
    <s v="400-05"/>
    <x v="3"/>
    <n v="0"/>
    <s v="16/09/20"/>
    <s v="16/09/20"/>
    <s v="SI206N03219"/>
    <m/>
    <s v="SO20N03967-AKOMAH OGECHU"/>
    <s v="120099"/>
    <s v="20013891"/>
    <s v="MSH"/>
    <n v="0"/>
    <n v="83720.929999999993"/>
    <n v="83720.929999999993"/>
    <s v="NG"/>
    <x v="8"/>
  </r>
  <r>
    <s v="400-05"/>
    <x v="3"/>
    <n v="0"/>
    <s v="16/09/20"/>
    <s v="16/09/20"/>
    <s v="SI206N03220"/>
    <m/>
    <s v="SO20N03969-HAMZA AHMED"/>
    <s v="120099"/>
    <s v="20013896"/>
    <s v="MSH"/>
    <n v="0"/>
    <n v="55813.95"/>
    <n v="55813.95"/>
    <s v="NG"/>
    <x v="8"/>
  </r>
  <r>
    <s v="400-05"/>
    <x v="3"/>
    <n v="0"/>
    <s v="16/09/20"/>
    <s v="16/09/20"/>
    <s v="SI206N03221"/>
    <m/>
    <s v="SO20N03972-HALLIRU SANI"/>
    <s v="100032"/>
    <s v="20013899"/>
    <s v="MSH"/>
    <n v="0"/>
    <n v="209302.33"/>
    <n v="209302.33"/>
    <s v="NG"/>
    <x v="8"/>
  </r>
  <r>
    <s v="400-05"/>
    <x v="3"/>
    <n v="0"/>
    <s v="16/09/20"/>
    <s v="16/09/20"/>
    <s v="SI206N03222"/>
    <m/>
    <s v="SO20N03969-JOSEPH OYEBOL"/>
    <s v="120099"/>
    <s v="20013901"/>
    <s v="MSH"/>
    <n v="0"/>
    <n v="46511.63"/>
    <n v="46511.63"/>
    <s v="NG"/>
    <x v="8"/>
  </r>
  <r>
    <s v="400-05"/>
    <x v="3"/>
    <n v="0"/>
    <s v="16/09/20"/>
    <s v="16/09/20"/>
    <s v="SI206N03223"/>
    <m/>
    <s v="SO20N03976-SOLA OGUNYOMI"/>
    <s v="120099"/>
    <s v="20013905"/>
    <s v="MSH"/>
    <n v="0"/>
    <n v="23255.81"/>
    <n v="23255.81"/>
    <s v="NG"/>
    <x v="8"/>
  </r>
  <r>
    <s v="400-05"/>
    <x v="3"/>
    <n v="0"/>
    <s v="16/09/20"/>
    <s v="16/09/20"/>
    <s v="SI206N03224"/>
    <m/>
    <s v="SO20N03994-NONSO EZENWOB"/>
    <s v="120099"/>
    <s v="20013907"/>
    <s v="MSH"/>
    <n v="0"/>
    <n v="23255.81"/>
    <n v="23255.81"/>
    <s v="NG"/>
    <x v="8"/>
  </r>
  <r>
    <s v="400-05"/>
    <x v="3"/>
    <n v="0"/>
    <s v="16/09/20"/>
    <s v="16/09/20"/>
    <s v="SI206N03225"/>
    <m/>
    <s v="SO20N04014-NUHU GARBA"/>
    <s v="120099"/>
    <s v="20013909"/>
    <s v="MSH"/>
    <n v="0"/>
    <n v="83720.929999999993"/>
    <n v="83720.929999999993"/>
    <s v="NG"/>
    <x v="8"/>
  </r>
  <r>
    <s v="400-05"/>
    <x v="3"/>
    <n v="0"/>
    <s v="16/09/20"/>
    <s v="16/09/20"/>
    <s v="SI206N03226"/>
    <m/>
    <s v="SO20N04020-SOLA OGUNYOMI"/>
    <s v="120099"/>
    <s v="20013914"/>
    <s v="MSH"/>
    <n v="0"/>
    <n v="23255.81"/>
    <n v="23255.81"/>
    <s v="NG"/>
    <x v="8"/>
  </r>
  <r>
    <s v="400-05"/>
    <x v="3"/>
    <n v="0"/>
    <s v="16/09/20"/>
    <s v="16/09/20"/>
    <s v="SI206N03227"/>
    <m/>
    <s v="SO20N04046-BABARINDE OLA"/>
    <s v="120099"/>
    <s v="20013917"/>
    <s v="MSH"/>
    <n v="0"/>
    <n v="69767.44"/>
    <n v="69767.44"/>
    <s v="NG"/>
    <x v="8"/>
  </r>
  <r>
    <s v="400-05"/>
    <x v="3"/>
    <n v="0"/>
    <s v="16/09/20"/>
    <s v="16/09/20"/>
    <s v="SI206N03228"/>
    <m/>
    <s v="SO20N04053-JOSEPH OYEBOL"/>
    <s v="120099"/>
    <s v="20013919"/>
    <s v="MSH"/>
    <n v="0"/>
    <n v="23255.81"/>
    <n v="23255.81"/>
    <s v="NG"/>
    <x v="8"/>
  </r>
  <r>
    <s v="400-05"/>
    <x v="3"/>
    <n v="0"/>
    <s v="16/09/20"/>
    <s v="16/09/20"/>
    <s v="SI206N03229"/>
    <m/>
    <s v="SO20N04090-SOLA OGUNYOMI"/>
    <s v="120099"/>
    <s v="20013921"/>
    <s v="MSH"/>
    <n v="0"/>
    <n v="23255.81"/>
    <n v="23255.81"/>
    <s v="NG"/>
    <x v="8"/>
  </r>
  <r>
    <s v="400-05"/>
    <x v="3"/>
    <n v="0"/>
    <s v="16/09/20"/>
    <s v="16/09/20"/>
    <s v="SI206N03230"/>
    <m/>
    <s v="SO20N04119-OLADIPUPO BAB"/>
    <s v="120099"/>
    <s v="20013923"/>
    <s v="MSH"/>
    <n v="0"/>
    <n v="46511.63"/>
    <n v="46511.63"/>
    <s v="NG"/>
    <x v="8"/>
  </r>
  <r>
    <s v="400-05"/>
    <x v="3"/>
    <n v="0"/>
    <s v="16/09/20"/>
    <s v="16/09/20"/>
    <s v="SI206N03231"/>
    <m/>
    <s v="SO20N04142-SOLA OGUNYOMI"/>
    <s v="120099"/>
    <s v="20013926"/>
    <s v="MSH"/>
    <n v="0"/>
    <n v="18604.650000000001"/>
    <n v="18604.650000000001"/>
    <s v="NG"/>
    <x v="8"/>
  </r>
  <r>
    <s v="400-05"/>
    <x v="3"/>
    <n v="0"/>
    <s v="16/09/20"/>
    <s v="16/09/20"/>
    <s v="SI206N03232"/>
    <m/>
    <s v="Reversal of 20013876"/>
    <s v="120099"/>
    <s v="20013929"/>
    <s v="MSH"/>
    <n v="0"/>
    <n v="-41860.47"/>
    <n v="-41860.47"/>
    <s v="NG"/>
    <x v="8"/>
  </r>
  <r>
    <s v="400-05"/>
    <x v="3"/>
    <n v="0"/>
    <s v="16/09/20"/>
    <s v="16/09/20"/>
    <s v="SI206N03233"/>
    <m/>
    <s v="SO20N03964-ABS ENTERPRIS"/>
    <s v="100032"/>
    <s v="20013932"/>
    <s v="MSH"/>
    <n v="0"/>
    <n v="41860.47"/>
    <n v="41860.47"/>
    <s v="NG"/>
    <x v="8"/>
  </r>
  <r>
    <s v="400-05"/>
    <x v="3"/>
    <n v="0"/>
    <s v="21/09/20"/>
    <s v="21/09/20"/>
    <s v="SI206N03293"/>
    <m/>
    <s v="10 ECO SYSTEM"/>
    <s v="100018"/>
    <s v="20014189"/>
    <s v="MSH"/>
    <n v="0"/>
    <n v="158139.53"/>
    <n v="158139.53"/>
    <s v="NG"/>
    <x v="8"/>
  </r>
  <r>
    <s v="400-05"/>
    <x v="3"/>
    <n v="0"/>
    <s v="21/09/20"/>
    <s v="21/09/20"/>
    <s v="SI206N03294"/>
    <m/>
    <s v="35 PRIME &amp; 15 ECO SYSTEM"/>
    <s v="100037"/>
    <s v="20014192"/>
    <s v="MSH"/>
    <n v="0"/>
    <n v="929069.77"/>
    <n v="929069.77"/>
    <s v="NG"/>
    <x v="8"/>
  </r>
  <r>
    <s v="400-05"/>
    <x v="3"/>
    <n v="0"/>
    <s v="21/09/20"/>
    <s v="21/09/20"/>
    <s v="SI206N03295"/>
    <m/>
    <s v="18 PRIME &amp; 7 ECO SYSTEMS"/>
    <s v="100038"/>
    <s v="20014194"/>
    <s v="MSH"/>
    <n v="0"/>
    <n v="466511.63"/>
    <n v="466511.63"/>
    <s v="NG"/>
    <x v="8"/>
  </r>
  <r>
    <s v="400-05"/>
    <x v="3"/>
    <n v="0"/>
    <s v="21/09/20"/>
    <s v="21/09/20"/>
    <s v="SI206N03296"/>
    <m/>
    <s v="30 PRIME &amp; 10 ECO SYSTEM"/>
    <s v="100019"/>
    <s v="20014196"/>
    <s v="MSH"/>
    <n v="0"/>
    <n v="751162.79"/>
    <n v="751162.79"/>
    <s v="NG"/>
    <x v="8"/>
  </r>
  <r>
    <s v="400-05"/>
    <x v="3"/>
    <n v="0"/>
    <s v="21/09/20"/>
    <s v="21/09/20"/>
    <s v="SI206N03297"/>
    <m/>
    <s v="35 PRIME &amp; 11 ECO"/>
    <s v="100026"/>
    <s v="20014198"/>
    <s v="MSH"/>
    <n v="0"/>
    <n v="865813.95"/>
    <n v="865813.95"/>
    <s v="NG"/>
    <x v="8"/>
  </r>
  <r>
    <s v="400-05"/>
    <x v="3"/>
    <n v="0"/>
    <s v="21/09/20"/>
    <s v="21/09/20"/>
    <s v="SI206N03299"/>
    <m/>
    <s v="36 PRIME SYSTEMS"/>
    <s v="100020"/>
    <s v="20014205"/>
    <s v="MSH"/>
    <n v="0"/>
    <n v="711627.91"/>
    <n v="711627.91"/>
    <s v="NG"/>
    <x v="8"/>
  </r>
  <r>
    <s v="400-05"/>
    <x v="3"/>
    <n v="0"/>
    <s v="21/09/20"/>
    <s v="21/09/20"/>
    <s v="SI206N03300"/>
    <m/>
    <s v="5 ECO &amp; 61 BULBS"/>
    <s v="100020"/>
    <s v="20014210"/>
    <s v="MSH"/>
    <n v="0"/>
    <n v="79069.789999999994"/>
    <n v="79069.789999999994"/>
    <s v="NG"/>
    <x v="8"/>
  </r>
  <r>
    <s v="400-05"/>
    <x v="3"/>
    <n v="0"/>
    <s v="21/09/20"/>
    <s v="21/09/20"/>
    <s v="SI206N03301"/>
    <m/>
    <s v="30PRIME-ZELI ENTERPRISE"/>
    <s v="100027"/>
    <s v="20014212"/>
    <s v="MSH"/>
    <n v="0"/>
    <n v="593023.26"/>
    <n v="593023.26"/>
    <s v="NG"/>
    <x v="8"/>
  </r>
  <r>
    <s v="400-05"/>
    <x v="3"/>
    <n v="0"/>
    <s v="21/09/20"/>
    <s v="21/09/20"/>
    <s v="SI206N03302"/>
    <m/>
    <s v="40 PRIME &amp; 10 ECO"/>
    <s v="100041"/>
    <s v="20014218"/>
    <s v="MSH"/>
    <n v="0"/>
    <n v="948837.21"/>
    <n v="948837.21"/>
    <s v="NG"/>
    <x v="8"/>
  </r>
  <r>
    <s v="400-05"/>
    <x v="3"/>
    <n v="0"/>
    <s v="21/09/20"/>
    <s v="21/09/20"/>
    <s v="SI206N03303"/>
    <m/>
    <s v="12PRIME/10ECO/30BULBS"/>
    <s v="100009"/>
    <s v="20014224"/>
    <s v="MSH"/>
    <n v="0"/>
    <n v="395348.84"/>
    <n v="395348.84"/>
    <s v="NG"/>
    <x v="8"/>
  </r>
  <r>
    <s v="400-05"/>
    <x v="3"/>
    <n v="0"/>
    <s v="25/09/20"/>
    <s v="25/09/20"/>
    <s v="SI206N03307"/>
    <m/>
    <s v="25PRIME/5ECO SYS-FTECH"/>
    <s v="100015"/>
    <s v="20014236"/>
    <s v="MSH"/>
    <n v="0"/>
    <n v="573255.81000000006"/>
    <n v="573255.81000000006"/>
    <s v="NG"/>
    <x v="8"/>
  </r>
  <r>
    <s v="400-05"/>
    <x v="3"/>
    <n v="0"/>
    <s v="25/09/20"/>
    <s v="25/09/20"/>
    <s v="SI206N03309"/>
    <m/>
    <s v="PRIME LTO&amp; RENTAL, SETUP"/>
    <s v="120006"/>
    <s v="20014246"/>
    <s v="MSH"/>
    <n v="0"/>
    <n v="23255.81"/>
    <n v="23255.81"/>
    <s v="NG"/>
    <x v="8"/>
  </r>
  <r>
    <s v="400-05"/>
    <x v="3"/>
    <n v="0"/>
    <s v="25/09/20"/>
    <s v="25/09/20"/>
    <s v="SI206N03322"/>
    <m/>
    <s v="SO20N03537-LEGACY FARM"/>
    <s v="100032"/>
    <s v="20014304"/>
    <s v="MSH"/>
    <n v="0"/>
    <n v="33488.370000000003"/>
    <n v="33488.370000000003"/>
    <s v="NG"/>
    <x v="8"/>
  </r>
  <r>
    <s v="400-05"/>
    <x v="3"/>
    <n v="0"/>
    <s v="25/09/20"/>
    <s v="25/09/20"/>
    <s v="SI206N03323"/>
    <m/>
    <s v="SO20N03551-Nudun Fulani"/>
    <s v="100032"/>
    <s v="20014309"/>
    <s v="MSH"/>
    <n v="0"/>
    <n v="92093.02"/>
    <n v="92093.02"/>
    <s v="NG"/>
    <x v="8"/>
  </r>
  <r>
    <s v="400-05"/>
    <x v="3"/>
    <n v="0"/>
    <s v="25/09/20"/>
    <s v="25/09/20"/>
    <s v="SI206N03324"/>
    <m/>
    <s v="SO20N03563-BABARINDE OLA"/>
    <s v="120099"/>
    <s v="20014313"/>
    <s v="MSH"/>
    <n v="0"/>
    <n v="18604.650000000001"/>
    <n v="18604.650000000001"/>
    <s v="NG"/>
    <x v="8"/>
  </r>
  <r>
    <s v="400-05"/>
    <x v="3"/>
    <n v="0"/>
    <s v="25/09/20"/>
    <s v="25/09/20"/>
    <s v="SI206N03325"/>
    <m/>
    <s v="SO20N03567-OLUWAFEMI OPE"/>
    <s v="120099"/>
    <s v="20014315"/>
    <s v="MSH"/>
    <n v="0"/>
    <n v="55813.95"/>
    <n v="55813.95"/>
    <s v="NG"/>
    <x v="8"/>
  </r>
  <r>
    <s v="400-05"/>
    <x v="3"/>
    <n v="0"/>
    <s v="25/09/20"/>
    <s v="25/09/20"/>
    <s v="SI206N03328"/>
    <m/>
    <s v="SO20N03597-La zones inte"/>
    <s v="100032"/>
    <s v="20014322"/>
    <s v="MSH"/>
    <n v="0"/>
    <n v="33488.370000000003"/>
    <n v="33488.370000000003"/>
    <s v="NG"/>
    <x v="8"/>
  </r>
  <r>
    <s v="400-05"/>
    <x v="3"/>
    <n v="0"/>
    <s v="25/09/20"/>
    <s v="25/09/20"/>
    <s v="SI206N03333"/>
    <m/>
    <s v="SO20N03622-GEORGE OLANRE"/>
    <s v="120099"/>
    <s v="20014332"/>
    <s v="MSH"/>
    <n v="0"/>
    <n v="18604.650000000001"/>
    <n v="18604.650000000001"/>
    <s v="NG"/>
    <x v="8"/>
  </r>
  <r>
    <s v="400-05"/>
    <x v="3"/>
    <n v="0"/>
    <s v="26/09/20"/>
    <s v="26/09/20"/>
    <s v="SI206N03343"/>
    <m/>
    <s v="PRIME&amp;ECO LTO,SETUP,RENT"/>
    <s v="120006"/>
    <s v="20014357"/>
    <s v="MSH"/>
    <n v="0"/>
    <n v="23255.82"/>
    <n v="23255.82"/>
    <s v="NG"/>
    <x v="8"/>
  </r>
  <r>
    <s v="400-05"/>
    <x v="3"/>
    <n v="0"/>
    <s v="26/09/20"/>
    <s v="26/09/20"/>
    <s v="SI206N03345"/>
    <m/>
    <s v="PRIME&amp;ECO LTO,SETUP,RENT"/>
    <s v="120006"/>
    <s v="20014362"/>
    <s v="MSH"/>
    <n v="0"/>
    <n v="23255.81"/>
    <n v="23255.81"/>
    <s v="NG"/>
    <x v="8"/>
  </r>
  <r>
    <s v="400-05"/>
    <x v="3"/>
    <n v="0"/>
    <s v="26/09/20"/>
    <s v="26/09/20"/>
    <s v="SI206N03348"/>
    <m/>
    <s v="SO20N04008-DANJUMA RUSA"/>
    <s v="100032"/>
    <s v="20014381"/>
    <s v="MSH"/>
    <n v="0"/>
    <n v="104651.16"/>
    <n v="104651.16"/>
    <s v="NG"/>
    <x v="8"/>
  </r>
  <r>
    <s v="400-05"/>
    <x v="3"/>
    <n v="0"/>
    <s v="26/09/20"/>
    <s v="26/09/20"/>
    <s v="SI206N03349"/>
    <m/>
    <s v="FOLORUNISO OLUWATEMILEHI"/>
    <s v="120006"/>
    <s v="20014383"/>
    <s v="MSH"/>
    <n v="0"/>
    <n v="23255.81"/>
    <n v="23255.81"/>
    <s v="NG"/>
    <x v="8"/>
  </r>
  <r>
    <s v="400-05"/>
    <x v="3"/>
    <n v="0"/>
    <s v="26/09/20"/>
    <s v="26/09/20"/>
    <s v="SI206N03352"/>
    <m/>
    <s v="SO20N04213-12 VOLTS"/>
    <s v="100032"/>
    <s v="20014391"/>
    <s v="MSH"/>
    <n v="0"/>
    <n v="104651.16"/>
    <n v="104651.16"/>
    <s v="NG"/>
    <x v="8"/>
  </r>
  <r>
    <s v="400-05"/>
    <x v="3"/>
    <n v="0"/>
    <s v="26/09/20"/>
    <s v="26/09/20"/>
    <s v="SI206N03353"/>
    <m/>
    <s v="SO20N04214-LERRY JAY ELE"/>
    <s v="100032"/>
    <s v="20014393"/>
    <s v="MSH"/>
    <n v="0"/>
    <n v="167441.85999999999"/>
    <n v="167441.85999999999"/>
    <s v="NG"/>
    <x v="8"/>
  </r>
  <r>
    <s v="400-05"/>
    <x v="3"/>
    <n v="0"/>
    <s v="26/09/20"/>
    <s v="26/09/20"/>
    <s v="SI206N03354"/>
    <m/>
    <s v="SO20N04215-OAKHURST LIMI"/>
    <s v="100032"/>
    <s v="20014395"/>
    <s v="MSH"/>
    <n v="0"/>
    <n v="33488.370000000003"/>
    <n v="33488.370000000003"/>
    <s v="NG"/>
    <x v="8"/>
  </r>
  <r>
    <s v="400-05"/>
    <x v="3"/>
    <n v="0"/>
    <s v="26/09/20"/>
    <s v="26/09/20"/>
    <s v="SI206N03355"/>
    <m/>
    <s v="SO20N04216-DIGISAT"/>
    <s v="100032"/>
    <s v="20014397"/>
    <s v="MSH"/>
    <n v="0"/>
    <n v="83720.929999999993"/>
    <n v="83720.929999999993"/>
    <s v="NG"/>
    <x v="8"/>
  </r>
  <r>
    <s v="400-05"/>
    <x v="3"/>
    <n v="0"/>
    <s v="26/09/20"/>
    <s v="26/09/20"/>
    <s v="SI206N03356"/>
    <m/>
    <s v="SO20N04219-Ukasha Commun"/>
    <s v="100032"/>
    <s v="20014399"/>
    <s v="MSH"/>
    <n v="0"/>
    <n v="83720.929999999993"/>
    <n v="83720.929999999993"/>
    <s v="NG"/>
    <x v="8"/>
  </r>
  <r>
    <s v="400-05"/>
    <x v="3"/>
    <n v="0"/>
    <s v="26/09/20"/>
    <s v="26/09/20"/>
    <s v="SI206N03357"/>
    <m/>
    <s v="SO20N04222-JOY HOTSPOT"/>
    <s v="100032"/>
    <s v="20014401"/>
    <s v="MSH"/>
    <n v="0"/>
    <n v="83720.929999999993"/>
    <n v="83720.929999999993"/>
    <s v="NG"/>
    <x v="8"/>
  </r>
  <r>
    <s v="400-05"/>
    <x v="3"/>
    <n v="0"/>
    <s v="26/09/20"/>
    <s v="26/09/20"/>
    <s v="SI206N03358"/>
    <m/>
    <s v="SO20N04224-THANTONE NIG"/>
    <s v="100032"/>
    <s v="20014403"/>
    <s v="MSH"/>
    <n v="0"/>
    <n v="79534.880000000005"/>
    <n v="79534.880000000005"/>
    <s v="NG"/>
    <x v="8"/>
  </r>
  <r>
    <s v="400-05"/>
    <x v="3"/>
    <n v="0"/>
    <s v="26/09/20"/>
    <s v="26/09/20"/>
    <s v="SI206N03359"/>
    <m/>
    <s v="SO20N04225-HOOJAY TRADIN"/>
    <s v="100032"/>
    <s v="20014405"/>
    <s v="MSH"/>
    <n v="0"/>
    <n v="20930.23"/>
    <n v="20930.23"/>
    <s v="NG"/>
    <x v="8"/>
  </r>
  <r>
    <s v="400-05"/>
    <x v="3"/>
    <n v="0"/>
    <s v="26/09/20"/>
    <s v="26/09/20"/>
    <s v="SI206N03360"/>
    <m/>
    <s v="SO20N04230-LANRECIOUS GR"/>
    <s v="100032"/>
    <s v="20014407"/>
    <s v="MSH"/>
    <n v="0"/>
    <n v="20930.23"/>
    <n v="20930.23"/>
    <s v="NG"/>
    <x v="8"/>
  </r>
  <r>
    <s v="400-05"/>
    <x v="3"/>
    <n v="0"/>
    <s v="26/09/20"/>
    <s v="26/09/20"/>
    <s v="SI206N03361"/>
    <m/>
    <s v="SO20N04227-ISRAEL MULTI"/>
    <s v="100032"/>
    <s v="20014409"/>
    <s v="MSH"/>
    <n v="0"/>
    <n v="104651.16"/>
    <n v="104651.16"/>
    <s v="NG"/>
    <x v="8"/>
  </r>
  <r>
    <s v="400-05"/>
    <x v="3"/>
    <n v="0"/>
    <s v="26/09/20"/>
    <s v="26/09/20"/>
    <s v="SI206N03362"/>
    <m/>
    <s v="SO20N04234-Muhammad Hami"/>
    <s v="100032"/>
    <s v="20014411"/>
    <s v="MSH"/>
    <n v="0"/>
    <n v="62790.7"/>
    <n v="62790.7"/>
    <s v="NG"/>
    <x v="8"/>
  </r>
  <r>
    <s v="400-05"/>
    <x v="3"/>
    <n v="0"/>
    <s v="26/09/20"/>
    <s v="26/09/20"/>
    <s v="SI206N03363"/>
    <m/>
    <s v="SO20N04249-LERRY JAY ELE"/>
    <s v="100032"/>
    <s v="20014413"/>
    <s v="MSH"/>
    <n v="0"/>
    <n v="83720.929999999993"/>
    <n v="83720.929999999993"/>
    <s v="NG"/>
    <x v="8"/>
  </r>
  <r>
    <s v="400-05"/>
    <x v="3"/>
    <n v="0"/>
    <s v="26/09/20"/>
    <s v="26/09/20"/>
    <s v="SI206N03366"/>
    <m/>
    <s v="Reversal of 20014411"/>
    <s v="100032"/>
    <s v="20014453"/>
    <s v="MSH"/>
    <n v="0"/>
    <n v="-62790.7"/>
    <n v="-62790.7"/>
    <s v="NG"/>
    <x v="8"/>
  </r>
  <r>
    <s v="400-05"/>
    <x v="3"/>
    <n v="0"/>
    <s v="26/09/20"/>
    <s v="26/09/20"/>
    <s v="SI206N03367"/>
    <m/>
    <s v="SO20N04248-MDG'S CENTRE"/>
    <s v="100032"/>
    <s v="20014455"/>
    <s v="MSH"/>
    <n v="0"/>
    <n v="62790.7"/>
    <n v="62790.7"/>
    <s v="NG"/>
    <x v="8"/>
  </r>
  <r>
    <s v="400-05"/>
    <x v="3"/>
    <n v="0"/>
    <s v="26/09/20"/>
    <s v="26/09/20"/>
    <s v="SI206N03368"/>
    <m/>
    <s v="SO20N04260-HALLELUYAH VE"/>
    <s v="100032"/>
    <s v="20014457"/>
    <s v="MSH"/>
    <n v="0"/>
    <n v="146511.63"/>
    <n v="146511.63"/>
    <s v="NG"/>
    <x v="8"/>
  </r>
  <r>
    <s v="400-05"/>
    <x v="3"/>
    <n v="0"/>
    <s v="26/09/20"/>
    <s v="26/09/20"/>
    <s v="SI206N03369"/>
    <m/>
    <s v="SO20N04265-NATELLE SYNER"/>
    <s v="100032"/>
    <s v="20014462"/>
    <s v="MSH"/>
    <n v="0"/>
    <n v="62790.7"/>
    <n v="62790.7"/>
    <s v="NG"/>
    <x v="8"/>
  </r>
  <r>
    <s v="400-05"/>
    <x v="3"/>
    <n v="0"/>
    <s v="26/09/20"/>
    <s v="26/09/20"/>
    <s v="SI206N03370"/>
    <m/>
    <s v="SO20N04270-USIGAJ ENTERP"/>
    <s v="100032"/>
    <s v="20014464"/>
    <s v="MSH"/>
    <n v="0"/>
    <n v="104651.16"/>
    <n v="104651.16"/>
    <s v="NG"/>
    <x v="8"/>
  </r>
  <r>
    <s v="400-05"/>
    <x v="3"/>
    <n v="0"/>
    <s v="26/09/20"/>
    <s v="26/09/20"/>
    <s v="SI206N03371"/>
    <m/>
    <s v="SO20N04275-SABA COMMUNIC"/>
    <s v="100032"/>
    <s v="20014469"/>
    <s v="MSH"/>
    <n v="0"/>
    <n v="83720.929999999993"/>
    <n v="83720.929999999993"/>
    <s v="NG"/>
    <x v="8"/>
  </r>
  <r>
    <s v="400-05"/>
    <x v="3"/>
    <n v="0"/>
    <s v="26/09/20"/>
    <s v="26/09/20"/>
    <s v="SI206N03372"/>
    <m/>
    <s v="Reversal of 20014469"/>
    <s v="100032"/>
    <s v="20014471"/>
    <s v="MSH"/>
    <n v="0"/>
    <n v="-83720.929999999993"/>
    <n v="-83720.929999999993"/>
    <s v="NG"/>
    <x v="8"/>
  </r>
  <r>
    <s v="400-05"/>
    <x v="3"/>
    <n v="0"/>
    <s v="26/09/20"/>
    <s v="26/09/20"/>
    <s v="SI206N03373"/>
    <m/>
    <s v="SO20N04271-MDG'S CENTER"/>
    <s v="100032"/>
    <s v="20014473"/>
    <s v="MSH"/>
    <n v="0"/>
    <n v="83720.929999999993"/>
    <n v="83720.929999999993"/>
    <s v="NG"/>
    <x v="8"/>
  </r>
  <r>
    <s v="400-05"/>
    <x v="3"/>
    <n v="0"/>
    <s v="26/09/20"/>
    <s v="26/09/20"/>
    <s v="SI206N03374"/>
    <m/>
    <s v="SO20N04275-SABA COMMUNIC"/>
    <s v="100032"/>
    <s v="20014475"/>
    <s v="MSH"/>
    <n v="0"/>
    <n v="50232.56"/>
    <n v="50232.56"/>
    <s v="NG"/>
    <x v="8"/>
  </r>
  <r>
    <s v="400-05"/>
    <x v="3"/>
    <n v="0"/>
    <s v="26/09/20"/>
    <s v="26/09/20"/>
    <s v="SI206N03375"/>
    <m/>
    <s v="SO20N04277-NUDUN FULANI"/>
    <s v="100032"/>
    <s v="20014478"/>
    <s v="MSH"/>
    <n v="0"/>
    <n v="16744.189999999999"/>
    <n v="16744.189999999999"/>
    <s v="NG"/>
    <x v="8"/>
  </r>
  <r>
    <s v="400-05"/>
    <x v="3"/>
    <n v="0"/>
    <s v="26/09/20"/>
    <s v="26/09/20"/>
    <s v="SI206N03376"/>
    <m/>
    <s v="SO20N04278-LANRECIOUS GR"/>
    <s v="100032"/>
    <s v="20014480"/>
    <s v="MSH"/>
    <n v="0"/>
    <n v="20930.23"/>
    <n v="20930.23"/>
    <s v="NG"/>
    <x v="8"/>
  </r>
  <r>
    <s v="400-05"/>
    <x v="3"/>
    <n v="0"/>
    <s v="26/09/20"/>
    <s v="26/09/20"/>
    <s v="SI206N03377"/>
    <m/>
    <s v="SO20N04343-Johnkay Uniqu"/>
    <s v="100032"/>
    <s v="20014482"/>
    <s v="MSH"/>
    <n v="0"/>
    <n v="41860.47"/>
    <n v="41860.47"/>
    <s v="NG"/>
    <x v="8"/>
  </r>
  <r>
    <s v="400-05"/>
    <x v="3"/>
    <n v="0"/>
    <s v="26/09/20"/>
    <s v="26/09/20"/>
    <s v="SI206N03378"/>
    <m/>
    <s v="SO20N04321-Jones Communi"/>
    <s v="100032"/>
    <s v="20014484"/>
    <s v="MSH"/>
    <n v="0"/>
    <n v="62790.7"/>
    <n v="62790.7"/>
    <s v="NG"/>
    <x v="8"/>
  </r>
  <r>
    <s v="400-05"/>
    <x v="3"/>
    <n v="0"/>
    <s v="26/09/20"/>
    <s v="26/09/20"/>
    <s v="SI206N03379"/>
    <m/>
    <s v="SO20N04347-RALPH EKOMONG"/>
    <s v="100032"/>
    <s v="20014486"/>
    <s v="MSH"/>
    <n v="0"/>
    <n v="83720.929999999993"/>
    <n v="83720.929999999993"/>
    <s v="NG"/>
    <x v="8"/>
  </r>
  <r>
    <s v="400-05"/>
    <x v="3"/>
    <n v="0"/>
    <s v="26/09/20"/>
    <s v="26/09/20"/>
    <s v="SI206N03380"/>
    <m/>
    <s v="SO20N04348-MUHAMMAD HAMI"/>
    <s v="100032"/>
    <s v="20014489"/>
    <s v="MSH"/>
    <n v="0"/>
    <n v="62790.7"/>
    <n v="62790.7"/>
    <s v="NG"/>
    <x v="8"/>
  </r>
  <r>
    <s v="400-05"/>
    <x v="3"/>
    <n v="0"/>
    <s v="26/09/20"/>
    <s v="26/09/20"/>
    <s v="SI206N03381"/>
    <m/>
    <s v="SO20N04349-BULUS BITRUS"/>
    <s v="100032"/>
    <s v="20014491"/>
    <s v="MSH"/>
    <n v="0"/>
    <n v="62790.7"/>
    <n v="62790.7"/>
    <s v="NG"/>
    <x v="8"/>
  </r>
  <r>
    <s v="400-05"/>
    <x v="3"/>
    <n v="0"/>
    <s v="26/09/20"/>
    <s v="26/09/20"/>
    <s v="SI206N03382"/>
    <m/>
    <s v="SO20N04350-BILZA SOLAR"/>
    <s v="100032"/>
    <s v="20014493"/>
    <s v="MSH"/>
    <n v="0"/>
    <n v="33488.370000000003"/>
    <n v="33488.370000000003"/>
    <s v="NG"/>
    <x v="8"/>
  </r>
  <r>
    <s v="400-05"/>
    <x v="3"/>
    <n v="0"/>
    <s v="26/09/20"/>
    <s v="26/09/20"/>
    <s v="SI206N03383"/>
    <m/>
    <s v="SO20N04353-LEENAH CONSUL"/>
    <s v="100032"/>
    <s v="20014498"/>
    <s v="MSH"/>
    <n v="0"/>
    <n v="104651.16"/>
    <n v="104651.16"/>
    <s v="NG"/>
    <x v="8"/>
  </r>
  <r>
    <s v="400-05"/>
    <x v="3"/>
    <n v="0"/>
    <s v="26/09/20"/>
    <s v="26/09/20"/>
    <s v="SI206N03384"/>
    <m/>
    <s v="SO20N04354-JOY HOTSPOT"/>
    <s v="100032"/>
    <s v="20014501"/>
    <s v="MSH"/>
    <n v="0"/>
    <n v="83720.929999999993"/>
    <n v="83720.929999999993"/>
    <s v="NG"/>
    <x v="8"/>
  </r>
  <r>
    <s v="400-05"/>
    <x v="3"/>
    <n v="0"/>
    <s v="26/09/20"/>
    <s v="26/09/20"/>
    <s v="SI206N03385"/>
    <m/>
    <s v="SO20N04357-ANIDI MITCHEL"/>
    <s v="100032"/>
    <s v="20014504"/>
    <s v="MSH"/>
    <n v="0"/>
    <n v="62790.7"/>
    <n v="62790.7"/>
    <s v="NG"/>
    <x v="8"/>
  </r>
  <r>
    <s v="400-05"/>
    <x v="3"/>
    <n v="0"/>
    <s v="26/09/20"/>
    <s v="26/09/20"/>
    <s v="SI206N03386"/>
    <m/>
    <s v="SO20N04368-THANTONE NIG"/>
    <s v="100032"/>
    <s v="20014509"/>
    <s v="MSH"/>
    <n v="0"/>
    <n v="83720.929999999993"/>
    <n v="83720.929999999993"/>
    <s v="NG"/>
    <x v="8"/>
  </r>
  <r>
    <s v="400-05"/>
    <x v="3"/>
    <n v="0"/>
    <s v="29/09/20"/>
    <s v="29/09/20"/>
    <s v="SI206N03387"/>
    <m/>
    <s v="SO20N04369-Ukasha Commun"/>
    <s v="100032"/>
    <s v="20014517"/>
    <s v="MSH"/>
    <n v="0"/>
    <n v="146511.63"/>
    <n v="146511.63"/>
    <s v="NG"/>
    <x v="8"/>
  </r>
  <r>
    <s v="400-05"/>
    <x v="3"/>
    <n v="0"/>
    <s v="29/09/20"/>
    <s v="29/09/20"/>
    <s v="SI206N03388"/>
    <m/>
    <s v="SO20N04371-OLUMAJEK IT C"/>
    <s v="100032"/>
    <s v="20014521"/>
    <s v="MSH"/>
    <n v="0"/>
    <n v="209302.33"/>
    <n v="209302.33"/>
    <s v="NG"/>
    <x v="8"/>
  </r>
  <r>
    <s v="400-05"/>
    <x v="3"/>
    <n v="0"/>
    <s v="29/09/20"/>
    <s v="29/09/20"/>
    <s v="SI206N03390"/>
    <m/>
    <s v="SO20N04380-M AWWAL ENTER"/>
    <s v="100032"/>
    <s v="20014525"/>
    <s v="MSH"/>
    <n v="0"/>
    <n v="83720.929999999993"/>
    <n v="83720.929999999993"/>
    <s v="NG"/>
    <x v="8"/>
  </r>
  <r>
    <s v="400-05"/>
    <x v="3"/>
    <n v="0"/>
    <s v="29/09/20"/>
    <s v="29/09/20"/>
    <s v="SI206N03391"/>
    <m/>
    <s v="SO20N04386-EVERUP MKT"/>
    <s v="100032"/>
    <s v="20014527"/>
    <s v="MSH"/>
    <n v="0"/>
    <n v="62790.7"/>
    <n v="62790.7"/>
    <s v="NG"/>
    <x v="8"/>
  </r>
  <r>
    <s v="400-05"/>
    <x v="3"/>
    <n v="0"/>
    <s v="29/09/20"/>
    <s v="29/09/20"/>
    <s v="SI206N03392"/>
    <m/>
    <s v="SO20N04388-RALPH EKOMONG"/>
    <s v="100032"/>
    <s v="20014530"/>
    <s v="MSH"/>
    <n v="0"/>
    <n v="83720.929999999993"/>
    <n v="83720.929999999993"/>
    <s v="NG"/>
    <x v="8"/>
  </r>
  <r>
    <s v="400-05"/>
    <x v="3"/>
    <n v="0"/>
    <s v="29/09/20"/>
    <s v="29/09/20"/>
    <s v="SI206N03393"/>
    <m/>
    <s v="SO20N04394-HALLIRU SANI"/>
    <s v="100032"/>
    <s v="20014532"/>
    <s v="MSH"/>
    <n v="0"/>
    <n v="104651.16"/>
    <n v="104651.16"/>
    <s v="NG"/>
    <x v="8"/>
  </r>
  <r>
    <s v="400-05"/>
    <x v="3"/>
    <n v="0"/>
    <s v="29/09/20"/>
    <s v="29/09/20"/>
    <s v="SI206N03394"/>
    <m/>
    <s v="SO20N04396-VERA COMMUNIC"/>
    <s v="100032"/>
    <s v="20014534"/>
    <s v="MSH"/>
    <n v="0"/>
    <n v="83720.929999999993"/>
    <n v="83720.929999999993"/>
    <s v="NG"/>
    <x v="8"/>
  </r>
  <r>
    <s v="400-05"/>
    <x v="3"/>
    <n v="0"/>
    <s v="29/09/20"/>
    <s v="29/09/20"/>
    <s v="SI206N03395"/>
    <m/>
    <s v="SO20N04408-USIGAJ ENTERP"/>
    <s v="100032"/>
    <s v="20014536"/>
    <s v="MSH"/>
    <n v="0"/>
    <n v="104651.16"/>
    <n v="104651.16"/>
    <s v="NG"/>
    <x v="8"/>
  </r>
  <r>
    <s v="400-05"/>
    <x v="3"/>
    <n v="0"/>
    <s v="29/09/20"/>
    <s v="29/09/20"/>
    <s v="SI206N03396"/>
    <m/>
    <s v="SO20N04410-NUDUN FULANI"/>
    <s v="100032"/>
    <s v="20014538"/>
    <s v="MSH"/>
    <n v="0"/>
    <n v="167441.85999999999"/>
    <n v="167441.85999999999"/>
    <s v="NG"/>
    <x v="8"/>
  </r>
  <r>
    <s v="400-05"/>
    <x v="3"/>
    <n v="0"/>
    <s v="29/09/20"/>
    <s v="29/09/20"/>
    <s v="SI206N03397"/>
    <m/>
    <s v="SO20N04413-SABA COMMUNIC"/>
    <s v="100032"/>
    <s v="20014540"/>
    <s v="MSH"/>
    <n v="0"/>
    <n v="20930.23"/>
    <n v="20930.23"/>
    <s v="NG"/>
    <x v="8"/>
  </r>
  <r>
    <s v="400-05"/>
    <x v="3"/>
    <n v="0"/>
    <s v="29/09/20"/>
    <s v="29/09/20"/>
    <s v="SI206N03398"/>
    <m/>
    <s v="SO20N04414-OLAJIDE &amp; SON"/>
    <s v="100032"/>
    <s v="20014542"/>
    <s v="MSH"/>
    <n v="0"/>
    <n v="83720.929999999993"/>
    <n v="83720.929999999993"/>
    <s v="NG"/>
    <x v="8"/>
  </r>
  <r>
    <s v="400-05"/>
    <x v="3"/>
    <n v="0"/>
    <s v="29/09/20"/>
    <s v="29/09/20"/>
    <s v="SI206N03399"/>
    <m/>
    <s v="SO20N04415-BILZA SOLAR"/>
    <s v="100032"/>
    <s v="20014544"/>
    <s v="MSH"/>
    <n v="0"/>
    <n v="16744.189999999999"/>
    <n v="16744.189999999999"/>
    <s v="NG"/>
    <x v="8"/>
  </r>
  <r>
    <s v="400-05"/>
    <x v="3"/>
    <n v="0"/>
    <s v="29/09/20"/>
    <s v="29/09/20"/>
    <s v="SI206N03400"/>
    <m/>
    <s v="SO20N04417-THANTONE NIG"/>
    <s v="100032"/>
    <s v="20014546"/>
    <s v="MSH"/>
    <n v="0"/>
    <n v="41860.47"/>
    <n v="41860.47"/>
    <s v="NG"/>
    <x v="8"/>
  </r>
  <r>
    <s v="400-05"/>
    <x v="3"/>
    <n v="0"/>
    <s v="29/09/20"/>
    <s v="29/09/20"/>
    <s v="SI206N03401"/>
    <m/>
    <s v="SO20N04469-IBRAHIM ADAMU"/>
    <s v="100032"/>
    <s v="20014548"/>
    <s v="MSH"/>
    <n v="0"/>
    <n v="83720.929999999993"/>
    <n v="83720.929999999993"/>
    <s v="NG"/>
    <x v="8"/>
  </r>
  <r>
    <s v="400-05"/>
    <x v="3"/>
    <n v="0"/>
    <s v="29/09/20"/>
    <s v="29/09/20"/>
    <s v="SI206N03402"/>
    <m/>
    <s v="SO20N04470-NELIX Enginee"/>
    <s v="100032"/>
    <s v="20014550"/>
    <s v="MSH"/>
    <n v="0"/>
    <n v="83720.929999999993"/>
    <n v="83720.929999999993"/>
    <s v="NG"/>
    <x v="8"/>
  </r>
  <r>
    <s v="400-05"/>
    <x v="3"/>
    <n v="0"/>
    <s v="29/09/20"/>
    <s v="29/09/20"/>
    <s v="SI206N03403"/>
    <m/>
    <s v="SO20N04471-JOY HOTSPOT"/>
    <s v="100032"/>
    <s v="20014552"/>
    <s v="MSH"/>
    <n v="0"/>
    <n v="41860.47"/>
    <n v="41860.47"/>
    <s v="NG"/>
    <x v="8"/>
  </r>
  <r>
    <s v="400-05"/>
    <x v="3"/>
    <n v="0"/>
    <s v="29/09/20"/>
    <s v="29/09/20"/>
    <s v="SI206N03404"/>
    <m/>
    <s v="SO20N04488-ECO COMMUNICA"/>
    <s v="100032"/>
    <s v="20014554"/>
    <s v="MSH"/>
    <n v="0"/>
    <n v="104651.16"/>
    <n v="104651.16"/>
    <s v="NG"/>
    <x v="8"/>
  </r>
  <r>
    <s v="400-05"/>
    <x v="3"/>
    <n v="0"/>
    <s v="29/09/20"/>
    <s v="29/09/20"/>
    <s v="SI206N03405"/>
    <m/>
    <s v="SO20N04514-JACOB ENTERPR"/>
    <s v="100032"/>
    <s v="20014556"/>
    <s v="MSH"/>
    <n v="0"/>
    <n v="209302.33"/>
    <n v="209302.33"/>
    <s v="NG"/>
    <x v="8"/>
  </r>
  <r>
    <s v="400-05"/>
    <x v="3"/>
    <n v="0"/>
    <s v="29/09/20"/>
    <s v="29/09/20"/>
    <s v="SI206N03406"/>
    <m/>
    <s v="SO20N04513-ABS VENTURES"/>
    <s v="100032"/>
    <s v="20014558"/>
    <s v="MSH"/>
    <n v="0"/>
    <n v="83720.929999999993"/>
    <n v="83720.929999999993"/>
    <s v="NG"/>
    <x v="8"/>
  </r>
  <r>
    <s v="400-05"/>
    <x v="3"/>
    <n v="0"/>
    <s v="29/09/20"/>
    <s v="29/09/20"/>
    <s v="SI206N03407"/>
    <m/>
    <s v="SO20N04515-RALPH EKOMONG"/>
    <s v="100032"/>
    <s v="20014560"/>
    <s v="MSH"/>
    <n v="0"/>
    <n v="209302.33"/>
    <n v="209302.33"/>
    <s v="NG"/>
    <x v="8"/>
  </r>
  <r>
    <s v="400-05"/>
    <x v="3"/>
    <n v="0"/>
    <s v="29/09/20"/>
    <s v="29/09/20"/>
    <s v="SI206N03408"/>
    <m/>
    <s v="SO20N04516-DIGISAT VENTU"/>
    <s v="100032"/>
    <s v="20014562"/>
    <s v="MSH"/>
    <n v="0"/>
    <n v="83720.929999999993"/>
    <n v="83720.929999999993"/>
    <s v="NG"/>
    <x v="8"/>
  </r>
  <r>
    <s v="400-05"/>
    <x v="3"/>
    <n v="0"/>
    <s v="29/09/20"/>
    <s v="29/09/20"/>
    <s v="SI206N03409"/>
    <m/>
    <s v="SO20N04526-M-AWWAL"/>
    <s v="100032"/>
    <s v="20014564"/>
    <s v="MSH"/>
    <n v="0"/>
    <n v="83720.929999999993"/>
    <n v="83720.929999999993"/>
    <s v="NG"/>
    <x v="8"/>
  </r>
  <r>
    <s v="400-05"/>
    <x v="3"/>
    <n v="0"/>
    <s v="29/09/20"/>
    <s v="29/09/20"/>
    <s v="SI206N03410"/>
    <m/>
    <s v="SO20N04528-G&amp;T Electrica"/>
    <s v="100032"/>
    <s v="20014566"/>
    <s v="MSH"/>
    <n v="0"/>
    <n v="62790.7"/>
    <n v="62790.7"/>
    <s v="NG"/>
    <x v="8"/>
  </r>
  <r>
    <s v="400-05"/>
    <x v="3"/>
    <n v="0"/>
    <s v="29/09/20"/>
    <s v="29/09/20"/>
    <s v="SI206N03411"/>
    <m/>
    <s v="SO20N04529-AGAFY COMM"/>
    <s v="100032"/>
    <s v="20014568"/>
    <s v="MSH"/>
    <n v="0"/>
    <n v="104651.16"/>
    <n v="104651.16"/>
    <s v="NG"/>
    <x v="8"/>
  </r>
  <r>
    <s v="400-05"/>
    <x v="3"/>
    <n v="0"/>
    <s v="29/09/20"/>
    <s v="29/09/20"/>
    <s v="SI206N03412"/>
    <m/>
    <s v="SO20N04530-NUDUN FULANI"/>
    <s v="100032"/>
    <s v="20014570"/>
    <s v="MSH"/>
    <n v="0"/>
    <n v="83720.929999999993"/>
    <n v="83720.929999999993"/>
    <s v="NG"/>
    <x v="8"/>
  </r>
  <r>
    <s v="400-05"/>
    <x v="3"/>
    <n v="0"/>
    <s v="29/09/20"/>
    <s v="29/09/20"/>
    <s v="SI206N03413"/>
    <m/>
    <s v="SO20N04535-JEM CHARLES"/>
    <s v="100032"/>
    <s v="20014572"/>
    <s v="MSH"/>
    <n v="0"/>
    <n v="209302.33"/>
    <n v="209302.33"/>
    <s v="NG"/>
    <x v="8"/>
  </r>
  <r>
    <s v="400-05"/>
    <x v="3"/>
    <n v="0"/>
    <s v="29/09/20"/>
    <s v="29/09/20"/>
    <s v="SI206N03414"/>
    <m/>
    <s v="SO20N04524-TALKING POINT"/>
    <s v="100032"/>
    <s v="20014574"/>
    <s v="MSH"/>
    <n v="0"/>
    <n v="104651.16"/>
    <n v="104651.16"/>
    <s v="NG"/>
    <x v="8"/>
  </r>
  <r>
    <s v="400-05"/>
    <x v="3"/>
    <n v="0"/>
    <s v="29/09/20"/>
    <s v="29/09/20"/>
    <s v="SI206N03415"/>
    <m/>
    <s v="SO20N04538-MATHS COMMUNI"/>
    <s v="100032"/>
    <s v="20014576"/>
    <s v="MSH"/>
    <n v="0"/>
    <n v="104651.16"/>
    <n v="104651.16"/>
    <s v="NG"/>
    <x v="8"/>
  </r>
  <r>
    <s v="400-05"/>
    <x v="3"/>
    <n v="0"/>
    <s v="29/09/20"/>
    <s v="29/09/20"/>
    <s v="SI206N03416"/>
    <m/>
    <s v="SO20N04536-JOY ESUGUNUM"/>
    <s v="100032"/>
    <s v="20014578"/>
    <s v="MSH"/>
    <n v="0"/>
    <n v="104651.16"/>
    <n v="104651.16"/>
    <s v="NG"/>
    <x v="8"/>
  </r>
  <r>
    <s v="400-05"/>
    <x v="3"/>
    <n v="0"/>
    <s v="29/09/20"/>
    <s v="29/09/20"/>
    <s v="SI206N03417"/>
    <m/>
    <s v="SO20N04537-TEE TECH SOLU"/>
    <s v="100032"/>
    <s v="20014580"/>
    <s v="MSH"/>
    <n v="0"/>
    <n v="121395.35"/>
    <n v="121395.35"/>
    <s v="NG"/>
    <x v="8"/>
  </r>
  <r>
    <s v="400-05"/>
    <x v="3"/>
    <n v="0"/>
    <s v="29/09/20"/>
    <s v="29/09/20"/>
    <s v="SI206N03418"/>
    <m/>
    <s v="SO20N04373-NELIX Enginee"/>
    <s v="100032"/>
    <s v="20014583"/>
    <s v="MSH"/>
    <n v="0"/>
    <n v="62790.7"/>
    <n v="62790.7"/>
    <s v="NG"/>
    <x v="8"/>
  </r>
  <r>
    <s v="400-05"/>
    <x v="3"/>
    <n v="0"/>
    <s v="29/09/20"/>
    <s v="29/09/20"/>
    <s v="SI206N03419"/>
    <m/>
    <s v="SO20N04211-OGECHUKWU AKO"/>
    <s v="120099"/>
    <s v="20014593"/>
    <s v="MSH"/>
    <n v="0"/>
    <n v="83720.929999999993"/>
    <n v="83720.929999999993"/>
    <s v="NG"/>
    <x v="8"/>
  </r>
  <r>
    <s v="400-05"/>
    <x v="3"/>
    <n v="0"/>
    <s v="29/09/20"/>
    <s v="29/09/20"/>
    <s v="SI206N03420"/>
    <m/>
    <s v="SO20N04218-DANIEL AYUBA"/>
    <s v="120099"/>
    <s v="20014595"/>
    <s v="MSH"/>
    <n v="0"/>
    <n v="66976.740000000005"/>
    <n v="66976.740000000005"/>
    <s v="NG"/>
    <x v="8"/>
  </r>
  <r>
    <s v="400-05"/>
    <x v="3"/>
    <n v="0"/>
    <s v="29/09/20"/>
    <s v="29/09/20"/>
    <s v="SI206N03421"/>
    <m/>
    <s v="Reversal of 20014595"/>
    <s v="120099"/>
    <s v="20014597"/>
    <s v="MSH"/>
    <n v="0"/>
    <n v="-66976.740000000005"/>
    <n v="-66976.740000000005"/>
    <s v="NG"/>
    <x v="8"/>
  </r>
  <r>
    <s v="400-05"/>
    <x v="3"/>
    <n v="0"/>
    <s v="29/09/20"/>
    <s v="29/09/20"/>
    <s v="SI206N03422"/>
    <m/>
    <s v="SO20N04218-DANIEL AYUBA"/>
    <s v="120099"/>
    <s v="20014599"/>
    <s v="MSH"/>
    <n v="0"/>
    <n v="74418.600000000006"/>
    <n v="74418.600000000006"/>
    <s v="NG"/>
    <x v="8"/>
  </r>
  <r>
    <s v="400-05"/>
    <x v="3"/>
    <n v="0"/>
    <s v="29/09/20"/>
    <s v="29/09/20"/>
    <s v="SI206N03423"/>
    <m/>
    <s v="SO20N04226-OLUWAFEMI BAB"/>
    <s v="120099"/>
    <s v="20014601"/>
    <s v="MSH"/>
    <n v="0"/>
    <n v="18604.650000000001"/>
    <n v="18604.650000000001"/>
    <s v="NG"/>
    <x v="8"/>
  </r>
  <r>
    <s v="400-05"/>
    <x v="3"/>
    <n v="0"/>
    <s v="29/09/20"/>
    <s v="29/09/20"/>
    <s v="SI206N03424"/>
    <m/>
    <s v="SO20N04234-DANJUMA RUSA"/>
    <s v="120099"/>
    <s v="20014603"/>
    <s v="MSH"/>
    <n v="0"/>
    <n v="69767.44"/>
    <n v="69767.44"/>
    <s v="NG"/>
    <x v="8"/>
  </r>
  <r>
    <s v="400-05"/>
    <x v="3"/>
    <n v="0"/>
    <s v="29/09/20"/>
    <s v="29/09/20"/>
    <s v="SI206N03425"/>
    <m/>
    <s v="SO20N04245-OLUWASEUN KIN"/>
    <s v="120099"/>
    <s v="20014605"/>
    <s v="MSH"/>
    <n v="0"/>
    <n v="37209.300000000003"/>
    <n v="37209.300000000003"/>
    <s v="NG"/>
    <x v="8"/>
  </r>
  <r>
    <s v="400-05"/>
    <x v="3"/>
    <n v="0"/>
    <s v="29/09/20"/>
    <s v="29/09/20"/>
    <s v="SI206N03426"/>
    <m/>
    <s v="SO20N04259-OLUWAFEMI BAB"/>
    <s v="120099"/>
    <s v="20014607"/>
    <s v="MSH"/>
    <n v="0"/>
    <n v="23255.81"/>
    <n v="23255.81"/>
    <s v="NG"/>
    <x v="8"/>
  </r>
  <r>
    <s v="400-05"/>
    <x v="3"/>
    <n v="0"/>
    <s v="29/09/20"/>
    <s v="29/09/20"/>
    <s v="SI206N03427"/>
    <m/>
    <s v="SO20N04274-OLUWAFEMI BAB"/>
    <s v="120099"/>
    <s v="20014609"/>
    <s v="MSH"/>
    <n v="0"/>
    <n v="46511.63"/>
    <n v="46511.63"/>
    <s v="NG"/>
    <x v="8"/>
  </r>
  <r>
    <s v="400-05"/>
    <x v="3"/>
    <n v="0"/>
    <s v="29/09/20"/>
    <s v="29/09/20"/>
    <s v="SI206N03428"/>
    <m/>
    <s v="SO20N04276-HARRISON NWAG"/>
    <s v="120099"/>
    <s v="20014611"/>
    <s v="MSH"/>
    <n v="0"/>
    <n v="93023.26"/>
    <n v="93023.26"/>
    <s v="NG"/>
    <x v="8"/>
  </r>
  <r>
    <s v="400-05"/>
    <x v="3"/>
    <n v="0"/>
    <s v="29/09/20"/>
    <s v="29/09/20"/>
    <s v="SI206N03429"/>
    <m/>
    <s v="SO20N04340-JOSEPH OYEBOL"/>
    <s v="120099"/>
    <s v="20014613"/>
    <s v="MSH"/>
    <n v="0"/>
    <n v="46511.63"/>
    <n v="46511.63"/>
    <s v="NG"/>
    <x v="8"/>
  </r>
  <r>
    <s v="400-05"/>
    <x v="3"/>
    <n v="0"/>
    <s v="29/09/20"/>
    <s v="29/09/20"/>
    <s v="SI206N03430"/>
    <m/>
    <s v="SO20N04320-SAMEL TANIMOL"/>
    <s v="120099"/>
    <s v="20014616"/>
    <s v="MSH"/>
    <n v="0"/>
    <n v="69767.44"/>
    <n v="69767.44"/>
    <s v="NG"/>
    <x v="8"/>
  </r>
  <r>
    <s v="400-05"/>
    <x v="3"/>
    <n v="0"/>
    <s v="29/09/20"/>
    <s v="29/09/20"/>
    <s v="SI206N03431"/>
    <m/>
    <s v="SO20N04351-OLUWAFEMI BAB"/>
    <s v="120099"/>
    <s v="20014618"/>
    <s v="MSH"/>
    <n v="0"/>
    <n v="23255.81"/>
    <n v="23255.81"/>
    <s v="NG"/>
    <x v="8"/>
  </r>
  <r>
    <s v="400-05"/>
    <x v="3"/>
    <n v="0"/>
    <s v="29/09/20"/>
    <s v="29/09/20"/>
    <s v="SI206N03432"/>
    <m/>
    <s v="SO20N04352-SAMUEL TANIMO"/>
    <s v="120099"/>
    <s v="20014620"/>
    <s v="MSH"/>
    <n v="0"/>
    <n v="46511.63"/>
    <n v="46511.63"/>
    <s v="NG"/>
    <x v="8"/>
  </r>
  <r>
    <s v="400-05"/>
    <x v="3"/>
    <n v="0"/>
    <s v="29/09/20"/>
    <s v="29/09/20"/>
    <s v="SI206N03433"/>
    <m/>
    <s v="SO20N04359-OLADIPUPO BAB"/>
    <s v="120099"/>
    <s v="20014622"/>
    <s v="MSH"/>
    <n v="0"/>
    <n v="46511.63"/>
    <n v="46511.63"/>
    <s v="NG"/>
    <x v="8"/>
  </r>
  <r>
    <s v="400-05"/>
    <x v="3"/>
    <n v="0"/>
    <s v="29/09/20"/>
    <s v="29/09/20"/>
    <s v="SI206N03434"/>
    <m/>
    <s v="SO20N04370-HAMZA AHMED"/>
    <s v="120099"/>
    <s v="20014626"/>
    <s v="MSH"/>
    <n v="0"/>
    <n v="18604.650000000001"/>
    <n v="18604.650000000001"/>
    <s v="NG"/>
    <x v="8"/>
  </r>
  <r>
    <s v="400-05"/>
    <x v="3"/>
    <n v="0"/>
    <s v="29/09/20"/>
    <s v="29/09/20"/>
    <s v="SI206N03435"/>
    <m/>
    <s v="SO20N04372-OLUWAFEMI BAB"/>
    <s v="120099"/>
    <s v="20014631"/>
    <s v="MSH"/>
    <n v="0"/>
    <n v="23255.81"/>
    <n v="23255.81"/>
    <s v="NG"/>
    <x v="8"/>
  </r>
  <r>
    <s v="400-05"/>
    <x v="3"/>
    <n v="0"/>
    <s v="29/09/20"/>
    <s v="29/09/20"/>
    <s v="SI206N03436"/>
    <m/>
    <s v="SO20N04395-JOSEPH OYEBOL"/>
    <s v="120099"/>
    <s v="20014633"/>
    <s v="MSH"/>
    <n v="0"/>
    <n v="23255.81"/>
    <n v="23255.81"/>
    <s v="NG"/>
    <x v="8"/>
  </r>
  <r>
    <s v="400-05"/>
    <x v="3"/>
    <n v="0"/>
    <s v="29/09/20"/>
    <s v="29/09/20"/>
    <s v="SI206N03437"/>
    <m/>
    <s v="SO20N04411-NUHU GARBA"/>
    <s v="120099"/>
    <s v="20014635"/>
    <s v="MSH"/>
    <n v="0"/>
    <n v="116279.07"/>
    <n v="116279.07"/>
    <s v="NG"/>
    <x v="8"/>
  </r>
  <r>
    <s v="400-05"/>
    <x v="3"/>
    <n v="0"/>
    <s v="29/09/20"/>
    <s v="29/09/20"/>
    <s v="SI206N03438"/>
    <m/>
    <s v="SO20N04527-GYANG PWAT"/>
    <s v="120099"/>
    <s v="20014637"/>
    <s v="MSH"/>
    <n v="0"/>
    <n v="93023.26"/>
    <n v="93023.26"/>
    <s v="NG"/>
    <x v="8"/>
  </r>
  <r>
    <s v="400-05"/>
    <x v="3"/>
    <n v="0"/>
    <s v="29/09/20"/>
    <s v="29/09/20"/>
    <s v="SI206N03439"/>
    <m/>
    <s v="SO20N04442-HARRISON NWAG"/>
    <s v="120099"/>
    <s v="20014639"/>
    <s v="MSH"/>
    <n v="0"/>
    <n v="93023.26"/>
    <n v="93023.26"/>
    <s v="NG"/>
    <x v="8"/>
  </r>
  <r>
    <s v="400-05"/>
    <x v="3"/>
    <n v="0"/>
    <s v="29/09/20"/>
    <s v="29/09/20"/>
    <s v="SI206N03440"/>
    <m/>
    <s v="SO20N04446-OGECHUKWU AKO"/>
    <s v="120099"/>
    <s v="20014642"/>
    <s v="MSH"/>
    <n v="0"/>
    <n v="93023.26"/>
    <n v="93023.26"/>
    <s v="NG"/>
    <x v="8"/>
  </r>
  <r>
    <s v="400-05"/>
    <x v="3"/>
    <n v="0"/>
    <s v="29/09/20"/>
    <s v="29/09/20"/>
    <s v="SI206N03441"/>
    <m/>
    <s v="SO20N04468-NUHU GARBA"/>
    <s v="120099"/>
    <s v="20014647"/>
    <s v="MSH"/>
    <n v="0"/>
    <n v="46511.63"/>
    <n v="46511.63"/>
    <s v="NG"/>
    <x v="8"/>
  </r>
  <r>
    <s v="400-05"/>
    <x v="3"/>
    <n v="0"/>
    <s v="29/09/20"/>
    <s v="29/09/20"/>
    <s v="SI206N03442"/>
    <m/>
    <s v="SO20N04475-JOSEPH OYEBOL"/>
    <s v="120099"/>
    <s v="20014649"/>
    <s v="MSH"/>
    <n v="0"/>
    <n v="116279.07"/>
    <n v="116279.07"/>
    <s v="NG"/>
    <x v="8"/>
  </r>
  <r>
    <s v="400-05"/>
    <x v="3"/>
    <n v="0"/>
    <s v="29/09/20"/>
    <s v="29/09/20"/>
    <s v="SI206N03443"/>
    <m/>
    <s v="SO20N04510-SAMUEL TANIMO"/>
    <s v="120099"/>
    <s v="20014652"/>
    <s v="MSH"/>
    <n v="0"/>
    <n v="93023.26"/>
    <n v="93023.26"/>
    <s v="NG"/>
    <x v="8"/>
  </r>
  <r>
    <s v="400-05"/>
    <x v="3"/>
    <n v="0"/>
    <s v="29/09/20"/>
    <s v="29/09/20"/>
    <s v="SI206N03452"/>
    <m/>
    <s v="10 ECO SYSTEMS"/>
    <s v="100043"/>
    <s v="20014700"/>
    <s v="MSH"/>
    <n v="0"/>
    <n v="158139.53"/>
    <n v="158139.53"/>
    <s v="NG"/>
    <x v="8"/>
  </r>
  <r>
    <s v="400-05"/>
    <x v="3"/>
    <n v="0"/>
    <s v="29/09/20"/>
    <s v="29/09/20"/>
    <s v="SI206N03453"/>
    <m/>
    <s v="10 ECO SYSTEMS"/>
    <s v="100021"/>
    <s v="20014702"/>
    <s v="MSH"/>
    <n v="0"/>
    <n v="158139.53"/>
    <n v="158139.53"/>
    <s v="NG"/>
    <x v="8"/>
  </r>
  <r>
    <s v="400-05"/>
    <x v="3"/>
    <n v="0"/>
    <s v="29/09/20"/>
    <s v="29/09/20"/>
    <s v="SI206N03454"/>
    <m/>
    <s v="20 PRIME &amp; 5 ECO-EKPOMA"/>
    <s v="100046"/>
    <s v="20014704"/>
    <s v="MSH"/>
    <n v="0"/>
    <n v="474418.6"/>
    <n v="474418.6"/>
    <s v="NG"/>
    <x v="8"/>
  </r>
  <r>
    <s v="400-05"/>
    <x v="3"/>
    <n v="0"/>
    <s v="29/09/20"/>
    <s v="29/09/20"/>
    <s v="SI206N03455"/>
    <m/>
    <s v="20 PRIME &amp; 5 ECO-AUCHI"/>
    <s v="100046"/>
    <s v="20014705"/>
    <s v="MSH"/>
    <n v="0"/>
    <n v="474418.6"/>
    <n v="474418.6"/>
    <s v="NG"/>
    <x v="8"/>
  </r>
  <r>
    <s v="400-05"/>
    <x v="3"/>
    <n v="0"/>
    <s v="29/09/20"/>
    <s v="29/09/20"/>
    <s v="SI206N03456"/>
    <m/>
    <s v="20 PRIME &amp; 5 ECO"/>
    <s v="100046"/>
    <s v="20014706"/>
    <s v="MSH"/>
    <n v="0"/>
    <n v="474418.6"/>
    <n v="474418.6"/>
    <s v="NG"/>
    <x v="8"/>
  </r>
  <r>
    <s v="400-05"/>
    <x v="3"/>
    <n v="0"/>
    <s v="30/09/20"/>
    <s v="30/09/20"/>
    <s v="SI206N03474"/>
    <m/>
    <s v="SO20N03933-LERRY JAY ELE"/>
    <s v="100032"/>
    <s v="20014743"/>
    <s v="MSH"/>
    <n v="0"/>
    <n v="104651.16"/>
    <n v="104651.16"/>
    <s v="NG"/>
    <x v="8"/>
  </r>
  <r>
    <s v="400-05"/>
    <x v="3"/>
    <n v="0"/>
    <s v="30/09/20"/>
    <s v="30/09/20"/>
    <s v="SI206N03495"/>
    <m/>
    <s v="SO20N04342-BRUNO MBAGWU"/>
    <s v="120099"/>
    <s v="20014795"/>
    <s v="MSH"/>
    <n v="0"/>
    <n v="93023.26"/>
    <n v="93023.26"/>
    <s v="NG"/>
    <x v="8"/>
  </r>
  <r>
    <s v="400-05"/>
    <x v="3"/>
    <n v="0"/>
    <s v="30/09/20"/>
    <s v="30/09/20"/>
    <s v="SI206N03500"/>
    <m/>
    <s v="SO20N04544-ISRAEL MULTI"/>
    <s v="100032"/>
    <s v="20014813"/>
    <s v="MSH"/>
    <n v="0"/>
    <n v="66976.740000000005"/>
    <n v="66976.740000000005"/>
    <s v="NG"/>
    <x v="8"/>
  </r>
  <r>
    <s v="400-05"/>
    <x v="3"/>
    <n v="0"/>
    <s v="30/09/20"/>
    <s v="30/09/20"/>
    <s v="SI206N03501"/>
    <m/>
    <s v="SO20N04548-VERA COMMUNIC"/>
    <s v="100032"/>
    <s v="20014815"/>
    <s v="MSH"/>
    <n v="0"/>
    <n v="62790.7"/>
    <n v="62790.7"/>
    <s v="NG"/>
    <x v="8"/>
  </r>
  <r>
    <s v="400-05"/>
    <x v="3"/>
    <n v="0"/>
    <s v="30/09/20"/>
    <s v="30/09/20"/>
    <s v="SI206N03502"/>
    <m/>
    <s v="SO20N04550-Muhammad Hami"/>
    <s v="100032"/>
    <s v="20014817"/>
    <s v="MSH"/>
    <n v="0"/>
    <n v="62790.7"/>
    <n v="62790.7"/>
    <s v="NG"/>
    <x v="8"/>
  </r>
  <r>
    <s v="400-05"/>
    <x v="3"/>
    <n v="0"/>
    <s v="30/09/20"/>
    <s v="30/09/20"/>
    <s v="SI206N03503"/>
    <m/>
    <s v="SO20N04552-ANIDI MITCHEL"/>
    <s v="100032"/>
    <s v="20014819"/>
    <s v="MSH"/>
    <n v="0"/>
    <n v="83720.929999999993"/>
    <n v="83720.929999999993"/>
    <s v="NG"/>
    <x v="8"/>
  </r>
  <r>
    <s v="400-05"/>
    <x v="3"/>
    <n v="0"/>
    <s v="30/09/20"/>
    <s v="30/09/20"/>
    <s v="SI206N03504"/>
    <m/>
    <s v="SO20N04554-JOY HOTSPOT"/>
    <s v="100032"/>
    <s v="20014821"/>
    <s v="MSH"/>
    <n v="0"/>
    <n v="41860.47"/>
    <n v="41860.47"/>
    <s v="NG"/>
    <x v="8"/>
  </r>
  <r>
    <s v="400-05"/>
    <x v="3"/>
    <n v="0"/>
    <s v="30/09/20"/>
    <s v="30/09/20"/>
    <s v="SI206N03505"/>
    <m/>
    <s v="SO20N04555-HALLELUYAH VE"/>
    <s v="100032"/>
    <s v="20014823"/>
    <s v="MSH"/>
    <n v="0"/>
    <n v="196744.19"/>
    <n v="196744.19"/>
    <s v="NG"/>
    <x v="8"/>
  </r>
  <r>
    <s v="400-05"/>
    <x v="3"/>
    <n v="0"/>
    <s v="30/09/20"/>
    <s v="30/09/20"/>
    <s v="SI206N03506"/>
    <m/>
    <s v="SO20N04556-ALIYU DOMA"/>
    <s v="100032"/>
    <s v="20014825"/>
    <s v="MSH"/>
    <n v="0"/>
    <n v="62790.7"/>
    <n v="62790.7"/>
    <s v="NG"/>
    <x v="8"/>
  </r>
  <r>
    <s v="400-05"/>
    <x v="3"/>
    <n v="0"/>
    <s v="30/09/20"/>
    <s v="30/09/20"/>
    <s v="SI206N03507"/>
    <m/>
    <s v="SO20N04557-MKC ENTERPRIS"/>
    <s v="100032"/>
    <s v="20014827"/>
    <s v="MSH"/>
    <n v="0"/>
    <n v="83720.929999999993"/>
    <n v="83720.929999999993"/>
    <s v="NG"/>
    <x v="8"/>
  </r>
  <r>
    <s v="400-05"/>
    <x v="3"/>
    <n v="0"/>
    <s v="30/09/20"/>
    <s v="30/09/20"/>
    <s v="SI206N03508"/>
    <m/>
    <s v="SO20N04559-JOSHUA ADEYEM"/>
    <s v="100032"/>
    <s v="20014829"/>
    <s v="MSH"/>
    <n v="0"/>
    <n v="41860.47"/>
    <n v="41860.47"/>
    <s v="NG"/>
    <x v="8"/>
  </r>
  <r>
    <s v="400-05"/>
    <x v="3"/>
    <n v="0"/>
    <s v="30/09/20"/>
    <s v="30/09/20"/>
    <s v="SI206N03509"/>
    <m/>
    <s v="SO20N04568-ABS VENTURES"/>
    <s v="100032"/>
    <s v="20014831"/>
    <s v="MSH"/>
    <n v="0"/>
    <n v="209302.33"/>
    <n v="209302.33"/>
    <s v="NG"/>
    <x v="8"/>
  </r>
  <r>
    <s v="400-05"/>
    <x v="3"/>
    <n v="0"/>
    <s v="30/09/20"/>
    <s v="30/09/20"/>
    <s v="SI206N03510"/>
    <m/>
    <s v="SO20N04578-AUWAL DANLADI"/>
    <s v="100032"/>
    <s v="20014833"/>
    <s v="MSH"/>
    <n v="0"/>
    <n v="104651.16"/>
    <n v="104651.16"/>
    <s v="NG"/>
    <x v="8"/>
  </r>
  <r>
    <s v="400-05"/>
    <x v="3"/>
    <n v="0"/>
    <s v="30/09/20"/>
    <s v="30/09/20"/>
    <s v="SI206N03511"/>
    <m/>
    <s v="SO20N04582-Muhammad Hami"/>
    <s v="100032"/>
    <s v="20014835"/>
    <s v="MSH"/>
    <n v="0"/>
    <n v="41860.47"/>
    <n v="41860.47"/>
    <s v="NG"/>
    <x v="8"/>
  </r>
  <r>
    <s v="400-05"/>
    <x v="3"/>
    <n v="0"/>
    <s v="30/09/20"/>
    <s v="30/09/20"/>
    <s v="SI206N03512"/>
    <m/>
    <s v="SO20N04584-AFAM KENNETH"/>
    <s v="100032"/>
    <s v="20014837"/>
    <s v="MSH"/>
    <n v="0"/>
    <n v="104651.16"/>
    <n v="104651.16"/>
    <s v="NG"/>
    <x v="8"/>
  </r>
  <r>
    <s v="400-05"/>
    <x v="3"/>
    <n v="0"/>
    <s v="30/09/20"/>
    <s v="30/09/20"/>
    <s v="SI206N03513"/>
    <m/>
    <s v="SO20N04585-RALPH EKOMONG"/>
    <s v="100032"/>
    <s v="20014839"/>
    <s v="MSH"/>
    <n v="0"/>
    <n v="83720.929999999993"/>
    <n v="83720.929999999993"/>
    <s v="NG"/>
    <x v="8"/>
  </r>
  <r>
    <s v="400-05"/>
    <x v="3"/>
    <n v="0"/>
    <s v="30/09/20"/>
    <s v="30/09/20"/>
    <s v="SI206N03514"/>
    <m/>
    <s v="SO20N04586-NELIX Enginee"/>
    <s v="100032"/>
    <s v="20014841"/>
    <s v="MSH"/>
    <n v="0"/>
    <n v="83720.929999999993"/>
    <n v="83720.929999999993"/>
    <s v="NG"/>
    <x v="8"/>
  </r>
  <r>
    <s v="400-05"/>
    <x v="3"/>
    <n v="0"/>
    <s v="30/09/20"/>
    <s v="30/09/20"/>
    <s v="SI206N03515"/>
    <m/>
    <s v="SO20NO4590-HONEYPLUS COM"/>
    <s v="100032"/>
    <s v="20014843"/>
    <s v="MSH"/>
    <n v="0"/>
    <n v="16744.189999999999"/>
    <n v="16744.189999999999"/>
    <s v="NG"/>
    <x v="8"/>
  </r>
  <r>
    <s v="400-05"/>
    <x v="3"/>
    <n v="0"/>
    <s v="30/09/20"/>
    <s v="30/09/20"/>
    <s v="SI206N03516"/>
    <m/>
    <s v="SO20N04591-OJ ENTERPRISE"/>
    <s v="100032"/>
    <s v="20014845"/>
    <s v="MSH"/>
    <n v="0"/>
    <n v="104651.16"/>
    <n v="104651.16"/>
    <s v="NG"/>
    <x v="8"/>
  </r>
  <r>
    <s v="400-05"/>
    <x v="3"/>
    <n v="0"/>
    <s v="30/09/20"/>
    <s v="30/09/20"/>
    <s v="SI206N03517"/>
    <m/>
    <s v="SO20N04599-MDGS CENTER"/>
    <s v="100032"/>
    <s v="20014847"/>
    <s v="MSH"/>
    <n v="0"/>
    <n v="125581.4"/>
    <n v="125581.4"/>
    <s v="NG"/>
    <x v="8"/>
  </r>
  <r>
    <s v="400-05"/>
    <x v="3"/>
    <n v="0"/>
    <s v="30/09/20"/>
    <s v="30/09/20"/>
    <s v="SI206N03518"/>
    <m/>
    <s v="SO20N04545-EDET IMAIKOP"/>
    <s v="120099"/>
    <s v="20014856"/>
    <s v="MSH"/>
    <n v="0"/>
    <n v="20930.23"/>
    <n v="20930.23"/>
    <s v="NG"/>
    <x v="8"/>
  </r>
  <r>
    <s v="400-05"/>
    <x v="3"/>
    <n v="0"/>
    <s v="30/09/20"/>
    <s v="30/09/20"/>
    <s v="SI206N03519"/>
    <m/>
    <s v="SO20N04569-NONSO EZENWOB"/>
    <s v="120099"/>
    <s v="20014858"/>
    <s v="MSH"/>
    <n v="0"/>
    <n v="37209.300000000003"/>
    <n v="37209.300000000003"/>
    <s v="NG"/>
    <x v="8"/>
  </r>
  <r>
    <s v="400-05"/>
    <x v="3"/>
    <n v="0"/>
    <s v="30/09/20"/>
    <s v="30/09/20"/>
    <s v="SI206N03524"/>
    <m/>
    <s v="SO20N04598-LEGACY FOOD"/>
    <s v="100032"/>
    <s v="20014877"/>
    <s v="MSH"/>
    <n v="0"/>
    <n v="92093.02"/>
    <n v="92093.02"/>
    <s v="NG"/>
    <x v="8"/>
  </r>
  <r>
    <s v="400-05"/>
    <x v="3"/>
    <n v="0"/>
    <s v="30/09/20"/>
    <s v="30/09/20"/>
    <s v="SI206N03526"/>
    <m/>
    <s v="35 PRIME 5 ECO"/>
    <s v="100004"/>
    <s v="20014897"/>
    <s v="MSH"/>
    <n v="0"/>
    <n v="770930.23"/>
    <n v="770930.23"/>
    <s v="NG"/>
    <x v="8"/>
  </r>
  <r>
    <s v="400-05"/>
    <x v="3"/>
    <n v="0"/>
    <s v="30/09/20"/>
    <s v="30/09/20"/>
    <s v="SI206N03527"/>
    <m/>
    <s v="10 ECO SYS-PROMOTOWER"/>
    <s v="100010"/>
    <s v="20014899"/>
    <s v="MSH"/>
    <n v="0"/>
    <n v="158139.54"/>
    <n v="158139.54"/>
    <s v="NG"/>
    <x v="8"/>
  </r>
  <r>
    <s v="400-05"/>
    <x v="3"/>
    <n v="0"/>
    <s v="30/09/20"/>
    <s v="29/09/20"/>
    <s v="SI206N03540"/>
    <m/>
    <s v="Reversal of 20014620"/>
    <s v="120099"/>
    <s v="20014964"/>
    <s v="MSH"/>
    <n v="0"/>
    <n v="-46511.63"/>
    <n v="-46511.63"/>
    <s v="NG"/>
    <x v="8"/>
  </r>
  <r>
    <s v="400-05"/>
    <x v="3"/>
    <n v="0"/>
    <s v="30/09/20"/>
    <s v="30/09/20"/>
    <s v="SI206N03541"/>
    <m/>
    <s v="SO20N04352-DIGI SAT VENT"/>
    <s v="100032"/>
    <s v="20014965"/>
    <s v="MSH"/>
    <n v="0"/>
    <n v="41860.47"/>
    <n v="41860.47"/>
    <s v="NG"/>
    <x v="8"/>
  </r>
  <r>
    <s v="400-05"/>
    <x v="3"/>
    <n v="0"/>
    <s v="30/09/20"/>
    <s v="30/09/20"/>
    <s v="SI206N03555"/>
    <m/>
    <s v="Reversal of 20014856"/>
    <s v="120099"/>
    <s v="20015010"/>
    <s v="MSH"/>
    <n v="0"/>
    <n v="-20930.23"/>
    <n v="-20930.23"/>
    <s v="NG"/>
    <x v="8"/>
  </r>
  <r>
    <s v="400-05"/>
    <x v="3"/>
    <n v="0"/>
    <s v="30/09/20"/>
    <s v="30/09/20"/>
    <s v="SI206N03557"/>
    <m/>
    <s v="SO20N04545-EDET IMAIKOP"/>
    <s v="120099"/>
    <s v="20015014"/>
    <s v="MSH"/>
    <n v="0"/>
    <n v="23255.81"/>
    <n v="23255.81"/>
    <s v="NG"/>
    <x v="8"/>
  </r>
  <r>
    <s v="400-05"/>
    <x v="3"/>
    <n v="0"/>
    <s v="30/09/20"/>
    <s v="30/09/20"/>
    <s v="SI206N03565"/>
    <m/>
    <s v="30PRI/20ECO/20BUL/5ES/1F"/>
    <s v="100022"/>
    <s v="20015040"/>
    <s v="MSH"/>
    <n v="0"/>
    <n v="909301.48"/>
    <n v="909301.48"/>
    <s v="NG"/>
    <x v="8"/>
  </r>
  <r>
    <s v="400-05"/>
    <x v="3"/>
    <n v="0"/>
    <s v="30/09/20"/>
    <n v="43839"/>
    <s v="SI206N03569"/>
    <m/>
    <s v="SO20N04843-GOTELA"/>
    <s v="100032"/>
    <s v="20015049"/>
    <s v="MSH"/>
    <n v="0"/>
    <n v="38955.35"/>
    <n v="38955.35"/>
    <s v="NG"/>
    <x v="8"/>
  </r>
  <r>
    <s v="400-05"/>
    <x v="3"/>
    <n v="0"/>
    <s v="30/09/20"/>
    <s v="30/09/20"/>
    <s v="SI206N03570"/>
    <m/>
    <s v="SO20N04844-GOTELA"/>
    <s v="100032"/>
    <s v="20015051"/>
    <s v="MSH"/>
    <n v="0"/>
    <n v="41860.47"/>
    <n v="41860.47"/>
    <s v="NG"/>
    <x v="8"/>
  </r>
  <r>
    <s v="400-05"/>
    <x v="3"/>
    <n v="0"/>
    <s v="30/09/20"/>
    <s v="30/09/20"/>
    <s v="SI206N03579"/>
    <m/>
    <s v="25PRIME SYS-OMO MUMMY GL"/>
    <s v="100014"/>
    <s v="20015073"/>
    <s v="MSH"/>
    <n v="0"/>
    <n v="494186.05"/>
    <n v="494186.05"/>
    <s v="NG"/>
    <x v="8"/>
  </r>
  <r>
    <s v="400-05"/>
    <x v="3"/>
    <n v="0"/>
    <s v="30/09/20"/>
    <s v="30/09/20"/>
    <s v="SI206N03580"/>
    <m/>
    <s v="44PRIME/15ECO SYS KOJEH"/>
    <s v="100016"/>
    <s v="20015075"/>
    <s v="MSH"/>
    <n v="0"/>
    <n v="1106976.74"/>
    <n v="1106976.74"/>
    <s v="NG"/>
    <x v="8"/>
  </r>
  <r>
    <s v="400-05"/>
    <x v="3"/>
    <n v="0"/>
    <s v="30/09/20"/>
    <s v="30/09/20"/>
    <s v="SI206N03581"/>
    <m/>
    <s v="90PRIME/20ECO-EASTLAND"/>
    <s v="100045"/>
    <s v="20015079"/>
    <s v="MSH"/>
    <n v="0"/>
    <n v="2095348.84"/>
    <n v="2095348.84"/>
    <s v="NG"/>
    <x v="8"/>
  </r>
  <r>
    <s v="400-05"/>
    <x v="3"/>
    <n v="0"/>
    <s v="30/09/20"/>
    <s v="30/09/20"/>
    <s v="SI206N03584"/>
    <m/>
    <s v="24 PRIME SYS"/>
    <s v="100042"/>
    <s v="20015094"/>
    <s v="MSH"/>
    <n v="0"/>
    <n v="558139.52"/>
    <n v="558139.52"/>
    <s v="NG"/>
    <x v="8"/>
  </r>
  <r>
    <s v="400-05"/>
    <x v="3"/>
    <n v="0"/>
    <s v="30/09/20"/>
    <s v="30/09/20"/>
    <s v="SI206N03585"/>
    <m/>
    <s v="7 PRIME SYS-SV GAMING"/>
    <s v="100040"/>
    <s v="20015100"/>
    <s v="MSH"/>
    <n v="0"/>
    <n v="130232.54"/>
    <n v="130232.54"/>
    <s v="NG"/>
    <x v="8"/>
  </r>
  <r>
    <s v="400-05"/>
    <x v="3"/>
    <n v="0"/>
    <s v="30/09/20"/>
    <s v="30/09/20"/>
    <s v="SI206N03586"/>
    <m/>
    <s v="1 PRIME SYS-SV GAMING"/>
    <s v="100040"/>
    <s v="20015102"/>
    <s v="MSH"/>
    <n v="0"/>
    <n v="18604.650000000001"/>
    <n v="18604.650000000001"/>
    <s v="NG"/>
    <x v="8"/>
  </r>
  <r>
    <s v="400-05"/>
    <x v="3"/>
    <n v="0"/>
    <s v="30/09/20"/>
    <s v="30/09/20"/>
    <s v="SI206N03598"/>
    <m/>
    <s v="SO20N04577-ABDULAHI DOMA"/>
    <s v="100032"/>
    <s v="20015268"/>
    <s v="MSH"/>
    <n v="0"/>
    <n v="62790.7"/>
    <n v="62790.7"/>
    <s v="NG"/>
    <x v="8"/>
  </r>
  <r>
    <s v="400-05"/>
    <x v="3"/>
    <n v="0"/>
    <s v="30/09/20"/>
    <s v="30/09/20"/>
    <s v="SI206N03599"/>
    <m/>
    <s v="16PRIME/5ECO-ZEST MART"/>
    <s v="100028"/>
    <s v="20015270"/>
    <s v="MSH"/>
    <n v="0"/>
    <n v="395348.84"/>
    <n v="395348.84"/>
    <s v="NG"/>
    <x v="8"/>
  </r>
  <r>
    <s v="400-05"/>
    <x v="3"/>
    <n v="0"/>
    <s v="30/09/20"/>
    <s v="30/09/20"/>
    <s v="SI206N03602"/>
    <m/>
    <s v="SO20N04579-Jamesbull Glo"/>
    <s v="100032"/>
    <s v="20015274"/>
    <s v="MSH"/>
    <n v="0"/>
    <n v="209302.33"/>
    <n v="209302.33"/>
    <s v="NG"/>
    <x v="8"/>
  </r>
  <r>
    <s v="400-05"/>
    <x v="3"/>
    <n v="0"/>
    <s v="30/09/20"/>
    <s v="30/09/20"/>
    <s v="SI206N03607"/>
    <m/>
    <s v="18PRIME/2ECO-HONEYDEE"/>
    <s v="100030"/>
    <s v="20015287"/>
    <s v="MSH"/>
    <n v="0"/>
    <n v="387441.86"/>
    <n v="387441.86"/>
    <s v="NG"/>
    <x v="8"/>
  </r>
  <r>
    <s v="400-05"/>
    <x v="3"/>
    <n v="0"/>
    <s v="30/09/20"/>
    <s v="30/09/20"/>
    <s v="SI206N03608"/>
    <m/>
    <s v="SO20N04931-ROCOIN INTL"/>
    <s v="100032"/>
    <s v="20015294"/>
    <s v="MSH"/>
    <n v="0"/>
    <n v="125581.4"/>
    <n v="125581.4"/>
    <s v="NG"/>
    <x v="8"/>
  </r>
  <r>
    <s v="400-05"/>
    <x v="3"/>
    <n v="0"/>
    <s v="30/09/20"/>
    <s v="30/09/20"/>
    <s v="SI206N03611"/>
    <m/>
    <s v="SO20N04790-SAMSEG AUTO"/>
    <s v="100032"/>
    <s v="20015312"/>
    <s v="MSH"/>
    <n v="0"/>
    <n v="113023.26"/>
    <n v="113023.26"/>
    <s v="NG"/>
    <x v="8"/>
  </r>
  <r>
    <s v="400-05"/>
    <x v="3"/>
    <n v="0"/>
    <s v="30/09/20"/>
    <s v="30/09/20"/>
    <s v="SI206N03615"/>
    <m/>
    <s v="SO20N04343-Johnkay Uniqu"/>
    <s v="100032"/>
    <s v="20015330"/>
    <s v="MSH"/>
    <n v="0"/>
    <n v="54418.6"/>
    <n v="54418.6"/>
    <s v="NG"/>
    <x v="8"/>
  </r>
  <r>
    <s v="400-05"/>
    <x v="3"/>
    <n v="0"/>
    <s v="30/09/20"/>
    <s v="30/09/20"/>
    <s v="INC FROM F STORE"/>
    <m/>
    <s v="RECLASSIFICATION"/>
    <s v="403-0"/>
    <s v="20015481"/>
    <s v="M"/>
    <n v="3851162.72"/>
    <n v="0"/>
    <n v="-3851162.72"/>
    <s v="NG"/>
    <x v="8"/>
  </r>
  <r>
    <s v="400-05"/>
    <x v="3"/>
    <n v="0"/>
    <s v="30/09/20"/>
    <s v="30/09/20"/>
    <s v="TO FIELD SALES"/>
    <m/>
    <s v="RECLASSIFICATION"/>
    <s v="403-0"/>
    <s v="20015482"/>
    <s v="M"/>
    <n v="18477033.68"/>
    <n v="0"/>
    <n v="-18477033.68"/>
    <s v="NG"/>
    <x v="8"/>
  </r>
  <r>
    <s v="400-05"/>
    <x v="3"/>
    <n v="0"/>
    <d v="2020-01-10T00:00:00"/>
    <n v="43840"/>
    <s v="SI206N03623"/>
    <m/>
    <s v="PRIME&amp;ECO LTO,PRIME RENT"/>
    <s v="120006"/>
    <s v="20015432"/>
    <s v="MSH"/>
    <n v="0"/>
    <n v="23255.81"/>
    <n v="23255.81"/>
    <s v="NG"/>
    <x v="9"/>
  </r>
  <r>
    <s v="400-05"/>
    <x v="3"/>
    <n v="0"/>
    <d v="2020-05-10T00:00:00"/>
    <n v="43961"/>
    <s v="SI206N03788"/>
    <m/>
    <s v="PRIME LTO,SETUP, RENTALS"/>
    <s v="120006"/>
    <s v="20015931"/>
    <s v="MSH"/>
    <n v="0"/>
    <n v="23255.81"/>
    <n v="23255.81"/>
    <s v="NG"/>
    <x v="9"/>
  </r>
  <r>
    <s v="400-05"/>
    <x v="3"/>
    <n v="0"/>
    <d v="2020-05-10T00:00:00"/>
    <n v="43961"/>
    <s v="SI206N03808"/>
    <m/>
    <s v="50PRIME/15ECO-SCALAR TEL"/>
    <s v="100047"/>
    <s v="20016081"/>
    <s v="MSH"/>
    <n v="0"/>
    <n v="1225581.3999999999"/>
    <n v="1225581.3999999999"/>
    <s v="NG"/>
    <x v="9"/>
  </r>
  <r>
    <s v="400-05"/>
    <x v="3"/>
    <n v="0"/>
    <d v="2020-05-10T00:00:00"/>
    <n v="43961"/>
    <s v="SI206N03809"/>
    <m/>
    <s v="90 PRIME/ 30 ECO SYSTEM"/>
    <s v="100018"/>
    <s v="20016083"/>
    <s v="MSH"/>
    <n v="0"/>
    <n v="2253488.37"/>
    <n v="2253488.37"/>
    <s v="NG"/>
    <x v="9"/>
  </r>
  <r>
    <s v="400-05"/>
    <x v="3"/>
    <n v="0"/>
    <d v="2020-05-10T00:00:00"/>
    <n v="43961"/>
    <s v="SI206N03811"/>
    <m/>
    <s v="5 PRIME / 10 ECO SYSTEM"/>
    <s v="100020"/>
    <s v="20016087"/>
    <s v="MSH"/>
    <n v="0"/>
    <n v="256976.74"/>
    <n v="256976.74"/>
    <s v="NG"/>
    <x v="9"/>
  </r>
  <r>
    <s v="400-05"/>
    <x v="3"/>
    <n v="0"/>
    <d v="2020-05-10T00:00:00"/>
    <n v="43961"/>
    <s v="SI206N03813"/>
    <m/>
    <s v="20PRIME/10ECO SYS"/>
    <s v="100009"/>
    <s v="20016095"/>
    <s v="MSH"/>
    <n v="0"/>
    <n v="553488.37"/>
    <n v="553488.37"/>
    <s v="NG"/>
    <x v="9"/>
  </r>
  <r>
    <s v="400-05"/>
    <x v="3"/>
    <n v="0"/>
    <d v="2020-05-10T00:00:00"/>
    <n v="43961"/>
    <s v="SI206N03814"/>
    <m/>
    <s v="10PRIME SYS-CORSICAN BRO"/>
    <s v="100023"/>
    <s v="20016099"/>
    <s v="MSH"/>
    <n v="0"/>
    <n v="197674.42"/>
    <n v="197674.42"/>
    <s v="NG"/>
    <x v="9"/>
  </r>
  <r>
    <s v="400-05"/>
    <x v="3"/>
    <n v="0"/>
    <d v="2020-05-10T00:00:00"/>
    <n v="43961"/>
    <s v="SI206N03815"/>
    <m/>
    <s v="26PRIME/8ECO-KAZZY TELEC"/>
    <s v="100011"/>
    <s v="20016101"/>
    <s v="MSH"/>
    <n v="0"/>
    <n v="640465.12"/>
    <n v="640465.12"/>
    <s v="NG"/>
    <x v="9"/>
  </r>
  <r>
    <s v="400-05"/>
    <x v="3"/>
    <n v="0"/>
    <s v="21/10/20"/>
    <s v="21/10/20"/>
    <s v="SI206N03816"/>
    <m/>
    <s v="20 ECO SYS-MAN D SAT"/>
    <s v="100043"/>
    <s v="20016105"/>
    <s v="MSH"/>
    <n v="0"/>
    <n v="316279.07"/>
    <n v="316279.07"/>
    <s v="NG"/>
    <x v="9"/>
  </r>
  <r>
    <s v="400-05"/>
    <x v="3"/>
    <n v="0"/>
    <s v="21/10/20"/>
    <s v="21/10/20"/>
    <s v="SI206N03817"/>
    <m/>
    <s v="10ECO SYS-KOJEH"/>
    <s v="100016"/>
    <s v="20016107"/>
    <s v="MSH"/>
    <n v="0"/>
    <n v="158139.53"/>
    <n v="158139.53"/>
    <s v="NG"/>
    <x v="9"/>
  </r>
  <r>
    <s v="400-05"/>
    <x v="3"/>
    <n v="0"/>
    <s v="21/10/20"/>
    <s v="21/10/20"/>
    <s v="SI206N03818"/>
    <m/>
    <s v="40PRIME/10ECO SYSTEM"/>
    <s v="100043"/>
    <s v="20016110"/>
    <s v="MSH"/>
    <n v="0"/>
    <n v="948837.21"/>
    <n v="948837.21"/>
    <s v="NG"/>
    <x v="9"/>
  </r>
  <r>
    <s v="400-05"/>
    <x v="3"/>
    <n v="0"/>
    <s v="31/10/20"/>
    <s v="31/10/20"/>
    <s v="SI206N04075"/>
    <m/>
    <s v="ECO SET UP FEE"/>
    <s v="120006"/>
    <s v="20017254"/>
    <s v="MSH"/>
    <n v="0"/>
    <n v="18604.650000000001"/>
    <n v="18604.650000000001"/>
    <s v="NG"/>
    <x v="9"/>
  </r>
  <r>
    <s v="400-05"/>
    <x v="3"/>
    <n v="0"/>
    <s v="31/10/20"/>
    <s v="31/10/20"/>
    <s v="SI206N04076"/>
    <m/>
    <s v="5ECO SYS-ZELI ENTERPRISE"/>
    <s v="100027"/>
    <s v="20017257"/>
    <s v="MSH"/>
    <n v="0"/>
    <n v="79069.77"/>
    <n v="79069.77"/>
    <s v="NG"/>
    <x v="9"/>
  </r>
  <r>
    <s v="400-05"/>
    <x v="3"/>
    <n v="0"/>
    <s v="31/10/20"/>
    <s v="31/10/20"/>
    <s v="SI206N04079"/>
    <m/>
    <s v="Reversal of 20017254"/>
    <s v="120006"/>
    <s v="20017306"/>
    <s v="MSH"/>
    <n v="0"/>
    <n v="-18604.650000000001"/>
    <n v="-18604.650000000001"/>
    <s v="NG"/>
    <x v="9"/>
  </r>
  <r>
    <s v="400-05"/>
    <x v="3"/>
    <n v="0"/>
    <s v="31/10/20"/>
    <s v="31/10/20"/>
    <s v="SI206N04100"/>
    <m/>
    <s v="20 PRIME SYSTEM"/>
    <s v="ROLAG Q3 SYSTEMS"/>
    <s v="20017449"/>
    <s v="MSH"/>
    <n v="0"/>
    <n v="395348.84"/>
    <n v="395348.84"/>
    <s v="NG"/>
    <x v="9"/>
  </r>
  <r>
    <s v="400-05"/>
    <x v="3"/>
    <n v="0"/>
    <s v="31/10/20"/>
    <s v="31/10/20"/>
    <s v="SI206N04109"/>
    <m/>
    <s v="40 PRIME/ 10 ECO SYS"/>
    <s v="100010"/>
    <s v="20017472"/>
    <s v="MSH"/>
    <n v="0"/>
    <n v="948837.21"/>
    <n v="948837.21"/>
    <s v="NG"/>
    <x v="9"/>
  </r>
  <r>
    <s v="400-05"/>
    <x v="3"/>
    <n v="0"/>
    <s v="31/10/20"/>
    <s v="31/10/20"/>
    <s v="SI206N04110"/>
    <m/>
    <s v="5PRIME SYS-ZEST MART ENT"/>
    <s v="100028"/>
    <s v="20017473"/>
    <s v="MSH"/>
    <n v="0"/>
    <n v="98837.21"/>
    <n v="98837.21"/>
    <s v="NG"/>
    <x v="9"/>
  </r>
  <r>
    <s v="400-05"/>
    <x v="3"/>
    <n v="0"/>
    <s v="31/10/20"/>
    <s v="31/10/20"/>
    <s v="SI206N04112"/>
    <m/>
    <s v="20 PRIME SYSTEM"/>
    <s v="100028"/>
    <s v="20017487"/>
    <s v="MSH"/>
    <n v="0"/>
    <n v="395348.84"/>
    <n v="395348.84"/>
    <s v="NG"/>
    <x v="9"/>
  </r>
  <r>
    <s v="400-05"/>
    <x v="3"/>
    <n v="0"/>
    <s v="31/10/20"/>
    <s v="31/10/20"/>
    <s v="SI206N04312"/>
    <m/>
    <s v="Reversal of 20017449"/>
    <s v="ROLAG Q3 SYSTEMS"/>
    <s v="20018323"/>
    <s v="MSH"/>
    <n v="0"/>
    <n v="-395348.84"/>
    <n v="-395348.84"/>
    <s v="NG"/>
    <x v="9"/>
  </r>
  <r>
    <s v="400-05"/>
    <x v="3"/>
    <n v="0"/>
    <s v="31/10/20"/>
    <s v="31/10/20"/>
    <s v="SI206N04314"/>
    <s v="SO20N05540"/>
    <s v="20 PRIME SYSTEM"/>
    <s v="100017"/>
    <s v="20018327"/>
    <s v="MSH"/>
    <n v="0"/>
    <n v="395348.84"/>
    <n v="395348.84"/>
    <s v="NG"/>
    <x v="9"/>
  </r>
  <r>
    <s v="400-05"/>
    <x v="3"/>
    <n v="0"/>
    <d v="2020-01-11T00:00:00"/>
    <n v="43841"/>
    <s v="SI206N04125"/>
    <m/>
    <s v="ECO SETUP FEE &amp; SUBSCRIP"/>
    <s v="120006"/>
    <s v="20017820"/>
    <s v="MSH"/>
    <n v="0"/>
    <n v="18604.650000000001"/>
    <n v="18604.650000000001"/>
    <s v="NG"/>
    <x v="10"/>
  </r>
  <r>
    <s v="400-05"/>
    <x v="3"/>
    <n v="0"/>
    <d v="2020-01-11T00:00:00"/>
    <n v="43841"/>
    <s v="SI206N04126"/>
    <m/>
    <s v="PRIME SETUP&amp;SUBSCRIPTION"/>
    <s v="120006"/>
    <s v="20017822"/>
    <s v="MSH"/>
    <n v="0"/>
    <n v="23255.81"/>
    <n v="23255.81"/>
    <s v="NG"/>
    <x v="10"/>
  </r>
  <r>
    <s v="400-05"/>
    <x v="3"/>
    <n v="0"/>
    <d v="2020-01-11T00:00:00"/>
    <n v="43841"/>
    <s v="SI206N04129"/>
    <m/>
    <s v="PRIME SETUP &amp; SUBSCRIPT"/>
    <s v="120006"/>
    <s v="20017831"/>
    <s v="MSH"/>
    <n v="0"/>
    <n v="23255.81"/>
    <n v="23255.81"/>
    <s v="NG"/>
    <x v="10"/>
  </r>
  <r>
    <s v="400-05"/>
    <x v="3"/>
    <n v="0"/>
    <d v="2020-01-11T00:00:00"/>
    <n v="43841"/>
    <s v="SI206N04132"/>
    <m/>
    <s v="PRIME SETUP&amp; SUBSCRIPTIO"/>
    <s v="120006"/>
    <s v="20017840"/>
    <s v="MSH"/>
    <n v="0"/>
    <n v="23255.81"/>
    <n v="23255.81"/>
    <s v="NG"/>
    <x v="10"/>
  </r>
  <r>
    <s v="400-05"/>
    <x v="3"/>
    <n v="0"/>
    <d v="2020-01-11T00:00:00"/>
    <n v="43841"/>
    <s v="SI206N04287"/>
    <m/>
    <s v="Reversal of 20017822"/>
    <s v="120006"/>
    <s v="20018255"/>
    <s v="MSH"/>
    <n v="0"/>
    <n v="-23255.81"/>
    <n v="-23255.81"/>
    <s v="NG"/>
    <x v="10"/>
  </r>
  <r>
    <s v="400-05"/>
    <x v="3"/>
    <n v="0"/>
    <d v="2020-02-11T00:00:00"/>
    <n v="43872"/>
    <s v="SI206N04182"/>
    <m/>
    <s v="PRIME SETUP &amp; SUBSCRIPTI"/>
    <s v="120006"/>
    <s v="20017971"/>
    <s v="MSH"/>
    <n v="0"/>
    <n v="23255.81"/>
    <n v="23255.81"/>
    <s v="NG"/>
    <x v="10"/>
  </r>
  <r>
    <s v="400-05"/>
    <x v="3"/>
    <n v="0"/>
    <d v="2020-02-11T00:00:00"/>
    <n v="43872"/>
    <s v="SI206N04399"/>
    <m/>
    <s v="15 PRIME SYSTEMS"/>
    <s v="100030"/>
    <s v="20018839"/>
    <s v="MSH"/>
    <n v="0"/>
    <n v="296511.63"/>
    <n v="296511.63"/>
    <s v="NG"/>
    <x v="10"/>
  </r>
  <r>
    <s v="400-05"/>
    <x v="3"/>
    <n v="0"/>
    <d v="2020-02-11T00:00:00"/>
    <n v="43872"/>
    <s v="SI206N04400"/>
    <m/>
    <s v="30 PRIME/10ECO"/>
    <s v="100019"/>
    <s v="20018843"/>
    <s v="MSH"/>
    <n v="0"/>
    <n v="751162.79"/>
    <n v="751162.79"/>
    <s v="NG"/>
    <x v="10"/>
  </r>
  <r>
    <s v="400-05"/>
    <x v="3"/>
    <n v="0"/>
    <d v="2020-02-11T00:00:00"/>
    <n v="43872"/>
    <s v="SI206N04401"/>
    <m/>
    <s v="49PRIME/10ECO SYSTEMS"/>
    <s v="100035"/>
    <s v="20018853"/>
    <s v="MSH"/>
    <n v="0"/>
    <n v="1126744.19"/>
    <n v="1126744.19"/>
    <s v="NG"/>
    <x v="10"/>
  </r>
  <r>
    <s v="400-05"/>
    <x v="3"/>
    <n v="0"/>
    <d v="2020-03-11T00:00:00"/>
    <n v="43901"/>
    <s v="SI206N04186"/>
    <m/>
    <s v="ECO SETUP &amp; SUBSCRIPTION"/>
    <s v="120006"/>
    <s v="20017977"/>
    <s v="MSH"/>
    <n v="0"/>
    <n v="13023.25"/>
    <n v="13023.25"/>
    <s v="NG"/>
    <x v="10"/>
  </r>
  <r>
    <s v="400-05"/>
    <x v="3"/>
    <n v="0"/>
    <d v="2020-04-11T00:00:00"/>
    <n v="43932"/>
    <s v="SI206N04296"/>
    <m/>
    <s v="SO20N05684-BERKLEY ANUM"/>
    <s v="120006"/>
    <s v="20018281"/>
    <s v="MSH"/>
    <n v="0"/>
    <n v="23255.81"/>
    <n v="23255.81"/>
    <s v="NG"/>
    <x v="10"/>
  </r>
  <r>
    <s v="400-05"/>
    <x v="3"/>
    <n v="0"/>
    <d v="2020-04-11T00:00:00"/>
    <n v="43932"/>
    <s v="SI206N04408"/>
    <m/>
    <s v="40 PRIME SYSTEM"/>
    <s v="100020"/>
    <s v="20018890"/>
    <s v="MSH"/>
    <n v="0"/>
    <n v="790697.67"/>
    <n v="790697.67"/>
    <s v="NG"/>
    <x v="10"/>
  </r>
  <r>
    <s v="400-05"/>
    <x v="3"/>
    <n v="0"/>
    <d v="2020-05-11T00:00:00"/>
    <n v="43962"/>
    <s v="SI206N04294"/>
    <m/>
    <s v="SO20N05745-BERKLEY ANUM"/>
    <s v="120006"/>
    <s v="20018277"/>
    <s v="MSH"/>
    <n v="0"/>
    <n v="23255.81"/>
    <n v="23255.81"/>
    <s v="NG"/>
    <x v="10"/>
  </r>
  <r>
    <s v="400-05"/>
    <x v="3"/>
    <n v="0"/>
    <d v="2020-05-11T00:00:00"/>
    <n v="43962"/>
    <s v="SI206N04411"/>
    <m/>
    <s v="60 PRIME/20 ECO SYS"/>
    <s v="100016"/>
    <s v="20018896"/>
    <s v="MSH"/>
    <n v="0"/>
    <n v="1502325.58"/>
    <n v="1502325.58"/>
    <s v="NG"/>
    <x v="10"/>
  </r>
  <r>
    <s v="400-05"/>
    <x v="3"/>
    <n v="0"/>
    <d v="2020-09-11T00:00:00"/>
    <n v="44085"/>
    <s v="SI206N04841"/>
    <m/>
    <s v="SO20N05900-BERKLEY ANUM"/>
    <s v="120006"/>
    <s v="20020397"/>
    <s v="MSH"/>
    <n v="0"/>
    <n v="18604.650000000001"/>
    <n v="18604.650000000001"/>
    <s v="NG"/>
    <x v="10"/>
  </r>
  <r>
    <s v="400-05"/>
    <x v="3"/>
    <n v="0"/>
    <d v="2020-10-11T00:00:00"/>
    <n v="44115"/>
    <s v="SI206N04686"/>
    <m/>
    <s v="35PRIME/15ECO SYSTEMS"/>
    <s v="100021"/>
    <s v="20019707"/>
    <s v="MSH"/>
    <n v="0"/>
    <n v="929069.77"/>
    <n v="929069.77"/>
    <s v="NG"/>
    <x v="10"/>
  </r>
  <r>
    <s v="400-05"/>
    <x v="3"/>
    <n v="0"/>
    <d v="2020-12-11T00:00:00"/>
    <n v="44176"/>
    <s v="SI206N04690"/>
    <m/>
    <s v="35PRIME/11ECO SYSTEM"/>
    <s v="100033"/>
    <s v="20019715"/>
    <s v="MSH"/>
    <n v="0"/>
    <n v="865813.95"/>
    <n v="865813.95"/>
    <s v="NG"/>
    <x v="10"/>
  </r>
  <r>
    <s v="400-05"/>
    <x v="3"/>
    <n v="0"/>
    <d v="2020-12-11T00:00:00"/>
    <n v="44176"/>
    <s v="SI206N04692"/>
    <m/>
    <s v="40PRIME,10ECO,10BULBS"/>
    <s v="100008"/>
    <s v="20019718"/>
    <s v="MSH"/>
    <n v="0"/>
    <n v="948837.22"/>
    <n v="948837.22"/>
    <s v="NG"/>
    <x v="10"/>
  </r>
  <r>
    <s v="400-05"/>
    <x v="3"/>
    <n v="0"/>
    <d v="2020-12-11T00:00:00"/>
    <n v="44176"/>
    <s v="SI206N04693"/>
    <m/>
    <s v="60 PRIME SYSTEM"/>
    <s v="100047"/>
    <s v="20019720"/>
    <s v="MSH"/>
    <n v="0"/>
    <n v="1186046.51"/>
    <n v="1186046.51"/>
    <s v="NG"/>
    <x v="10"/>
  </r>
  <r>
    <s v="400-05"/>
    <x v="3"/>
    <n v="0"/>
    <d v="2020-12-11T00:00:00"/>
    <n v="44176"/>
    <s v="SI206N04694"/>
    <m/>
    <s v="50PRIME/13ECO/ 25 ESGT"/>
    <s v="100043"/>
    <s v="20019722"/>
    <s v="MSH"/>
    <n v="0"/>
    <n v="1193953.42"/>
    <n v="1193953.42"/>
    <s v="NG"/>
    <x v="10"/>
  </r>
  <r>
    <s v="400-05"/>
    <x v="3"/>
    <n v="0"/>
    <s v="13/11/20"/>
    <s v="13/11/20"/>
    <s v="SI206N04696"/>
    <m/>
    <s v="23 PRIME/1 ECO"/>
    <s v="100038"/>
    <s v="20019727"/>
    <s v="MSH"/>
    <n v="0"/>
    <n v="470465.12"/>
    <n v="470465.12"/>
    <s v="NG"/>
    <x v="10"/>
  </r>
  <r>
    <s v="400-05"/>
    <x v="3"/>
    <n v="0"/>
    <s v="13/11/20"/>
    <s v="13/11/20"/>
    <s v="SI206N04697"/>
    <m/>
    <s v="45 PRIME/4 ECO SYSTEM"/>
    <s v="100050"/>
    <s v="20019730"/>
    <s v="MSH"/>
    <n v="0"/>
    <n v="952790.7"/>
    <n v="952790.7"/>
    <s v="NG"/>
    <x v="10"/>
  </r>
  <r>
    <s v="400-05"/>
    <x v="3"/>
    <n v="0"/>
    <s v="14/11/20"/>
    <s v="14/11/20"/>
    <s v="SI206N04699"/>
    <m/>
    <s v="8ECO SYS-SCALAR TELECOMM"/>
    <s v="100047"/>
    <s v="20019735"/>
    <s v="MSH"/>
    <n v="0"/>
    <n v="126511.63"/>
    <n v="126511.63"/>
    <s v="NG"/>
    <x v="10"/>
  </r>
  <r>
    <s v="400-05"/>
    <x v="3"/>
    <n v="0"/>
    <s v="15/11/20"/>
    <s v="15/11/20"/>
    <s v="SI206N04251"/>
    <m/>
    <s v="ECO SETUP &amp; SUBSCRIPTION"/>
    <s v="120006"/>
    <s v="20018143"/>
    <s v="MSH"/>
    <n v="0"/>
    <n v="13023.25"/>
    <n v="13023.25"/>
    <s v="NG"/>
    <x v="10"/>
  </r>
  <r>
    <s v="400-05"/>
    <x v="3"/>
    <n v="0"/>
    <s v="16/11/20"/>
    <s v="16/11/20"/>
    <s v="SI206N04714"/>
    <m/>
    <s v="20PRIME/5ECO SYS-ADVENTU"/>
    <s v="100051"/>
    <s v="20019776"/>
    <s v="MSH"/>
    <n v="0"/>
    <n v="474418.6"/>
    <n v="474418.6"/>
    <s v="NG"/>
    <x v="10"/>
  </r>
  <r>
    <s v="400-05"/>
    <x v="3"/>
    <n v="0"/>
    <s v="17/11/20"/>
    <s v="17/11/20"/>
    <s v="SI206N04716"/>
    <m/>
    <s v="SO20N06218-NONSO EZENWOB"/>
    <s v="120099"/>
    <s v="20019787"/>
    <s v="MSH"/>
    <n v="0"/>
    <n v="18604.650000000001"/>
    <n v="18604.650000000001"/>
    <s v="NG"/>
    <x v="10"/>
  </r>
  <r>
    <s v="400-05"/>
    <x v="3"/>
    <n v="0"/>
    <s v="18/11/20"/>
    <s v="18/11/20"/>
    <s v="SI206N04328"/>
    <m/>
    <s v="ECO SETUP &amp; SUBSCRIPTION"/>
    <s v="120006"/>
    <s v="20018418"/>
    <s v="MSH"/>
    <n v="0"/>
    <n v="13023.25"/>
    <n v="13023.25"/>
    <s v="NG"/>
    <x v="10"/>
  </r>
  <r>
    <s v="400-05"/>
    <x v="3"/>
    <n v="0"/>
    <s v="18/11/20"/>
    <s v="18/11/20"/>
    <s v="SI206N04373"/>
    <m/>
    <s v="PRIME LTO &amp; SUBSCRIPTION"/>
    <s v="120006"/>
    <s v="20018534"/>
    <s v="MSH"/>
    <n v="0"/>
    <n v="16279.07"/>
    <n v="16279.07"/>
    <s v="NG"/>
    <x v="10"/>
  </r>
  <r>
    <s v="400-05"/>
    <x v="3"/>
    <n v="0"/>
    <s v="18/11/20"/>
    <s v="18/11/20"/>
    <s v="SI206N04726"/>
    <m/>
    <s v="20 PRIME SYS/30 BULBS"/>
    <s v="100009"/>
    <s v="20019892"/>
    <s v="MSH"/>
    <n v="0"/>
    <n v="395348.87"/>
    <n v="395348.87"/>
    <s v="NG"/>
    <x v="10"/>
  </r>
  <r>
    <s v="400-05"/>
    <x v="3"/>
    <n v="0"/>
    <s v="19/11/20"/>
    <s v="19/11/20"/>
    <s v="SI206N04377"/>
    <m/>
    <s v="ECO LTO &amp; SUBSCRIPTION"/>
    <s v="120006"/>
    <s v="20018542"/>
    <s v="MSH"/>
    <n v="0"/>
    <n v="39069.769999999997"/>
    <n v="39069.769999999997"/>
    <s v="NG"/>
    <x v="10"/>
  </r>
  <r>
    <s v="400-05"/>
    <x v="3"/>
    <n v="0"/>
    <s v="19/11/20"/>
    <s v="19/11/20"/>
    <s v="SI206N04728"/>
    <m/>
    <s v="20 PRIME SYSTEM"/>
    <s v="100028"/>
    <s v="20019896"/>
    <s v="MSH"/>
    <n v="0"/>
    <n v="395348.84"/>
    <n v="395348.84"/>
    <s v="NG"/>
    <x v="10"/>
  </r>
  <r>
    <s v="400-05"/>
    <x v="3"/>
    <n v="0"/>
    <s v="19/11/20"/>
    <s v="19/11/20"/>
    <s v="SI206N04730"/>
    <m/>
    <s v="18 PRIME &amp; 7 ECO SYSTEMS"/>
    <s v="100058"/>
    <s v="20019900"/>
    <s v="MSH"/>
    <n v="0"/>
    <n v="466511.57"/>
    <n v="466511.57"/>
    <s v="NG"/>
    <x v="10"/>
  </r>
  <r>
    <s v="400-05"/>
    <x v="3"/>
    <n v="0"/>
    <s v="19/11/20"/>
    <s v="19/11/20"/>
    <s v="SI206N04732"/>
    <m/>
    <s v="18 PRIME &amp; 7 ECO SYSTEMS"/>
    <s v="100058"/>
    <s v="20019902"/>
    <s v="MSH"/>
    <n v="0"/>
    <n v="466511.63"/>
    <n v="466511.63"/>
    <s v="NG"/>
    <x v="10"/>
  </r>
  <r>
    <s v="400-05"/>
    <x v="3"/>
    <n v="0"/>
    <s v="19/11/20"/>
    <s v="19/11/20"/>
    <s v="SI206N04733"/>
    <m/>
    <s v="25 PRIME SYSTEM"/>
    <s v="100014"/>
    <s v="20019904"/>
    <s v="MSH"/>
    <n v="0"/>
    <n v="494186.05"/>
    <n v="494186.05"/>
    <s v="NG"/>
    <x v="10"/>
  </r>
  <r>
    <s v="400-05"/>
    <x v="3"/>
    <n v="0"/>
    <s v="19/11/20"/>
    <s v="19/11/20"/>
    <s v="SI206N04734"/>
    <m/>
    <s v="39PRIME/10ECO SYSTEM"/>
    <s v="100053"/>
    <s v="20019906"/>
    <s v="MSH"/>
    <n v="0"/>
    <n v="929069.77"/>
    <n v="929069.77"/>
    <s v="NG"/>
    <x v="10"/>
  </r>
  <r>
    <s v="400-05"/>
    <x v="3"/>
    <n v="0"/>
    <s v="20/11/20"/>
    <s v="20/11/20"/>
    <s v="SI206N04388"/>
    <m/>
    <s v="PRIME LTO &amp; SUBSCRIPTION"/>
    <s v="120006"/>
    <s v="20018625"/>
    <s v="MSH"/>
    <n v="0"/>
    <n v="16279.07"/>
    <n v="16279.07"/>
    <s v="NG"/>
    <x v="10"/>
  </r>
  <r>
    <s v="400-05"/>
    <x v="3"/>
    <n v="0"/>
    <s v="20/11/20"/>
    <s v="20/11/20"/>
    <s v="SI206N04389"/>
    <m/>
    <s v="ECO LTO &amp; SUBSCRIPTION"/>
    <s v="120006"/>
    <s v="20018627"/>
    <s v="MSH"/>
    <n v="0"/>
    <n v="13023.25"/>
    <n v="13023.25"/>
    <s v="NG"/>
    <x v="10"/>
  </r>
  <r>
    <s v="400-05"/>
    <x v="3"/>
    <n v="0"/>
    <s v="20/11/20"/>
    <s v="20/11/20"/>
    <s v="SI206N04391"/>
    <m/>
    <s v="PRIME&amp;ECOSETUP WITH SUB"/>
    <s v="120006"/>
    <s v="20018756"/>
    <s v="MSH"/>
    <n v="0"/>
    <n v="107441.86"/>
    <n v="107441.86"/>
    <s v="NG"/>
    <x v="10"/>
  </r>
  <r>
    <s v="400-05"/>
    <x v="3"/>
    <n v="0"/>
    <s v="23/11/20"/>
    <s v="23/11/20"/>
    <s v="SI206N04749"/>
    <m/>
    <s v="36 PRIME &amp; 14 ECO SYSTEM"/>
    <s v="100054"/>
    <s v="20019940"/>
    <s v="MSH"/>
    <n v="0"/>
    <n v="933023.26"/>
    <n v="933023.26"/>
    <s v="NG"/>
    <x v="10"/>
  </r>
  <r>
    <s v="400-05"/>
    <x v="3"/>
    <n v="0"/>
    <s v="24/11/20"/>
    <s v="24/11/20"/>
    <s v="SI206N04750"/>
    <m/>
    <s v="15PRIME SYS-HONEYDEE VEN"/>
    <s v="100030"/>
    <s v="20019943"/>
    <s v="MSH"/>
    <n v="0"/>
    <n v="296511.63"/>
    <n v="296511.63"/>
    <s v="NG"/>
    <x v="10"/>
  </r>
  <r>
    <s v="400-05"/>
    <x v="3"/>
    <n v="0"/>
    <s v="24/11/20"/>
    <s v="24/11/20"/>
    <s v="SI206N04754"/>
    <m/>
    <s v="20PRIME/5ECO SYSTEM"/>
    <s v="100056"/>
    <s v="20019951"/>
    <s v="MSH"/>
    <n v="0"/>
    <n v="474418.6"/>
    <n v="474418.6"/>
    <s v="NG"/>
    <x v="10"/>
  </r>
  <r>
    <s v="400-05"/>
    <x v="3"/>
    <n v="0"/>
    <s v="27/11/20"/>
    <s v="27/11/20"/>
    <s v="SI206N04765"/>
    <m/>
    <s v="5ECO SYS-ZELI ENTERPRISE"/>
    <s v="100027"/>
    <s v="20019994"/>
    <s v="MSH"/>
    <n v="0"/>
    <n v="79069.77"/>
    <n v="79069.77"/>
    <s v="NG"/>
    <x v="10"/>
  </r>
  <r>
    <s v="400-05"/>
    <x v="3"/>
    <n v="0"/>
    <s v="30/11/20"/>
    <s v="30/11/20"/>
    <s v="SI206N04520"/>
    <m/>
    <s v="ECO SETUP &amp; SUBSCRIPTION"/>
    <s v="120006"/>
    <s v="20019235"/>
    <s v="MSH"/>
    <n v="0"/>
    <n v="26046.51"/>
    <n v="26046.51"/>
    <s v="NG"/>
    <x v="10"/>
  </r>
  <r>
    <s v="400-05"/>
    <x v="3"/>
    <n v="0"/>
    <s v="30/11/20"/>
    <s v="30/11/20"/>
    <s v="SI206N04521"/>
    <m/>
    <s v="PRIME/ ECO SETUP&amp;SUBSCRI"/>
    <s v="120006"/>
    <s v="20019237"/>
    <s v="MSH"/>
    <n v="0"/>
    <n v="29302.32"/>
    <n v="29302.32"/>
    <s v="NG"/>
    <x v="10"/>
  </r>
  <r>
    <s v="400-05"/>
    <x v="3"/>
    <n v="0"/>
    <s v="30/11/20"/>
    <s v="30/11/20"/>
    <s v="SI206N04523"/>
    <m/>
    <s v="PRIME SETUP WITH SUBSCRI"/>
    <s v="120006"/>
    <s v="20019241"/>
    <s v="MSH"/>
    <n v="0"/>
    <n v="48837.2"/>
    <n v="48837.2"/>
    <s v="NG"/>
    <x v="10"/>
  </r>
  <r>
    <s v="400-05"/>
    <x v="3"/>
    <n v="0"/>
    <s v="30/11/20"/>
    <s v="30/11/20"/>
    <s v="SI206N04526"/>
    <m/>
    <s v="PRIME/ECO SETUP&amp;SUBSCRIP"/>
    <s v="120006"/>
    <s v="20019247"/>
    <s v="MSH"/>
    <n v="0"/>
    <n v="78139.53"/>
    <n v="78139.53"/>
    <s v="NG"/>
    <x v="10"/>
  </r>
  <r>
    <s v="400-05"/>
    <x v="3"/>
    <n v="0"/>
    <s v="30/11/20"/>
    <s v="30/11/20"/>
    <s v="SI206N04528"/>
    <m/>
    <s v="PRIME/ECO SETUP &amp; SUBSCR"/>
    <s v="120006"/>
    <s v="20019251"/>
    <s v="MSH"/>
    <n v="0"/>
    <n v="29302.32"/>
    <n v="29302.32"/>
    <s v="NG"/>
    <x v="10"/>
  </r>
  <r>
    <s v="400-05"/>
    <x v="3"/>
    <n v="0"/>
    <s v="30/11/20"/>
    <s v="30/11/20"/>
    <s v="SI206N04635"/>
    <m/>
    <s v="1PRIME SYS &amp; SUBSCRIPTIO"/>
    <s v="120006"/>
    <s v="20019578"/>
    <s v="MSH"/>
    <n v="0"/>
    <n v="23255.81"/>
    <n v="23255.81"/>
    <s v="NG"/>
    <x v="10"/>
  </r>
  <r>
    <s v="400-05"/>
    <x v="3"/>
    <n v="0"/>
    <s v="30/11/20"/>
    <n v="43962"/>
    <s v="SI206N04671"/>
    <m/>
    <s v="Reversal of 20018277"/>
    <s v="120006"/>
    <s v="20019656"/>
    <s v="MSH"/>
    <n v="0"/>
    <n v="-23255.81"/>
    <n v="-23255.81"/>
    <s v="NG"/>
    <x v="10"/>
  </r>
  <r>
    <s v="400-05"/>
    <x v="3"/>
    <n v="0"/>
    <s v="30/11/20"/>
    <s v="30/11/20"/>
    <s v="SI206N04729"/>
    <m/>
    <s v="15PRIME/10 ECO SYSTEM"/>
    <s v="100020"/>
    <s v="20019898"/>
    <s v="MSH"/>
    <n v="0"/>
    <n v="454651.16"/>
    <n v="454651.16"/>
    <s v="NG"/>
    <x v="10"/>
  </r>
  <r>
    <s v="400-05"/>
    <x v="3"/>
    <n v="0"/>
    <s v="30/11/20"/>
    <s v="19/11/20"/>
    <s v="SI206N04731"/>
    <m/>
    <s v="Reversal of 20019900"/>
    <s v="100058"/>
    <s v="20019901"/>
    <s v="MSH"/>
    <n v="0"/>
    <n v="-466511.57"/>
    <n v="-466511.57"/>
    <s v="NG"/>
    <x v="10"/>
  </r>
  <r>
    <s v="400-05"/>
    <x v="3"/>
    <n v="0"/>
    <s v="30/11/20"/>
    <s v="30/11/20"/>
    <s v="SI206N04776"/>
    <m/>
    <s v="ECO SETUP &amp; SUBSCRIPTION"/>
    <s v="120006"/>
    <s v="20020029"/>
    <s v="MSH"/>
    <n v="0"/>
    <n v="26046.51"/>
    <n v="26046.51"/>
    <s v="NG"/>
    <x v="10"/>
  </r>
  <r>
    <s v="400-05"/>
    <x v="3"/>
    <n v="0"/>
    <s v="30/11/20"/>
    <s v="30/11/20"/>
    <s v="SI206N04842"/>
    <m/>
    <s v="2 PRIME/2 ECO-AJAH"/>
    <s v="100057"/>
    <s v="20020477"/>
    <s v="MSH"/>
    <n v="0"/>
    <n v="54418.6"/>
    <n v="54418.6"/>
    <s v="NG"/>
    <x v="10"/>
  </r>
  <r>
    <s v="400-05"/>
    <x v="3"/>
    <n v="0"/>
    <s v="30/11/20"/>
    <s v="30/11/20"/>
    <s v="SI206N04843"/>
    <m/>
    <s v="2 PRIME/2ECO-OMOLE"/>
    <s v="100057"/>
    <s v="20020478"/>
    <s v="MSH"/>
    <n v="0"/>
    <n v="54418.6"/>
    <n v="54418.6"/>
    <s v="NG"/>
    <x v="10"/>
  </r>
  <r>
    <s v="400-05"/>
    <x v="3"/>
    <n v="0"/>
    <s v="30/11/20"/>
    <s v="30/11/20"/>
    <s v="RECLASSIFICATION"/>
    <m/>
    <s v="PROMO PRICE ADJ"/>
    <s v="608-7"/>
    <s v="20020753"/>
    <s v="M"/>
    <n v="4582325.58"/>
    <n v="0"/>
    <n v="-4582325.58"/>
    <s v="NG"/>
    <x v="10"/>
  </r>
  <r>
    <s v="400-05"/>
    <x v="3"/>
    <n v="0"/>
    <s v="30/11/20"/>
    <s v="30/11/20"/>
    <m/>
    <m/>
    <s v="PROMO PRICE ADJ"/>
    <s v="100049"/>
    <s v="20020754"/>
    <s v="M"/>
    <n v="6976.74"/>
    <n v="0"/>
    <n v="-6976.74"/>
    <s v="NG"/>
    <x v="10"/>
  </r>
  <r>
    <s v="400-05"/>
    <x v="3"/>
    <n v="0"/>
    <d v="2020-01-12T00:00:00"/>
    <n v="43842"/>
    <s v="SI206N04819"/>
    <m/>
    <s v="PRIME&amp;ECO SETUP &amp; SUBSCR"/>
    <s v="120006"/>
    <s v="20020325"/>
    <s v="MSH"/>
    <n v="0"/>
    <n v="45581.39"/>
    <n v="45581.39"/>
    <s v="NG"/>
    <x v="11"/>
  </r>
  <r>
    <s v="400-05"/>
    <x v="3"/>
    <n v="0"/>
    <d v="2020-01-12T00:00:00"/>
    <n v="43842"/>
    <s v="SI206N04821"/>
    <m/>
    <s v="PRIME SETUP&amp;SUBSCRIPTION"/>
    <s v="120006"/>
    <s v="20020329"/>
    <s v="MSH"/>
    <n v="0"/>
    <n v="48837.2"/>
    <n v="48837.2"/>
    <s v="NG"/>
    <x v="11"/>
  </r>
  <r>
    <s v="400-05"/>
    <x v="3"/>
    <n v="0"/>
    <d v="2020-01-12T00:00:00"/>
    <n v="43842"/>
    <s v="SI206N04825"/>
    <m/>
    <s v="ECO SETUP&amp; SUBSCRIPTION"/>
    <s v="120006"/>
    <s v="20020335"/>
    <s v="MSH"/>
    <n v="0"/>
    <n v="13023.25"/>
    <n v="13023.25"/>
    <s v="NG"/>
    <x v="11"/>
  </r>
  <r>
    <s v="400-05"/>
    <x v="3"/>
    <n v="0"/>
    <d v="2020-01-12T00:00:00"/>
    <n v="43842"/>
    <s v="SI206N04889"/>
    <m/>
    <s v="32 PRIME SYSTEM."/>
    <s v="100026"/>
    <s v="20020669"/>
    <s v="MSH"/>
    <n v="0"/>
    <n v="632558.14"/>
    <n v="632558.14"/>
    <s v="NG"/>
    <x v="11"/>
  </r>
  <r>
    <s v="400-05"/>
    <x v="3"/>
    <n v="0"/>
    <d v="2020-01-12T00:00:00"/>
    <n v="43842"/>
    <s v="SI206N04892"/>
    <m/>
    <s v="35PRIME SYS &amp; 10 ECO SYS"/>
    <s v="100044"/>
    <s v="20020678"/>
    <s v="MSH"/>
    <n v="0"/>
    <n v="850000"/>
    <n v="850000"/>
    <s v="NG"/>
    <x v="11"/>
  </r>
  <r>
    <s v="400-05"/>
    <x v="3"/>
    <n v="0"/>
    <d v="2020-01-12T00:00:00"/>
    <n v="43842"/>
    <s v="SI206N04893"/>
    <m/>
    <s v="20 PRIME SYS-ZEST MART"/>
    <s v="100028"/>
    <s v="20020680"/>
    <s v="MSH"/>
    <n v="0"/>
    <n v="395348.84"/>
    <n v="395348.84"/>
    <s v="NG"/>
    <x v="11"/>
  </r>
  <r>
    <s v="400-05"/>
    <x v="3"/>
    <n v="0"/>
    <d v="2020-02-12T00:00:00"/>
    <n v="43873"/>
    <s v="SI206N04830"/>
    <m/>
    <s v="PRIME&amp;ECO SETUP&amp; SUBSCRI"/>
    <s v="120006"/>
    <s v="20020345"/>
    <s v="MSH"/>
    <n v="0"/>
    <n v="61860.46"/>
    <n v="61860.46"/>
    <s v="NG"/>
    <x v="11"/>
  </r>
  <r>
    <s v="400-05"/>
    <x v="3"/>
    <n v="0"/>
    <d v="2020-02-12T00:00:00"/>
    <n v="43873"/>
    <s v="SI206N04832"/>
    <m/>
    <s v="PRIME&amp;ECO SETUP&amp; SUBSCRI"/>
    <s v="120006"/>
    <s v="20020350"/>
    <s v="MSH"/>
    <n v="0"/>
    <n v="45581.39"/>
    <n v="45581.39"/>
    <s v="NG"/>
    <x v="11"/>
  </r>
  <r>
    <s v="400-05"/>
    <x v="3"/>
    <n v="0"/>
    <d v="2020-02-12T00:00:00"/>
    <n v="43873"/>
    <s v="SI206N04910"/>
    <m/>
    <s v="35PRIME/5ECO/5LED BULBS"/>
    <s v="100004"/>
    <s v="20020797"/>
    <s v="MSH"/>
    <n v="0"/>
    <n v="770930.24"/>
    <n v="770930.24"/>
    <s v="NG"/>
    <x v="11"/>
  </r>
  <r>
    <s v="400-05"/>
    <x v="3"/>
    <n v="0"/>
    <d v="2020-02-12T00:00:00"/>
    <n v="43873"/>
    <s v="SI206N04913"/>
    <m/>
    <s v="32 PRIME-SCALAR TELECOMM"/>
    <s v="100047"/>
    <s v="20020823"/>
    <s v="MSH"/>
    <n v="0"/>
    <n v="632558.14"/>
    <n v="632558.14"/>
    <s v="NG"/>
    <x v="11"/>
  </r>
  <r>
    <s v="400-05"/>
    <x v="3"/>
    <n v="0"/>
    <d v="2020-02-12T00:00:00"/>
    <n v="43873"/>
    <s v="SI206N04917"/>
    <m/>
    <s v="25PRIME/ 2ECO SYSTEM"/>
    <s v="100061"/>
    <s v="20020858"/>
    <s v="MSH"/>
    <n v="0"/>
    <n v="525813.94999999995"/>
    <n v="525813.94999999995"/>
    <s v="NG"/>
    <x v="11"/>
  </r>
  <r>
    <s v="400-05"/>
    <x v="3"/>
    <n v="0"/>
    <d v="2020-02-12T00:00:00"/>
    <n v="43873"/>
    <s v="SI206N04918"/>
    <m/>
    <s v="50 PRIME/10 ECO SYSTEM"/>
    <s v="100031"/>
    <s v="20020866"/>
    <s v="MSH"/>
    <n v="0"/>
    <n v="1146511.6299999999"/>
    <n v="1146511.6299999999"/>
    <s v="NG"/>
    <x v="11"/>
  </r>
  <r>
    <s v="400-05"/>
    <x v="3"/>
    <n v="0"/>
    <d v="2020-02-12T00:00:00"/>
    <n v="43873"/>
    <s v="SI206N04920"/>
    <m/>
    <s v="50 PRIME/25 ECO"/>
    <s v="100060"/>
    <s v="20020873"/>
    <s v="MSH"/>
    <n v="0"/>
    <n v="1383720.93"/>
    <n v="1383720.93"/>
    <s v="NG"/>
    <x v="11"/>
  </r>
  <r>
    <s v="400-05"/>
    <x v="3"/>
    <n v="0"/>
    <d v="2020-03-12T00:00:00"/>
    <n v="43902"/>
    <s v="SI206N04922"/>
    <m/>
    <s v="43 PRIME/5 ECO"/>
    <s v="100059"/>
    <s v="20020885"/>
    <s v="MSH"/>
    <n v="0"/>
    <n v="929069.77"/>
    <n v="929069.77"/>
    <s v="NG"/>
    <x v="11"/>
  </r>
  <r>
    <s v="400-05"/>
    <x v="3"/>
    <n v="0"/>
    <d v="2020-03-12T00:00:00"/>
    <n v="43902"/>
    <s v="SI206N04925"/>
    <m/>
    <s v="20PRIME/20ECO SYSTEM"/>
    <s v="100043"/>
    <s v="20020891"/>
    <s v="MSH"/>
    <n v="0"/>
    <n v="711627.91"/>
    <n v="711627.91"/>
    <s v="NG"/>
    <x v="11"/>
  </r>
  <r>
    <s v="400-05"/>
    <x v="3"/>
    <n v="0"/>
    <d v="2020-03-12T00:00:00"/>
    <n v="43902"/>
    <s v="SI206N04975"/>
    <m/>
    <s v="27 PRIME/ 10 ECO SYSTEMS"/>
    <s v="100009"/>
    <s v="20021101"/>
    <s v="MSH"/>
    <n v="0"/>
    <n v="691860.47"/>
    <n v="691860.47"/>
    <s v="NG"/>
    <x v="11"/>
  </r>
  <r>
    <s v="400-05"/>
    <x v="3"/>
    <n v="0"/>
    <d v="2020-03-12T00:00:00"/>
    <n v="43902"/>
    <s v="SI206N04976"/>
    <m/>
    <s v="32 PRIME SYSTEM"/>
    <s v="100017"/>
    <s v="20021110"/>
    <s v="MSH"/>
    <n v="0"/>
    <n v="632558.14"/>
    <n v="632558.14"/>
    <s v="NG"/>
    <x v="11"/>
  </r>
  <r>
    <s v="400-05"/>
    <x v="3"/>
    <n v="0"/>
    <d v="2020-04-12T00:00:00"/>
    <n v="43933"/>
    <s v="SI206N04995"/>
    <m/>
    <s v="40 PRIME/1CO ECO SYSTEMS"/>
    <s v="100010"/>
    <s v="20021160"/>
    <s v="MSH"/>
    <n v="0"/>
    <n v="948837.21"/>
    <n v="948837.21"/>
    <s v="NG"/>
    <x v="11"/>
  </r>
  <r>
    <s v="400-05"/>
    <x v="3"/>
    <n v="0"/>
    <d v="2020-07-12T00:00:00"/>
    <n v="44024"/>
    <s v="SI206N05020"/>
    <m/>
    <s v="15 PRIME SYS"/>
    <s v="100027"/>
    <s v="20021252"/>
    <s v="MSH"/>
    <n v="0"/>
    <n v="296511.63"/>
    <n v="296511.63"/>
    <s v="NG"/>
    <x v="11"/>
  </r>
  <r>
    <s v="400-05"/>
    <x v="3"/>
    <n v="0"/>
    <d v="2020-07-12T00:00:00"/>
    <n v="44024"/>
    <s v="SI206N05032"/>
    <m/>
    <s v="1 PRIME SYSTEM"/>
    <s v="100042"/>
    <s v="20021277"/>
    <s v="MSH"/>
    <n v="0"/>
    <n v="16279.06"/>
    <n v="16279.06"/>
    <s v="NG"/>
    <x v="11"/>
  </r>
  <r>
    <s v="400-05"/>
    <x v="3"/>
    <n v="0"/>
    <d v="2020-07-12T00:00:00"/>
    <n v="44024"/>
    <s v="SI206N05038"/>
    <m/>
    <s v="65PRIME/ &amp; 20 ECO SYSTEM"/>
    <s v="100016"/>
    <s v="20021289"/>
    <s v="MSH"/>
    <n v="0"/>
    <n v="1601162.79"/>
    <n v="1601162.79"/>
    <s v="NG"/>
    <x v="11"/>
  </r>
  <r>
    <s v="400-05"/>
    <x v="3"/>
    <n v="0"/>
    <d v="2020-07-12T00:00:00"/>
    <n v="44024"/>
    <s v="SI206N05044"/>
    <m/>
    <s v="24 PRIME SYSTEMS"/>
    <s v="100020"/>
    <s v="20021302"/>
    <s v="MSH"/>
    <n v="0"/>
    <n v="474418.6"/>
    <n v="474418.6"/>
    <s v="NG"/>
    <x v="11"/>
  </r>
  <r>
    <s v="400-05"/>
    <x v="3"/>
    <n v="0"/>
    <d v="2020-08-12T00:00:00"/>
    <n v="44055"/>
    <s v="SI206N05045"/>
    <m/>
    <s v="10 PRIME SYSTEMS"/>
    <s v="100023"/>
    <s v="20021307"/>
    <s v="MSH"/>
    <n v="0"/>
    <n v="197674.42"/>
    <n v="197674.42"/>
    <s v="NG"/>
    <x v="11"/>
  </r>
  <r>
    <s v="400-05"/>
    <x v="3"/>
    <n v="0"/>
    <d v="2020-08-12T00:00:00"/>
    <n v="44055"/>
    <s v="SI206N05058"/>
    <m/>
    <s v="19PRIME/5ECO SYSTEM"/>
    <s v="100006"/>
    <s v="20021334"/>
    <s v="MSH"/>
    <n v="0"/>
    <n v="454651.16"/>
    <n v="454651.16"/>
    <s v="NG"/>
    <x v="11"/>
  </r>
  <r>
    <s v="400-05"/>
    <x v="3"/>
    <n v="0"/>
    <d v="2020-08-12T00:00:00"/>
    <n v="44055"/>
    <s v="SI206N05065"/>
    <m/>
    <s v="30 PRIME &amp; 10 ECO SYSTEM"/>
    <s v="100019"/>
    <s v="20021347"/>
    <s v="MSH"/>
    <n v="0"/>
    <n v="751162.79"/>
    <n v="751162.79"/>
    <s v="NG"/>
    <x v="11"/>
  </r>
  <r>
    <s v="400-05"/>
    <x v="3"/>
    <n v="0"/>
    <d v="2020-09-12T00:00:00"/>
    <n v="44086"/>
    <s v="SI206N05076"/>
    <m/>
    <s v="48PRIME/2ECO SYSTEMS"/>
    <s v="100062"/>
    <s v="20021366"/>
    <s v="MSH"/>
    <n v="0"/>
    <n v="980465.12"/>
    <n v="980465.12"/>
    <s v="NG"/>
    <x v="11"/>
  </r>
  <r>
    <s v="400-05"/>
    <x v="3"/>
    <n v="0"/>
    <d v="2020-09-12T00:00:00"/>
    <n v="44086"/>
    <s v="SI206N05099"/>
    <m/>
    <s v="40PRIME/10ECO SYSTEMS"/>
    <s v="100063"/>
    <s v="20021430"/>
    <s v="MSH"/>
    <n v="0"/>
    <n v="948837.21"/>
    <n v="948837.21"/>
    <s v="NG"/>
    <x v="11"/>
  </r>
  <r>
    <s v="400-05"/>
    <x v="3"/>
    <n v="0"/>
    <d v="2020-09-12T00:00:00"/>
    <n v="44086"/>
    <s v="SI206N05104"/>
    <m/>
    <s v="25 PRIME/5ECO SYSTEM"/>
    <s v="100015"/>
    <s v="20021441"/>
    <s v="MSH"/>
    <n v="0"/>
    <n v="573255.81000000006"/>
    <n v="573255.81000000006"/>
    <s v="NG"/>
    <x v="11"/>
  </r>
  <r>
    <s v="400-05"/>
    <x v="3"/>
    <n v="0"/>
    <d v="2020-09-12T00:00:00"/>
    <n v="44086"/>
    <s v="SI206N05107"/>
    <m/>
    <s v="20 PRIME SYSTEMS"/>
    <s v="100034"/>
    <s v="20021447"/>
    <s v="MSH"/>
    <n v="0"/>
    <n v="395348.84"/>
    <n v="395348.84"/>
    <s v="NG"/>
    <x v="11"/>
  </r>
  <r>
    <s v="400-05"/>
    <x v="3"/>
    <n v="0"/>
    <d v="2020-11-12T00:00:00"/>
    <n v="44147"/>
    <s v="SI206N05153"/>
    <m/>
    <s v="100 PRIME SYSTEMS"/>
    <s v="100018"/>
    <s v="20021597"/>
    <s v="MSH"/>
    <n v="0"/>
    <n v="1976744.19"/>
    <n v="1976744.19"/>
    <s v="NG"/>
    <x v="11"/>
  </r>
  <r>
    <s v="400-05"/>
    <x v="3"/>
    <n v="0"/>
    <d v="2020-11-12T00:00:00"/>
    <n v="44147"/>
    <s v="SI206N05168"/>
    <m/>
    <s v="46 PRIME SYSTEM"/>
    <s v="100033"/>
    <s v="20021738"/>
    <s v="MSH"/>
    <n v="0"/>
    <n v="909302.33"/>
    <n v="909302.33"/>
    <s v="NG"/>
    <x v="11"/>
  </r>
  <r>
    <s v="400-05"/>
    <x v="3"/>
    <n v="0"/>
    <d v="2020-12-12T00:00:00"/>
    <n v="44177"/>
    <s v="SI206N05185"/>
    <m/>
    <s v="2O PRIME/10 ECO SYSTEMS"/>
    <s v="100047"/>
    <s v="20021783"/>
    <s v="MSH"/>
    <n v="0"/>
    <n v="553488.37"/>
    <n v="553488.37"/>
    <s v="NG"/>
    <x v="11"/>
  </r>
  <r>
    <s v="400-05"/>
    <x v="3"/>
    <n v="0"/>
    <s v="14/12/20"/>
    <s v="14/12/20"/>
    <s v="SI206N04845"/>
    <m/>
    <s v="ECO SETUP &amp; SUBSCRIPTION"/>
    <s v="120006"/>
    <s v="20020505"/>
    <s v="MSH"/>
    <n v="0"/>
    <n v="13023.25"/>
    <n v="13023.25"/>
    <s v="NG"/>
    <x v="11"/>
  </r>
  <r>
    <s v="400-05"/>
    <x v="3"/>
    <n v="0"/>
    <s v="14/12/20"/>
    <s v="14/12/20"/>
    <s v="SI206N05223"/>
    <m/>
    <s v="24 PRIME SYSTEMS"/>
    <s v="100020"/>
    <s v="20021966"/>
    <s v="MSH"/>
    <n v="0"/>
    <n v="474418.6"/>
    <n v="474418.6"/>
    <s v="NG"/>
    <x v="11"/>
  </r>
  <r>
    <s v="400-05"/>
    <x v="3"/>
    <n v="0"/>
    <s v="14/12/20"/>
    <s v="14/12/20"/>
    <s v="SI206N05226"/>
    <m/>
    <s v="12 PRIME/3 ECO SYSTEM"/>
    <s v="100030"/>
    <s v="20021978"/>
    <s v="MSH"/>
    <n v="0"/>
    <n v="284651.15999999997"/>
    <n v="284651.15999999997"/>
    <s v="NG"/>
    <x v="11"/>
  </r>
  <r>
    <s v="400-05"/>
    <x v="3"/>
    <n v="0"/>
    <s v="15/12/20"/>
    <s v="15/12/20"/>
    <s v="SI206N04853"/>
    <m/>
    <s v="PRIME&amp;ECO SET UP&amp; SUBSCR"/>
    <s v="120006"/>
    <s v="20020554"/>
    <s v="MSH"/>
    <n v="0"/>
    <n v="29302.32"/>
    <n v="29302.32"/>
    <s v="NG"/>
    <x v="11"/>
  </r>
  <r>
    <s v="400-05"/>
    <x v="3"/>
    <n v="0"/>
    <s v="15/12/20"/>
    <s v="15/12/20"/>
    <s v="SI206N04859"/>
    <m/>
    <s v="PRIME&amp;ECO SETUP &amp; SUBSCR"/>
    <s v="120006"/>
    <s v="20020567"/>
    <s v="MSH"/>
    <n v="0"/>
    <n v="42790.69"/>
    <n v="42790.69"/>
    <s v="NG"/>
    <x v="11"/>
  </r>
  <r>
    <s v="400-05"/>
    <x v="3"/>
    <n v="0"/>
    <s v="15/12/20"/>
    <s v="15/12/20"/>
    <s v="SI206N04861"/>
    <m/>
    <s v="ECO SETUP &amp; SUBSCRIPTION"/>
    <s v="120006"/>
    <s v="20020571"/>
    <s v="MSH"/>
    <n v="0"/>
    <n v="13023.25"/>
    <n v="13023.25"/>
    <s v="NG"/>
    <x v="11"/>
  </r>
  <r>
    <s v="400-05"/>
    <x v="3"/>
    <n v="0"/>
    <s v="15/12/20"/>
    <s v="15/12/20"/>
    <s v="SI206N04863"/>
    <m/>
    <s v="PRIME&amp;ECO SETUP&amp; SUBSCRI"/>
    <s v="120006"/>
    <s v="20020575"/>
    <s v="MSH"/>
    <n v="0"/>
    <n v="45581.39"/>
    <n v="45581.39"/>
    <s v="NG"/>
    <x v="11"/>
  </r>
  <r>
    <s v="400-05"/>
    <x v="3"/>
    <n v="0"/>
    <s v="15/12/20"/>
    <s v="15/12/20"/>
    <s v="SI206N04865"/>
    <m/>
    <s v="PRIME SETUP &amp; SUBSCRTION"/>
    <s v="120006"/>
    <s v="20020579"/>
    <s v="MSH"/>
    <n v="0"/>
    <n v="48837.2"/>
    <n v="48837.2"/>
    <s v="NG"/>
    <x v="11"/>
  </r>
  <r>
    <s v="400-05"/>
    <x v="3"/>
    <n v="0"/>
    <s v="15/12/20"/>
    <s v="15/12/20"/>
    <s v="SI206N05228"/>
    <m/>
    <s v="25 PRIME/5 PRIME SYSTEM"/>
    <s v="100047"/>
    <s v="20021983"/>
    <s v="MSH"/>
    <n v="0"/>
    <n v="573255.81000000006"/>
    <n v="573255.81000000006"/>
    <s v="NG"/>
    <x v="11"/>
  </r>
  <r>
    <s v="400-05"/>
    <x v="3"/>
    <n v="0"/>
    <s v="15/12/20"/>
    <s v="15/12/20"/>
    <s v="SI206N05235"/>
    <m/>
    <s v="20 PRIME &amp; 5 ECO SYSTEM"/>
    <s v="100028"/>
    <s v="20022024"/>
    <s v="MSH"/>
    <n v="0"/>
    <n v="474418.6"/>
    <n v="474418.6"/>
    <s v="NG"/>
    <x v="11"/>
  </r>
  <r>
    <s v="400-05"/>
    <x v="3"/>
    <n v="0"/>
    <s v="15/12/20"/>
    <s v="15/12/20"/>
    <s v="SI206N05735"/>
    <m/>
    <s v="PRIME&amp;ECO SETUP &amp; SUBSCR"/>
    <s v="120006"/>
    <s v="20023493"/>
    <s v="MSH"/>
    <n v="0"/>
    <n v="58604.639999999999"/>
    <n v="58604.639999999999"/>
    <s v="NG"/>
    <x v="11"/>
  </r>
  <r>
    <s v="400-05"/>
    <x v="3"/>
    <n v="0"/>
    <s v="18/12/20"/>
    <s v="18/12/20"/>
    <s v="SI206N05325"/>
    <m/>
    <s v="40 PRIME /10 ECO SYSTEMS"/>
    <s v="100010"/>
    <s v="20022263"/>
    <s v="MSH"/>
    <n v="0"/>
    <n v="948837.21"/>
    <n v="948837.21"/>
    <s v="NG"/>
    <x v="11"/>
  </r>
  <r>
    <s v="400-05"/>
    <x v="3"/>
    <n v="0"/>
    <s v="21/12/20"/>
    <s v="21/12/20"/>
    <s v="SI206N05715"/>
    <m/>
    <s v="30PRIME /20 ECO SYSTEMS"/>
    <s v="100035"/>
    <s v="20023317"/>
    <s v="MSH"/>
    <n v="0"/>
    <n v="909302.33"/>
    <n v="909302.33"/>
    <s v="NG"/>
    <x v="11"/>
  </r>
  <r>
    <s v="400-05"/>
    <x v="3"/>
    <n v="0"/>
    <s v="22/12/20"/>
    <s v="22/12/20"/>
    <s v="SI206N04900"/>
    <m/>
    <s v="19PRIME/10ECO SYSTEM"/>
    <s v="100011"/>
    <s v="20020741"/>
    <s v="MSH"/>
    <n v="0"/>
    <n v="533720.93000000005"/>
    <n v="533720.93000000005"/>
    <s v="NG"/>
    <x v="11"/>
  </r>
  <r>
    <s v="400-05"/>
    <x v="3"/>
    <n v="0"/>
    <s v="22/12/20"/>
    <s v="22/12/20"/>
    <s v="SI206N04904"/>
    <m/>
    <s v="PRIME SETUP + SUB"/>
    <s v="120006"/>
    <s v="20020775"/>
    <s v="MSH"/>
    <n v="0"/>
    <n v="32558.13"/>
    <n v="32558.13"/>
    <s v="NG"/>
    <x v="11"/>
  </r>
  <r>
    <s v="400-05"/>
    <x v="3"/>
    <n v="0"/>
    <s v="22/12/20"/>
    <s v="22/12/20"/>
    <s v="SI206N05404"/>
    <m/>
    <s v="10 PRIME SYSTEMS"/>
    <s v="100030"/>
    <s v="20022429"/>
    <s v="MSH"/>
    <n v="0"/>
    <n v="197674.42"/>
    <n v="197674.42"/>
    <s v="NG"/>
    <x v="11"/>
  </r>
  <r>
    <s v="400-05"/>
    <x v="3"/>
    <n v="0"/>
    <s v="22/12/20"/>
    <s v="22/12/20"/>
    <s v="SI206N05408"/>
    <m/>
    <s v="15 PRIME &amp;10 ECO SYSTEMS"/>
    <s v="100009"/>
    <s v="20022440"/>
    <s v="MSH"/>
    <n v="0"/>
    <n v="454651.16"/>
    <n v="454651.16"/>
    <s v="NG"/>
    <x v="11"/>
  </r>
  <r>
    <s v="400-05"/>
    <x v="3"/>
    <n v="0"/>
    <s v="23/12/20"/>
    <s v="23/12/20"/>
    <s v="SI206N04911"/>
    <m/>
    <s v="PRIME&amp;ECO SETUP+SUBSCRIP"/>
    <s v="120006"/>
    <s v="20020802"/>
    <s v="MSH"/>
    <n v="0"/>
    <n v="123720.92"/>
    <n v="123720.92"/>
    <s v="NG"/>
    <x v="11"/>
  </r>
  <r>
    <s v="400-05"/>
    <x v="3"/>
    <n v="0"/>
    <s v="23/12/20"/>
    <s v="23/12/20"/>
    <s v="SI206N04930"/>
    <m/>
    <s v="PRIME&amp;ECO SETUP+SUB"/>
    <s v="120006"/>
    <s v="20020899"/>
    <s v="MSH"/>
    <n v="0"/>
    <n v="45581.39"/>
    <n v="45581.39"/>
    <s v="NG"/>
    <x v="11"/>
  </r>
  <r>
    <s v="400-05"/>
    <x v="3"/>
    <n v="0"/>
    <s v="23/12/20"/>
    <s v="23/12/20"/>
    <s v="SI206N04933"/>
    <m/>
    <s v="PRIME&amp;ECO SEETUP+SUB"/>
    <s v="120006"/>
    <s v="20020907"/>
    <s v="MSH"/>
    <n v="0"/>
    <n v="45581.39"/>
    <n v="45581.39"/>
    <s v="NG"/>
    <x v="11"/>
  </r>
  <r>
    <s v="400-05"/>
    <x v="3"/>
    <n v="0"/>
    <s v="23/12/20"/>
    <s v="23/12/20"/>
    <s v="SI206N04936"/>
    <m/>
    <s v="1 PRIME SETUP + SUB"/>
    <s v="120006"/>
    <s v="20020915"/>
    <s v="MSH"/>
    <n v="0"/>
    <n v="16279.07"/>
    <n v="16279.07"/>
    <s v="NG"/>
    <x v="11"/>
  </r>
  <r>
    <s v="400-05"/>
    <x v="3"/>
    <n v="0"/>
    <s v="23/12/20"/>
    <s v="23/12/20"/>
    <s v="SI206N04939"/>
    <m/>
    <s v="1 ECO SETUP+ SUB"/>
    <s v="120006"/>
    <s v="20020921"/>
    <s v="MSH"/>
    <n v="0"/>
    <n v="13023.25"/>
    <n v="13023.25"/>
    <s v="NG"/>
    <x v="11"/>
  </r>
  <r>
    <s v="400-05"/>
    <x v="3"/>
    <n v="0"/>
    <s v="23/12/20"/>
    <s v="23/12/20"/>
    <s v="SI206N04942"/>
    <m/>
    <s v="ECO SETUP+SUB"/>
    <s v="120006"/>
    <s v="20020927"/>
    <s v="MSH"/>
    <n v="0"/>
    <n v="65116.28"/>
    <n v="65116.28"/>
    <s v="NG"/>
    <x v="11"/>
  </r>
  <r>
    <s v="400-05"/>
    <x v="3"/>
    <n v="0"/>
    <s v="29/12/20"/>
    <s v="29/12/20"/>
    <s v="SI206N04964"/>
    <m/>
    <s v="PRIMEUP + SUBSCRIP"/>
    <s v="120006"/>
    <s v="20021061"/>
    <s v="MSH"/>
    <n v="0"/>
    <n v="48837.2"/>
    <n v="48837.2"/>
    <s v="NG"/>
    <x v="11"/>
  </r>
  <r>
    <s v="400-05"/>
    <x v="3"/>
    <n v="0"/>
    <s v="29/12/20"/>
    <s v="29/12/20"/>
    <s v="SI206N04972"/>
    <m/>
    <s v="20 PRIME SYSTEMS"/>
    <s v="100047"/>
    <s v="20021088"/>
    <s v="MSH"/>
    <n v="0"/>
    <n v="395348.84"/>
    <n v="395348.84"/>
    <s v="NG"/>
    <x v="11"/>
  </r>
  <r>
    <s v="400-05"/>
    <x v="3"/>
    <n v="0"/>
    <s v="29/12/20"/>
    <s v="29/12/20"/>
    <s v="SI206N04980"/>
    <m/>
    <s v="PRIME SETUP &amp; SUBSCRIPTI"/>
    <s v="120006"/>
    <s v="20021122"/>
    <s v="MSH"/>
    <n v="0"/>
    <n v="32558.13"/>
    <n v="32558.13"/>
    <s v="NG"/>
    <x v="11"/>
  </r>
  <r>
    <s v="400-05"/>
    <x v="3"/>
    <n v="0"/>
    <s v="30/12/20"/>
    <s v="30/12/20"/>
    <s v="SI206N05001"/>
    <m/>
    <s v="ECO SETUP+ SUBSCRIPTION"/>
    <s v="120006"/>
    <s v="20021175"/>
    <s v="MSH"/>
    <n v="0"/>
    <n v="26046.51"/>
    <n v="26046.51"/>
    <s v="NG"/>
    <x v="11"/>
  </r>
  <r>
    <s v="400-05"/>
    <x v="3"/>
    <n v="0"/>
    <s v="30/12/20"/>
    <s v="30/12/20"/>
    <s v="SI206N05004"/>
    <m/>
    <s v="ECO SETUP+SUBSCRIPTION"/>
    <s v="120006"/>
    <s v="20021182"/>
    <s v="MSH"/>
    <n v="0"/>
    <n v="13023.25"/>
    <n v="13023.25"/>
    <s v="NG"/>
    <x v="11"/>
  </r>
  <r>
    <s v="400-05"/>
    <x v="3"/>
    <n v="0"/>
    <s v="30/12/20"/>
    <s v="30/12/20"/>
    <s v="SI206N05006"/>
    <m/>
    <s v="PRIME SETUP+SUBSCRIPTION"/>
    <s v="120006"/>
    <s v="20021221"/>
    <s v="MSH"/>
    <n v="0"/>
    <n v="16279.07"/>
    <n v="16279.07"/>
    <s v="NG"/>
    <x v="11"/>
  </r>
  <r>
    <s v="400-05"/>
    <x v="3"/>
    <n v="0"/>
    <s v="30/12/20"/>
    <s v="30/12/20"/>
    <s v="SI206N05008"/>
    <m/>
    <s v="1 ECO SETUP + SUBSCRIPTI"/>
    <s v="120006"/>
    <s v="20021225"/>
    <s v="MSH"/>
    <n v="0"/>
    <n v="13023.25"/>
    <n v="13023.25"/>
    <s v="NG"/>
    <x v="11"/>
  </r>
  <r>
    <s v="400-05"/>
    <x v="3"/>
    <n v="0"/>
    <s v="31/12/20"/>
    <s v="31/12/20"/>
    <s v="SI206N05119"/>
    <m/>
    <s v="PRIME&amp;ECO SETUP+SUBSCRIP"/>
    <s v="120006"/>
    <s v="20021469"/>
    <s v="MSH"/>
    <n v="0"/>
    <n v="29302.32"/>
    <n v="29302.32"/>
    <s v="NG"/>
    <x v="11"/>
  </r>
  <r>
    <s v="400-05"/>
    <x v="3"/>
    <n v="0"/>
    <s v="31/12/20"/>
    <s v="31/12/20"/>
    <s v="SI206N05122"/>
    <m/>
    <s v="PRIME&amp;ECO SETUP+SUBSCRIP"/>
    <s v="120006"/>
    <s v="20021475"/>
    <s v="MSH"/>
    <n v="0"/>
    <n v="78139.53"/>
    <n v="78139.53"/>
    <s v="NG"/>
    <x v="11"/>
  </r>
  <r>
    <s v="400-05"/>
    <x v="3"/>
    <n v="0"/>
    <s v="31/12/20"/>
    <s v="31/12/20"/>
    <s v="SI206N05125"/>
    <m/>
    <s v="PRIME SETUP &amp; SUBSCRIPTI"/>
    <s v="120006"/>
    <s v="20021481"/>
    <s v="MSH"/>
    <n v="0"/>
    <n v="81395.34"/>
    <n v="81395.34"/>
    <s v="NG"/>
    <x v="11"/>
  </r>
  <r>
    <s v="400-05"/>
    <x v="3"/>
    <n v="0"/>
    <s v="31/12/20"/>
    <s v="31/12/20"/>
    <s v="SI206N05155"/>
    <m/>
    <s v="PRIME&amp; ECO SETUP+SUBSCRI"/>
    <s v="120006"/>
    <s v="20021600"/>
    <s v="MSH"/>
    <n v="0"/>
    <n v="91162.79"/>
    <n v="91162.79"/>
    <s v="NG"/>
    <x v="11"/>
  </r>
  <r>
    <s v="400-05"/>
    <x v="3"/>
    <n v="0"/>
    <s v="31/12/20"/>
    <s v="31/12/20"/>
    <s v="SI206N05216"/>
    <m/>
    <s v="2 PRIME AJAH STORE"/>
    <s v="100057"/>
    <s v="20021921"/>
    <s v="MSH"/>
    <n v="0"/>
    <n v="16651.16"/>
    <n v="16651.16"/>
    <s v="NG"/>
    <x v="11"/>
  </r>
  <r>
    <s v="400-05"/>
    <x v="3"/>
    <n v="0"/>
    <s v="31/12/20"/>
    <s v="31/12/20"/>
    <s v="SI206N05217"/>
    <m/>
    <s v="2PRIME &amp;1ECO OMOLE STORE"/>
    <s v="100057"/>
    <s v="20021923"/>
    <s v="MSH"/>
    <n v="0"/>
    <n v="23627.9"/>
    <n v="23627.9"/>
    <s v="NG"/>
    <x v="11"/>
  </r>
  <r>
    <s v="400-05"/>
    <x v="3"/>
    <n v="0"/>
    <s v="31/12/20"/>
    <s v="30/11/20"/>
    <s v="SI206N05254"/>
    <m/>
    <s v="Reversal of 20020477"/>
    <s v="100057"/>
    <s v="20022089"/>
    <s v="MSH"/>
    <n v="0"/>
    <n v="-54418.6"/>
    <n v="-54418.6"/>
    <s v="NG"/>
    <x v="11"/>
  </r>
  <r>
    <s v="400-05"/>
    <x v="3"/>
    <n v="0"/>
    <s v="31/12/20"/>
    <s v="30/11/20"/>
    <s v="SI206N05256"/>
    <m/>
    <s v="Reversal of 20020478"/>
    <s v="100057"/>
    <s v="20022091"/>
    <s v="MSH"/>
    <n v="0"/>
    <n v="-54418.6"/>
    <n v="-54418.6"/>
    <s v="NG"/>
    <x v="11"/>
  </r>
  <r>
    <s v="400-05"/>
    <x v="3"/>
    <n v="0"/>
    <s v="31/12/20"/>
    <s v="31/12/20"/>
    <s v="SI206N05268"/>
    <m/>
    <s v="2PRIME/1ECO-OMOLE SET&amp;US"/>
    <s v="100057"/>
    <s v="20022113"/>
    <s v="MSH"/>
    <n v="0"/>
    <n v="22790.69"/>
    <n v="22790.69"/>
    <s v="NG"/>
    <x v="11"/>
  </r>
  <r>
    <s v="400-05"/>
    <x v="3"/>
    <n v="0"/>
    <s v="31/12/20"/>
    <s v="31/12/20"/>
    <s v="SI206N05277"/>
    <m/>
    <s v="2PRIME SET&amp;USAGE"/>
    <s v="100057"/>
    <s v="20022136"/>
    <s v="MSH"/>
    <n v="0"/>
    <n v="16279.07"/>
    <n v="16279.07"/>
    <s v="NG"/>
    <x v="11"/>
  </r>
  <r>
    <s v="400-05"/>
    <x v="3"/>
    <n v="0"/>
    <s v="31/12/20"/>
    <s v="31/12/20"/>
    <s v="SI206N05308"/>
    <m/>
    <s v="Reversal of 20021921"/>
    <s v="100057"/>
    <s v="20022230"/>
    <s v="MSH"/>
    <n v="0"/>
    <n v="-16651.16"/>
    <n v="-16651.16"/>
    <s v="NG"/>
    <x v="11"/>
  </r>
  <r>
    <s v="400-05"/>
    <x v="3"/>
    <n v="0"/>
    <s v="31/12/20"/>
    <s v="31/12/20"/>
    <s v="SI206N05309"/>
    <m/>
    <s v="Reversal of 20021923"/>
    <s v="100057"/>
    <s v="20022231"/>
    <s v="MSH"/>
    <n v="0"/>
    <n v="-23627.9"/>
    <n v="-23627.9"/>
    <s v="NG"/>
    <x v="11"/>
  </r>
  <r>
    <s v="400-05"/>
    <x v="3"/>
    <n v="0"/>
    <s v="31/12/20"/>
    <s v="31/12/20"/>
    <s v="SI206N05674"/>
    <m/>
    <s v="2PRIME SETUP + SUB"/>
    <s v="120006"/>
    <s v="20023222"/>
    <s v="MSH"/>
    <n v="0"/>
    <n v="32558.13"/>
    <n v="32558.13"/>
    <s v="NG"/>
    <x v="11"/>
  </r>
  <r>
    <s v="400-05"/>
    <x v="3"/>
    <n v="0"/>
    <s v="31/12/20"/>
    <s v="31/12/20"/>
    <s v="LDP DEC PROMO RE"/>
    <m/>
    <s v="LDP DEC PROMO REFUND"/>
    <s v="102-1"/>
    <s v="20023489"/>
    <s v="M"/>
    <n v="7839069.7699999996"/>
    <n v="0"/>
    <n v="-7839069.7699999996"/>
    <s v="NG"/>
    <x v="11"/>
  </r>
  <r>
    <s v="400-05"/>
    <x v="3"/>
    <n v="0"/>
    <s v="31/12/20"/>
    <s v="31/12/20"/>
    <s v="UNUSED PROMO SER"/>
    <m/>
    <s v="UNUSED PROMO SERIALS 31."/>
    <s v="211-0"/>
    <s v="20023491"/>
    <s v="M"/>
    <n v="10893488.369999999"/>
    <n v="0"/>
    <n v="-10893488.369999999"/>
    <s v="NG"/>
    <x v="11"/>
  </r>
  <r>
    <s v="400-05"/>
    <x v="3"/>
    <n v="0"/>
    <s v="31/12/20"/>
    <s v="31/12/20"/>
    <s v="LDP DEC PROMO RE"/>
    <m/>
    <s v="Reversal of 20023489"/>
    <s v="102-1"/>
    <s v="20023494"/>
    <s v="M"/>
    <n v="-7839069.7699999996"/>
    <n v="0"/>
    <n v="7839069.7699999996"/>
    <s v="NG"/>
    <x v="11"/>
  </r>
  <r>
    <s v="400-05"/>
    <x v="3"/>
    <n v="0"/>
    <s v="31/12/20"/>
    <s v="15/12/20"/>
    <s v="SI206N05736"/>
    <m/>
    <s v="Reversal of 20020567"/>
    <s v="120006"/>
    <s v="20023495"/>
    <s v="MSH"/>
    <n v="0"/>
    <n v="-42790.69"/>
    <n v="-42790.69"/>
    <s v="NG"/>
    <x v="11"/>
  </r>
  <r>
    <s v="400-05"/>
    <x v="3"/>
    <n v="0"/>
    <s v="31/12/20"/>
    <s v="31/12/20"/>
    <s v="UNUSED PROMO SER"/>
    <m/>
    <s v="Reversal of 20023491"/>
    <s v="211-0"/>
    <s v="20023509"/>
    <s v="M"/>
    <n v="-10893488.369999999"/>
    <n v="0"/>
    <n v="10893488.369999999"/>
    <s v="NG"/>
    <x v="11"/>
  </r>
  <r>
    <s v="400-05"/>
    <x v="3"/>
    <n v="0"/>
    <s v="31/12/20"/>
    <s v="31/12/20"/>
    <s v="J E"/>
    <m/>
    <s v="PROMO REFUND LDP DEC"/>
    <s v="102-1"/>
    <s v="20023511"/>
    <s v="M"/>
    <n v="10077209.300000001"/>
    <n v="0"/>
    <n v="-10077209.300000001"/>
    <s v="NG"/>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D6B6C-F5F6-448B-993A-D9304ECAB699}" name="PivotTable1" cacheId="3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8:N44" firstHeaderRow="1" firstDataRow="2" firstDataCol="1"/>
  <pivotFields count="16">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43" showAll="0"/>
    <pivotField showAll="0"/>
    <pivotField axis="axisCol" showAll="0" sortType="descending">
      <items count="27">
        <item m="1" x="22"/>
        <item m="1" x="16"/>
        <item m="1" x="24"/>
        <item m="1" x="18"/>
        <item m="1" x="12"/>
        <item m="1" x="20"/>
        <item m="1" x="14"/>
        <item m="1" x="23"/>
        <item m="1" x="17"/>
        <item m="1" x="25"/>
        <item m="1" x="19"/>
        <item m="1" x="13"/>
        <item m="1" x="21"/>
        <item m="1" x="15"/>
        <item x="11"/>
        <item x="10"/>
        <item x="9"/>
        <item x="8"/>
        <item x="7"/>
        <item x="6"/>
        <item x="5"/>
        <item x="4"/>
        <item x="3"/>
        <item x="2"/>
        <item x="1"/>
        <item x="0"/>
        <item t="default"/>
      </items>
    </pivotField>
  </pivotFields>
  <rowFields count="1">
    <field x="1"/>
  </rowFields>
  <rowItems count="5">
    <i>
      <x/>
    </i>
    <i>
      <x v="1"/>
    </i>
    <i>
      <x v="2"/>
    </i>
    <i>
      <x v="3"/>
    </i>
    <i t="grand">
      <x/>
    </i>
  </rowItems>
  <colFields count="1">
    <field x="15"/>
  </colFields>
  <colItems count="13">
    <i>
      <x v="14"/>
    </i>
    <i>
      <x v="15"/>
    </i>
    <i>
      <x v="16"/>
    </i>
    <i>
      <x v="17"/>
    </i>
    <i>
      <x v="18"/>
    </i>
    <i>
      <x v="19"/>
    </i>
    <i>
      <x v="20"/>
    </i>
    <i>
      <x v="21"/>
    </i>
    <i>
      <x v="22"/>
    </i>
    <i>
      <x v="23"/>
    </i>
    <i>
      <x v="24"/>
    </i>
    <i>
      <x v="25"/>
    </i>
    <i t="grand">
      <x/>
    </i>
  </colItems>
  <dataFields count="1">
    <dataField name="Sum of Net" fld="13" baseField="15" baseItem="0" numFmtId="3"/>
  </dataFields>
  <formats count="21">
    <format dxfId="27">
      <pivotArea dataOnly="0" labelOnly="1" fieldPosition="0">
        <references count="1">
          <reference field="15" count="0"/>
        </references>
      </pivotArea>
    </format>
    <format dxfId="26">
      <pivotArea dataOnly="0" labelOnly="1" fieldPosition="0">
        <references count="1">
          <reference field="15" count="0"/>
        </references>
      </pivotArea>
    </format>
    <format dxfId="25">
      <pivotArea dataOnly="0" labelOnly="1" grandCol="1" outline="0" fieldPosition="0"/>
    </format>
    <format dxfId="24">
      <pivotArea dataOnly="0" labelOnly="1" fieldPosition="0">
        <references count="1">
          <reference field="15" count="0"/>
        </references>
      </pivotArea>
    </format>
    <format dxfId="23">
      <pivotArea dataOnly="0" labelOnly="1" grandCol="1" outline="0" fieldPosition="0"/>
    </format>
    <format dxfId="22">
      <pivotArea dataOnly="0" labelOnly="1" fieldPosition="0">
        <references count="1">
          <reference field="15" count="0"/>
        </references>
      </pivotArea>
    </format>
    <format dxfId="21">
      <pivotArea dataOnly="0" labelOnly="1" grandCol="1" outline="0" fieldPosition="0"/>
    </format>
    <format dxfId="20">
      <pivotArea type="origin" dataOnly="0" labelOnly="1" outline="0"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field="15" type="button" dataOnly="0" labelOnly="1" outline="0" axis="axisCol" fieldPosition="0"/>
    </format>
    <format dxfId="12">
      <pivotArea type="topRight" dataOnly="0" labelOnly="1" outline="0" fieldPosition="0"/>
    </format>
    <format dxfId="11">
      <pivotArea field="1" type="button" dataOnly="0" labelOnly="1" outline="0" axis="axisRow" fieldPosition="0"/>
    </format>
    <format dxfId="10">
      <pivotArea dataOnly="0" labelOnly="1" fieldPosition="0">
        <references count="1">
          <reference field="1" count="0"/>
        </references>
      </pivotArea>
    </format>
    <format dxfId="9">
      <pivotArea dataOnly="0" labelOnly="1" grandRow="1" outline="0" fieldPosition="0"/>
    </format>
    <format dxfId="8">
      <pivotArea dataOnly="0" labelOnly="1" fieldPosition="0">
        <references count="1">
          <reference field="15" count="0"/>
        </references>
      </pivotArea>
    </format>
    <format dxfId="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277A8C-581E-46BD-82B5-A5FB122A40A5}" name="PivotTable2" cacheId="3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8:N44" firstHeaderRow="1" firstDataRow="2" firstDataCol="1"/>
  <pivotFields count="16">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43" showAll="0"/>
    <pivotField showAll="0"/>
    <pivotField axis="axisCol" showAll="0" sortType="descending">
      <items count="27">
        <item m="1" x="22"/>
        <item m="1" x="16"/>
        <item m="1" x="24"/>
        <item m="1" x="18"/>
        <item m="1" x="12"/>
        <item m="1" x="20"/>
        <item m="1" x="14"/>
        <item m="1" x="23"/>
        <item m="1" x="17"/>
        <item m="1" x="25"/>
        <item m="1" x="19"/>
        <item m="1" x="13"/>
        <item m="1" x="21"/>
        <item m="1" x="15"/>
        <item x="11"/>
        <item x="10"/>
        <item x="9"/>
        <item x="8"/>
        <item x="7"/>
        <item x="6"/>
        <item x="5"/>
        <item x="4"/>
        <item x="3"/>
        <item x="2"/>
        <item x="1"/>
        <item x="0"/>
        <item t="default"/>
      </items>
    </pivotField>
  </pivotFields>
  <rowFields count="1">
    <field x="1"/>
  </rowFields>
  <rowItems count="5">
    <i>
      <x/>
    </i>
    <i>
      <x v="1"/>
    </i>
    <i>
      <x v="2"/>
    </i>
    <i>
      <x v="3"/>
    </i>
    <i t="grand">
      <x/>
    </i>
  </rowItems>
  <colFields count="1">
    <field x="15"/>
  </colFields>
  <colItems count="13">
    <i>
      <x v="14"/>
    </i>
    <i>
      <x v="15"/>
    </i>
    <i>
      <x v="16"/>
    </i>
    <i>
      <x v="17"/>
    </i>
    <i>
      <x v="18"/>
    </i>
    <i>
      <x v="19"/>
    </i>
    <i>
      <x v="20"/>
    </i>
    <i>
      <x v="21"/>
    </i>
    <i>
      <x v="22"/>
    </i>
    <i>
      <x v="23"/>
    </i>
    <i>
      <x v="24"/>
    </i>
    <i>
      <x v="25"/>
    </i>
    <i t="grand">
      <x/>
    </i>
  </colItems>
  <dataFields count="1">
    <dataField name="Sum of Net" fld="13" baseField="15" baseItem="0" numFmtId="3"/>
  </dataFields>
  <formats count="7">
    <format dxfId="6">
      <pivotArea dataOnly="0" labelOnly="1" fieldPosition="0">
        <references count="1">
          <reference field="15" count="0"/>
        </references>
      </pivotArea>
    </format>
    <format dxfId="5">
      <pivotArea dataOnly="0" labelOnly="1" fieldPosition="0">
        <references count="1">
          <reference field="15" count="0"/>
        </references>
      </pivotArea>
    </format>
    <format dxfId="4">
      <pivotArea dataOnly="0" labelOnly="1" grandCol="1" outline="0" fieldPosition="0"/>
    </format>
    <format dxfId="3">
      <pivotArea dataOnly="0" labelOnly="1" fieldPosition="0">
        <references count="1">
          <reference field="15" count="0"/>
        </references>
      </pivotArea>
    </format>
    <format dxfId="2">
      <pivotArea dataOnly="0" labelOnly="1" grandCol="1" outline="0" fieldPosition="0"/>
    </format>
    <format dxfId="1">
      <pivotArea dataOnly="0" labelOnly="1" fieldPosition="0">
        <references count="1">
          <reference field="15"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15122-508F-453E-9B6A-457AFB10C0DB}">
  <sheetPr codeName="Sheet1"/>
  <dimension ref="A1:O55"/>
  <sheetViews>
    <sheetView zoomScale="90" zoomScaleNormal="90" workbookViewId="0">
      <pane xSplit="1" ySplit="1" topLeftCell="B2" activePane="bottomRight" state="frozen"/>
      <selection pane="topRight" activeCell="B1" sqref="B1"/>
      <selection pane="bottomLeft" activeCell="A2" sqref="A2"/>
      <selection pane="bottomRight" activeCell="F1" sqref="F1"/>
    </sheetView>
  </sheetViews>
  <sheetFormatPr defaultColWidth="8.7265625" defaultRowHeight="13" x14ac:dyDescent="0.35"/>
  <cols>
    <col min="1" max="1" width="32.54296875" style="76" customWidth="1"/>
    <col min="2" max="3" width="11.54296875" style="63" customWidth="1"/>
    <col min="4" max="4" width="12.81640625" style="63" bestFit="1" customWidth="1"/>
    <col min="5" max="13" width="11.54296875" style="63" customWidth="1"/>
    <col min="14" max="14" width="12.81640625" style="63" bestFit="1" customWidth="1"/>
    <col min="15" max="15" width="58.81640625" style="76" customWidth="1"/>
    <col min="16" max="16384" width="8.7265625" style="63"/>
  </cols>
  <sheetData>
    <row r="1" spans="1:15" x14ac:dyDescent="0.35">
      <c r="A1" s="67" t="s">
        <v>14</v>
      </c>
      <c r="B1" s="132">
        <v>44927</v>
      </c>
      <c r="C1" s="132">
        <f>EOMONTH(B1,1)</f>
        <v>44985</v>
      </c>
      <c r="D1" s="132">
        <f t="shared" ref="D1:M1" si="0">EOMONTH(C1,1)</f>
        <v>45016</v>
      </c>
      <c r="E1" s="132">
        <f t="shared" si="0"/>
        <v>45046</v>
      </c>
      <c r="F1" s="132">
        <f>EOMONTH(E1,1)</f>
        <v>45077</v>
      </c>
      <c r="G1" s="132">
        <f t="shared" si="0"/>
        <v>45107</v>
      </c>
      <c r="H1" s="132">
        <f t="shared" si="0"/>
        <v>45138</v>
      </c>
      <c r="I1" s="132">
        <f t="shared" si="0"/>
        <v>45169</v>
      </c>
      <c r="J1" s="132">
        <f t="shared" si="0"/>
        <v>45199</v>
      </c>
      <c r="K1" s="132">
        <f t="shared" si="0"/>
        <v>45230</v>
      </c>
      <c r="L1" s="132">
        <f t="shared" si="0"/>
        <v>45260</v>
      </c>
      <c r="M1" s="132">
        <f t="shared" si="0"/>
        <v>45291</v>
      </c>
      <c r="N1" s="61" t="s">
        <v>100</v>
      </c>
      <c r="O1" s="62" t="s">
        <v>97</v>
      </c>
    </row>
    <row r="2" spans="1:15" x14ac:dyDescent="0.35">
      <c r="A2" s="67"/>
      <c r="B2" s="61"/>
      <c r="C2" s="61"/>
      <c r="D2" s="61"/>
      <c r="E2" s="61"/>
      <c r="F2" s="61"/>
      <c r="G2" s="61"/>
      <c r="H2" s="61"/>
      <c r="I2" s="61"/>
      <c r="J2" s="61"/>
      <c r="K2" s="61"/>
      <c r="L2" s="61"/>
      <c r="M2" s="61"/>
      <c r="N2" s="61"/>
    </row>
    <row r="3" spans="1:15" x14ac:dyDescent="0.35">
      <c r="A3" s="67" t="s">
        <v>28</v>
      </c>
      <c r="B3" s="64">
        <f t="shared" ref="B3:M3" si="1">B4+B9</f>
        <v>244</v>
      </c>
      <c r="C3" s="64">
        <f t="shared" si="1"/>
        <v>185</v>
      </c>
      <c r="D3" s="64">
        <f t="shared" si="1"/>
        <v>269</v>
      </c>
      <c r="E3" s="64">
        <f t="shared" si="1"/>
        <v>259</v>
      </c>
      <c r="F3" s="64">
        <f>F4+F9</f>
        <v>296</v>
      </c>
      <c r="G3" s="64">
        <f t="shared" si="1"/>
        <v>0</v>
      </c>
      <c r="H3" s="64">
        <f t="shared" si="1"/>
        <v>0</v>
      </c>
      <c r="I3" s="64">
        <f t="shared" si="1"/>
        <v>0</v>
      </c>
      <c r="J3" s="64">
        <f t="shared" si="1"/>
        <v>0</v>
      </c>
      <c r="K3" s="64">
        <f t="shared" si="1"/>
        <v>0</v>
      </c>
      <c r="L3" s="64">
        <f t="shared" si="1"/>
        <v>0</v>
      </c>
      <c r="M3" s="64">
        <f t="shared" si="1"/>
        <v>0</v>
      </c>
      <c r="N3" s="64">
        <f>SUM(B3:M3)</f>
        <v>1253</v>
      </c>
    </row>
    <row r="4" spans="1:15" s="71" customFormat="1" x14ac:dyDescent="0.35">
      <c r="A4" s="73" t="s">
        <v>23</v>
      </c>
      <c r="B4" s="69">
        <f t="shared" ref="B4:M4" si="2">SUM(B5:B7)</f>
        <v>110</v>
      </c>
      <c r="C4" s="69">
        <f t="shared" si="2"/>
        <v>86</v>
      </c>
      <c r="D4" s="69">
        <f t="shared" si="2"/>
        <v>132</v>
      </c>
      <c r="E4" s="69">
        <f t="shared" si="2"/>
        <v>104</v>
      </c>
      <c r="F4" s="69">
        <f t="shared" si="2"/>
        <v>146</v>
      </c>
      <c r="G4" s="69">
        <f t="shared" si="2"/>
        <v>0</v>
      </c>
      <c r="H4" s="69">
        <f t="shared" si="2"/>
        <v>0</v>
      </c>
      <c r="I4" s="69">
        <f t="shared" si="2"/>
        <v>0</v>
      </c>
      <c r="J4" s="69">
        <f t="shared" si="2"/>
        <v>0</v>
      </c>
      <c r="K4" s="69">
        <f t="shared" si="2"/>
        <v>0</v>
      </c>
      <c r="L4" s="69">
        <f t="shared" si="2"/>
        <v>0</v>
      </c>
      <c r="M4" s="69">
        <f t="shared" si="2"/>
        <v>0</v>
      </c>
      <c r="N4" s="70">
        <f t="shared" ref="N4:N31" si="3">SUM(B4:M4)</f>
        <v>578</v>
      </c>
      <c r="O4" s="76"/>
    </row>
    <row r="5" spans="1:15" x14ac:dyDescent="0.35">
      <c r="A5" s="74" t="s">
        <v>8</v>
      </c>
      <c r="B5" s="65">
        <v>0</v>
      </c>
      <c r="C5" s="65">
        <v>0</v>
      </c>
      <c r="D5" s="65">
        <v>0</v>
      </c>
      <c r="E5" s="65">
        <v>0</v>
      </c>
      <c r="F5" s="65"/>
      <c r="G5" s="65"/>
      <c r="H5" s="65"/>
      <c r="I5" s="65"/>
      <c r="J5" s="65"/>
      <c r="K5" s="65"/>
      <c r="L5" s="65"/>
      <c r="M5" s="65"/>
      <c r="N5" s="65">
        <f t="shared" si="3"/>
        <v>0</v>
      </c>
    </row>
    <row r="6" spans="1:15" x14ac:dyDescent="0.35">
      <c r="A6" s="74" t="s">
        <v>9</v>
      </c>
      <c r="B6" s="65">
        <v>0</v>
      </c>
      <c r="C6" s="65">
        <v>0</v>
      </c>
      <c r="D6" s="65">
        <v>0</v>
      </c>
      <c r="E6" s="65">
        <v>0</v>
      </c>
      <c r="F6" s="65"/>
      <c r="G6" s="65"/>
      <c r="H6" s="65"/>
      <c r="I6" s="65"/>
      <c r="J6" s="65"/>
      <c r="K6" s="65"/>
      <c r="L6" s="65"/>
      <c r="M6" s="65"/>
      <c r="N6" s="65">
        <f t="shared" si="3"/>
        <v>0</v>
      </c>
    </row>
    <row r="7" spans="1:15" x14ac:dyDescent="0.35">
      <c r="A7" s="74" t="s">
        <v>153</v>
      </c>
      <c r="B7" s="65">
        <v>110</v>
      </c>
      <c r="C7" s="65">
        <v>86</v>
      </c>
      <c r="D7" s="65">
        <v>132</v>
      </c>
      <c r="E7" s="65">
        <v>104</v>
      </c>
      <c r="F7" s="65">
        <v>146</v>
      </c>
      <c r="G7" s="65"/>
      <c r="H7" s="65"/>
      <c r="I7" s="65"/>
      <c r="J7" s="65"/>
      <c r="K7" s="65"/>
      <c r="L7" s="65"/>
      <c r="M7" s="65"/>
      <c r="N7" s="65">
        <f>SUM(B7:M7)</f>
        <v>578</v>
      </c>
    </row>
    <row r="8" spans="1:15" x14ac:dyDescent="0.35">
      <c r="A8" s="74"/>
      <c r="B8" s="65"/>
      <c r="C8" s="65"/>
      <c r="D8" s="65"/>
      <c r="E8" s="65"/>
      <c r="F8" s="65"/>
      <c r="G8" s="65"/>
      <c r="H8" s="65"/>
      <c r="I8" s="64"/>
      <c r="J8" s="64"/>
      <c r="K8" s="64"/>
      <c r="L8" s="64"/>
      <c r="M8" s="64"/>
      <c r="N8" s="65">
        <f t="shared" si="3"/>
        <v>0</v>
      </c>
    </row>
    <row r="9" spans="1:15" s="71" customFormat="1" x14ac:dyDescent="0.35">
      <c r="A9" s="73" t="s">
        <v>25</v>
      </c>
      <c r="B9" s="69">
        <f>SUM(B10:B13)</f>
        <v>134</v>
      </c>
      <c r="C9" s="69">
        <f t="shared" ref="C9:M9" si="4">SUM(C10:C13)</f>
        <v>99</v>
      </c>
      <c r="D9" s="69">
        <f t="shared" si="4"/>
        <v>137</v>
      </c>
      <c r="E9" s="69">
        <f t="shared" si="4"/>
        <v>155</v>
      </c>
      <c r="F9" s="69">
        <f>SUM(F10:F13)</f>
        <v>150</v>
      </c>
      <c r="G9" s="69">
        <f t="shared" si="4"/>
        <v>0</v>
      </c>
      <c r="H9" s="69">
        <f t="shared" si="4"/>
        <v>0</v>
      </c>
      <c r="I9" s="69">
        <f t="shared" si="4"/>
        <v>0</v>
      </c>
      <c r="J9" s="69">
        <f t="shared" si="4"/>
        <v>0</v>
      </c>
      <c r="K9" s="69">
        <f t="shared" si="4"/>
        <v>0</v>
      </c>
      <c r="L9" s="69">
        <f t="shared" si="4"/>
        <v>0</v>
      </c>
      <c r="M9" s="69">
        <f t="shared" si="4"/>
        <v>0</v>
      </c>
      <c r="N9" s="69">
        <f t="shared" si="3"/>
        <v>675</v>
      </c>
      <c r="O9" s="76"/>
    </row>
    <row r="10" spans="1:15" x14ac:dyDescent="0.35">
      <c r="A10" s="74" t="s">
        <v>8</v>
      </c>
      <c r="B10" s="65">
        <v>27</v>
      </c>
      <c r="C10" s="65">
        <v>21</v>
      </c>
      <c r="D10" s="65">
        <v>24</v>
      </c>
      <c r="E10" s="65">
        <v>30</v>
      </c>
      <c r="F10" s="65">
        <v>30</v>
      </c>
      <c r="G10" s="65"/>
      <c r="H10" s="65"/>
      <c r="I10" s="65"/>
      <c r="J10" s="65"/>
      <c r="K10" s="65"/>
      <c r="L10" s="65"/>
      <c r="M10" s="65"/>
      <c r="N10" s="65">
        <f t="shared" si="3"/>
        <v>132</v>
      </c>
    </row>
    <row r="11" spans="1:15" ht="14.5" x14ac:dyDescent="0.35">
      <c r="A11" s="74" t="s">
        <v>9</v>
      </c>
      <c r="B11" s="65">
        <v>83</v>
      </c>
      <c r="C11" s="65">
        <v>66</v>
      </c>
      <c r="D11" s="65">
        <v>78</v>
      </c>
      <c r="E11" s="65">
        <v>105</v>
      </c>
      <c r="F11" s="65">
        <v>87</v>
      </c>
      <c r="G11" s="65"/>
      <c r="H11" s="65"/>
      <c r="I11" s="65"/>
      <c r="J11" s="65"/>
      <c r="K11" s="65"/>
      <c r="L11" s="65"/>
      <c r="M11" s="65"/>
      <c r="N11" s="65">
        <f t="shared" si="3"/>
        <v>419</v>
      </c>
      <c r="O11"/>
    </row>
    <row r="12" spans="1:15" x14ac:dyDescent="0.35">
      <c r="A12" s="74" t="s">
        <v>153</v>
      </c>
      <c r="B12" s="65">
        <v>24</v>
      </c>
      <c r="C12" s="65">
        <v>12</v>
      </c>
      <c r="D12" s="65">
        <v>35</v>
      </c>
      <c r="E12" s="65">
        <v>20</v>
      </c>
      <c r="F12" s="65">
        <v>33</v>
      </c>
      <c r="G12" s="65"/>
      <c r="H12" s="65"/>
      <c r="I12" s="65"/>
      <c r="J12" s="65"/>
      <c r="K12" s="65"/>
      <c r="L12" s="65"/>
      <c r="M12" s="65"/>
      <c r="N12" s="65">
        <f>SUM(B12:M12)</f>
        <v>124</v>
      </c>
    </row>
    <row r="13" spans="1:15" x14ac:dyDescent="0.35">
      <c r="A13" s="74" t="s">
        <v>151</v>
      </c>
      <c r="B13" s="65">
        <v>0</v>
      </c>
      <c r="C13" s="65">
        <v>0</v>
      </c>
      <c r="D13" s="65">
        <v>0</v>
      </c>
      <c r="E13" s="65">
        <v>0</v>
      </c>
      <c r="F13" s="65"/>
      <c r="G13" s="65">
        <v>0</v>
      </c>
      <c r="H13" s="65">
        <v>0</v>
      </c>
      <c r="I13" s="65">
        <v>0</v>
      </c>
      <c r="J13" s="65">
        <v>0</v>
      </c>
      <c r="K13" s="65">
        <v>0</v>
      </c>
      <c r="L13" s="65">
        <v>0</v>
      </c>
      <c r="M13" s="65">
        <v>0</v>
      </c>
      <c r="N13" s="65">
        <f t="shared" si="3"/>
        <v>0</v>
      </c>
      <c r="O13" s="76" t="s">
        <v>152</v>
      </c>
    </row>
    <row r="14" spans="1:15" x14ac:dyDescent="0.35">
      <c r="A14" s="74"/>
      <c r="B14" s="65"/>
      <c r="C14" s="65"/>
      <c r="D14" s="65"/>
      <c r="E14" s="65"/>
      <c r="F14" s="65"/>
      <c r="G14" s="65"/>
      <c r="H14" s="65"/>
      <c r="I14" s="64"/>
      <c r="J14" s="64"/>
      <c r="K14" s="64"/>
      <c r="L14" s="64"/>
      <c r="M14" s="64"/>
      <c r="N14" s="65">
        <f t="shared" si="3"/>
        <v>0</v>
      </c>
    </row>
    <row r="15" spans="1:15" s="71" customFormat="1" x14ac:dyDescent="0.35">
      <c r="A15" s="73" t="s">
        <v>24</v>
      </c>
      <c r="B15" s="69">
        <f>SUM(B16:B18)</f>
        <v>6248000</v>
      </c>
      <c r="C15" s="69">
        <f>SUM(C16:C18)</f>
        <v>4895750</v>
      </c>
      <c r="D15" s="69">
        <f>SUM(D16:D18)</f>
        <v>7643500</v>
      </c>
      <c r="E15" s="69">
        <f>SUM(E16:E18)</f>
        <v>6163500</v>
      </c>
      <c r="F15" s="69">
        <v>9479500</v>
      </c>
      <c r="G15" s="69">
        <f t="shared" ref="G15:M15" si="5">SUM(G16:G18)</f>
        <v>0</v>
      </c>
      <c r="H15" s="69">
        <f t="shared" si="5"/>
        <v>0</v>
      </c>
      <c r="I15" s="69">
        <f t="shared" si="5"/>
        <v>0</v>
      </c>
      <c r="J15" s="69">
        <f t="shared" si="5"/>
        <v>0</v>
      </c>
      <c r="K15" s="69">
        <f t="shared" si="5"/>
        <v>0</v>
      </c>
      <c r="L15" s="69">
        <f t="shared" si="5"/>
        <v>0</v>
      </c>
      <c r="M15" s="69">
        <f t="shared" si="5"/>
        <v>0</v>
      </c>
      <c r="N15" s="69">
        <f t="shared" si="3"/>
        <v>34430250</v>
      </c>
      <c r="O15" s="76"/>
    </row>
    <row r="16" spans="1:15" x14ac:dyDescent="0.35">
      <c r="A16" s="74" t="s">
        <v>8</v>
      </c>
      <c r="B16" s="65">
        <v>0</v>
      </c>
      <c r="C16" s="65">
        <v>0</v>
      </c>
      <c r="D16" s="65">
        <v>0</v>
      </c>
      <c r="E16" s="65">
        <v>0</v>
      </c>
      <c r="F16" s="65"/>
      <c r="G16" s="65"/>
      <c r="H16" s="65"/>
      <c r="I16" s="65"/>
      <c r="J16" s="65"/>
      <c r="K16" s="65"/>
      <c r="L16" s="65"/>
      <c r="M16" s="65"/>
      <c r="N16" s="65">
        <f t="shared" si="3"/>
        <v>0</v>
      </c>
    </row>
    <row r="17" spans="1:15" x14ac:dyDescent="0.35">
      <c r="A17" s="74" t="s">
        <v>9</v>
      </c>
      <c r="B17" s="65">
        <v>0</v>
      </c>
      <c r="C17" s="65">
        <v>0</v>
      </c>
      <c r="D17" s="65">
        <v>0</v>
      </c>
      <c r="E17" s="65">
        <v>0</v>
      </c>
      <c r="F17" s="65"/>
      <c r="G17" s="65"/>
      <c r="H17" s="65"/>
      <c r="I17" s="65"/>
      <c r="J17" s="65"/>
      <c r="K17" s="65"/>
      <c r="L17" s="65"/>
      <c r="M17" s="65"/>
      <c r="N17" s="65">
        <f t="shared" si="3"/>
        <v>0</v>
      </c>
    </row>
    <row r="18" spans="1:15" x14ac:dyDescent="0.35">
      <c r="A18" s="74" t="s">
        <v>153</v>
      </c>
      <c r="B18" s="65">
        <v>6248000</v>
      </c>
      <c r="C18" s="65">
        <v>4895750</v>
      </c>
      <c r="D18" s="65">
        <v>7643500</v>
      </c>
      <c r="E18" s="65">
        <v>6163500</v>
      </c>
      <c r="F18" s="65">
        <v>9544250</v>
      </c>
      <c r="G18" s="65"/>
      <c r="H18" s="65"/>
      <c r="I18" s="65"/>
      <c r="J18" s="65"/>
      <c r="K18" s="65"/>
      <c r="L18" s="65"/>
      <c r="M18" s="65"/>
      <c r="N18" s="64">
        <f t="shared" si="3"/>
        <v>34495000</v>
      </c>
    </row>
    <row r="19" spans="1:15" x14ac:dyDescent="0.35">
      <c r="A19" s="74"/>
      <c r="B19" s="65"/>
      <c r="C19" s="65"/>
      <c r="D19" s="65"/>
      <c r="E19" s="65"/>
      <c r="F19" s="65"/>
      <c r="G19" s="65"/>
      <c r="H19" s="65"/>
      <c r="I19" s="65"/>
      <c r="J19" s="65"/>
      <c r="K19" s="65"/>
      <c r="L19" s="65"/>
      <c r="M19" s="65"/>
      <c r="N19" s="64">
        <f t="shared" si="3"/>
        <v>0</v>
      </c>
    </row>
    <row r="20" spans="1:15" s="71" customFormat="1" x14ac:dyDescent="0.35">
      <c r="A20" s="73" t="s">
        <v>1</v>
      </c>
      <c r="B20" s="69">
        <f t="shared" ref="B20:M20" si="6">SUM(B21:B24)</f>
        <v>29349600</v>
      </c>
      <c r="C20" s="69">
        <f t="shared" si="6"/>
        <v>21476400</v>
      </c>
      <c r="D20" s="69">
        <f t="shared" si="6"/>
        <v>29360900</v>
      </c>
      <c r="E20" s="69">
        <f t="shared" si="6"/>
        <v>33932700</v>
      </c>
      <c r="F20" s="69">
        <f t="shared" si="6"/>
        <v>34219500</v>
      </c>
      <c r="G20" s="69">
        <f t="shared" si="6"/>
        <v>0</v>
      </c>
      <c r="H20" s="69">
        <f t="shared" si="6"/>
        <v>0</v>
      </c>
      <c r="I20" s="69">
        <f t="shared" si="6"/>
        <v>0</v>
      </c>
      <c r="J20" s="69">
        <f t="shared" si="6"/>
        <v>0</v>
      </c>
      <c r="K20" s="69">
        <f t="shared" si="6"/>
        <v>0</v>
      </c>
      <c r="L20" s="69">
        <f t="shared" si="6"/>
        <v>0</v>
      </c>
      <c r="M20" s="69">
        <f t="shared" si="6"/>
        <v>0</v>
      </c>
      <c r="N20" s="69">
        <f t="shared" si="3"/>
        <v>148339100</v>
      </c>
      <c r="O20" s="76"/>
    </row>
    <row r="21" spans="1:15" x14ac:dyDescent="0.35">
      <c r="A21" s="74" t="s">
        <v>8</v>
      </c>
      <c r="B21" s="65">
        <v>6559200</v>
      </c>
      <c r="C21" s="65">
        <v>5101600</v>
      </c>
      <c r="D21" s="65">
        <v>5912800</v>
      </c>
      <c r="E21" s="65">
        <v>6876000</v>
      </c>
      <c r="F21" s="65">
        <v>7370400</v>
      </c>
      <c r="G21" s="65"/>
      <c r="H21" s="65"/>
      <c r="I21" s="65"/>
      <c r="J21" s="65"/>
      <c r="K21" s="65"/>
      <c r="L21" s="65"/>
      <c r="M21" s="65"/>
      <c r="N21" s="65">
        <f t="shared" si="3"/>
        <v>31820000</v>
      </c>
    </row>
    <row r="22" spans="1:15" x14ac:dyDescent="0.35">
      <c r="A22" s="74" t="s">
        <v>9</v>
      </c>
      <c r="B22" s="65">
        <v>16795200</v>
      </c>
      <c r="C22" s="65">
        <v>13130000</v>
      </c>
      <c r="D22" s="65">
        <v>15632100</v>
      </c>
      <c r="E22" s="65">
        <v>21813500</v>
      </c>
      <c r="F22" s="65">
        <v>17925900</v>
      </c>
      <c r="G22" s="65"/>
      <c r="H22" s="65"/>
      <c r="I22" s="65"/>
      <c r="J22" s="65"/>
      <c r="K22" s="65"/>
      <c r="L22" s="65"/>
      <c r="M22" s="65"/>
      <c r="N22" s="65">
        <f t="shared" si="3"/>
        <v>85296700</v>
      </c>
    </row>
    <row r="23" spans="1:15" x14ac:dyDescent="0.35">
      <c r="A23" s="74" t="s">
        <v>153</v>
      </c>
      <c r="B23" s="65">
        <v>5995200</v>
      </c>
      <c r="C23" s="65">
        <v>3244800</v>
      </c>
      <c r="D23" s="65">
        <v>7816000</v>
      </c>
      <c r="E23" s="65">
        <v>5243200</v>
      </c>
      <c r="F23" s="65">
        <v>8923200</v>
      </c>
      <c r="G23" s="65"/>
      <c r="H23" s="65"/>
      <c r="I23" s="65"/>
      <c r="J23" s="65"/>
      <c r="K23" s="65"/>
      <c r="L23" s="65"/>
      <c r="M23" s="65"/>
      <c r="N23" s="65">
        <f t="shared" si="3"/>
        <v>31222400</v>
      </c>
    </row>
    <row r="24" spans="1:15" ht="14.5" x14ac:dyDescent="0.35">
      <c r="A24" s="74" t="s">
        <v>20</v>
      </c>
      <c r="B24" s="65">
        <v>0</v>
      </c>
      <c r="C24" s="65">
        <v>0</v>
      </c>
      <c r="D24" s="65">
        <v>0</v>
      </c>
      <c r="E24" s="65">
        <v>0</v>
      </c>
      <c r="F24" s="65">
        <v>0</v>
      </c>
      <c r="G24" s="65"/>
      <c r="H24" s="65"/>
      <c r="I24" s="65"/>
      <c r="J24" s="65"/>
      <c r="K24" s="65"/>
      <c r="L24" s="65"/>
      <c r="M24" s="65"/>
      <c r="N24" s="65">
        <f t="shared" si="3"/>
        <v>0</v>
      </c>
      <c r="O24"/>
    </row>
    <row r="25" spans="1:15" x14ac:dyDescent="0.35">
      <c r="A25" s="74"/>
      <c r="B25" s="123"/>
      <c r="C25" s="123"/>
      <c r="D25" s="123"/>
      <c r="E25" s="65"/>
      <c r="F25" s="65"/>
      <c r="G25" s="65"/>
      <c r="H25" s="65"/>
      <c r="I25" s="65"/>
      <c r="J25" s="65"/>
      <c r="K25" s="65"/>
      <c r="L25" s="65"/>
      <c r="M25" s="65"/>
      <c r="N25" s="65">
        <f t="shared" si="3"/>
        <v>0</v>
      </c>
    </row>
    <row r="26" spans="1:15" s="71" customFormat="1" x14ac:dyDescent="0.35">
      <c r="A26" s="73" t="s">
        <v>12</v>
      </c>
      <c r="B26" s="69">
        <f>SUM(B27:B30)</f>
        <v>452069270</v>
      </c>
      <c r="C26" s="69">
        <f>SUM(C27:C30)</f>
        <v>408381935</v>
      </c>
      <c r="D26" s="69">
        <f>SUM(D27:D30)</f>
        <v>443756730</v>
      </c>
      <c r="E26" s="69">
        <f t="shared" ref="E26:M26" si="7">SUM(E27:E30)</f>
        <v>409386760</v>
      </c>
      <c r="F26" s="69">
        <f t="shared" si="7"/>
        <v>416981550</v>
      </c>
      <c r="G26" s="69">
        <f t="shared" si="7"/>
        <v>0</v>
      </c>
      <c r="H26" s="69">
        <f t="shared" si="7"/>
        <v>0</v>
      </c>
      <c r="I26" s="69">
        <f t="shared" si="7"/>
        <v>0</v>
      </c>
      <c r="J26" s="69">
        <f t="shared" si="7"/>
        <v>0</v>
      </c>
      <c r="K26" s="69">
        <f t="shared" si="7"/>
        <v>0</v>
      </c>
      <c r="L26" s="69">
        <f t="shared" si="7"/>
        <v>0</v>
      </c>
      <c r="M26" s="69">
        <f t="shared" si="7"/>
        <v>0</v>
      </c>
      <c r="N26" s="69">
        <f t="shared" si="3"/>
        <v>2130576245</v>
      </c>
      <c r="O26" s="76"/>
    </row>
    <row r="27" spans="1:15" x14ac:dyDescent="0.35">
      <c r="A27" s="74" t="s">
        <v>10</v>
      </c>
      <c r="B27" s="65">
        <v>316170820</v>
      </c>
      <c r="C27" s="65">
        <v>288431700</v>
      </c>
      <c r="D27" s="65">
        <v>314474690</v>
      </c>
      <c r="E27" s="65">
        <v>291379010</v>
      </c>
      <c r="F27" s="65">
        <v>293002510</v>
      </c>
      <c r="G27" s="65"/>
      <c r="H27" s="65"/>
      <c r="I27" s="65"/>
      <c r="J27" s="65"/>
      <c r="K27" s="65"/>
      <c r="L27" s="65"/>
      <c r="M27" s="65"/>
      <c r="N27" s="65">
        <f t="shared" si="3"/>
        <v>1503458730</v>
      </c>
    </row>
    <row r="28" spans="1:15" ht="14.5" x14ac:dyDescent="0.35">
      <c r="A28" s="74" t="s">
        <v>8</v>
      </c>
      <c r="B28" s="65">
        <v>82242080</v>
      </c>
      <c r="C28" s="65">
        <v>76654155</v>
      </c>
      <c r="D28" s="65">
        <v>86615270</v>
      </c>
      <c r="E28" s="65">
        <v>79160870</v>
      </c>
      <c r="F28" s="65">
        <v>82991020</v>
      </c>
      <c r="G28" s="65"/>
      <c r="H28" s="65"/>
      <c r="I28" s="65"/>
      <c r="J28" s="65"/>
      <c r="K28" s="65"/>
      <c r="L28" s="65"/>
      <c r="M28" s="65"/>
      <c r="N28" s="65">
        <f t="shared" si="3"/>
        <v>407663395</v>
      </c>
      <c r="O28"/>
    </row>
    <row r="29" spans="1:15" ht="14.5" x14ac:dyDescent="0.35">
      <c r="A29" s="74" t="s">
        <v>9</v>
      </c>
      <c r="B29" s="65">
        <v>35630370</v>
      </c>
      <c r="C29" s="65">
        <v>33210080</v>
      </c>
      <c r="D29" s="65">
        <v>31489520</v>
      </c>
      <c r="E29" s="65">
        <v>27598880</v>
      </c>
      <c r="F29" s="65">
        <v>28019770</v>
      </c>
      <c r="G29" s="65"/>
      <c r="H29" s="65"/>
      <c r="I29" s="65"/>
      <c r="J29" s="65"/>
      <c r="K29" s="65"/>
      <c r="L29" s="65"/>
      <c r="M29" s="65"/>
      <c r="N29" s="65">
        <f t="shared" si="3"/>
        <v>155948620</v>
      </c>
      <c r="O29"/>
    </row>
    <row r="30" spans="1:15" x14ac:dyDescent="0.35">
      <c r="A30" s="74" t="s">
        <v>153</v>
      </c>
      <c r="B30" s="65">
        <v>18026000</v>
      </c>
      <c r="C30" s="65">
        <v>10086000</v>
      </c>
      <c r="D30" s="65">
        <v>11177250</v>
      </c>
      <c r="E30" s="65">
        <v>11248000</v>
      </c>
      <c r="F30" s="65">
        <v>12968250</v>
      </c>
      <c r="G30" s="65"/>
      <c r="H30" s="65"/>
      <c r="I30" s="65"/>
      <c r="J30" s="65"/>
      <c r="K30" s="65"/>
      <c r="L30" s="65"/>
      <c r="M30" s="65"/>
      <c r="N30" s="65">
        <f t="shared" si="3"/>
        <v>63505500</v>
      </c>
      <c r="O30" s="78"/>
    </row>
    <row r="31" spans="1:15" x14ac:dyDescent="0.35">
      <c r="A31" s="74"/>
      <c r="B31" s="65"/>
      <c r="C31" s="65"/>
      <c r="D31" s="65"/>
      <c r="E31" s="65"/>
      <c r="F31" s="65"/>
      <c r="G31" s="65"/>
      <c r="H31" s="65"/>
      <c r="I31" s="65"/>
      <c r="J31" s="65"/>
      <c r="K31" s="65"/>
      <c r="L31" s="65"/>
      <c r="M31" s="65"/>
      <c r="N31" s="64">
        <f t="shared" si="3"/>
        <v>0</v>
      </c>
      <c r="O31" s="78"/>
    </row>
    <row r="32" spans="1:15" ht="13.5" thickBot="1" x14ac:dyDescent="0.4">
      <c r="A32" s="75" t="s">
        <v>7</v>
      </c>
      <c r="B32" s="66">
        <f>B15+B20+B26</f>
        <v>487666870</v>
      </c>
      <c r="C32" s="66">
        <f t="shared" ref="C32:M32" si="8">C15+C20+C26</f>
        <v>434754085</v>
      </c>
      <c r="D32" s="66">
        <f t="shared" si="8"/>
        <v>480761130</v>
      </c>
      <c r="E32" s="66">
        <f t="shared" si="8"/>
        <v>449482960</v>
      </c>
      <c r="F32" s="66">
        <f t="shared" si="8"/>
        <v>460680550</v>
      </c>
      <c r="G32" s="66">
        <f t="shared" si="8"/>
        <v>0</v>
      </c>
      <c r="H32" s="66">
        <f t="shared" si="8"/>
        <v>0</v>
      </c>
      <c r="I32" s="66">
        <f t="shared" si="8"/>
        <v>0</v>
      </c>
      <c r="J32" s="66">
        <f t="shared" si="8"/>
        <v>0</v>
      </c>
      <c r="K32" s="66">
        <f t="shared" si="8"/>
        <v>0</v>
      </c>
      <c r="L32" s="66">
        <f t="shared" si="8"/>
        <v>0</v>
      </c>
      <c r="M32" s="66">
        <f t="shared" si="8"/>
        <v>0</v>
      </c>
      <c r="N32" s="66">
        <f>SUM(B32:M32)</f>
        <v>2313345595</v>
      </c>
      <c r="O32" s="67" t="s">
        <v>156</v>
      </c>
    </row>
    <row r="33" spans="1:15" ht="13.5" thickTop="1" x14ac:dyDescent="0.35">
      <c r="B33" s="131"/>
      <c r="C33" s="65"/>
      <c r="D33" s="65"/>
      <c r="E33" s="65"/>
      <c r="F33" s="65"/>
      <c r="G33" s="65"/>
      <c r="H33" s="65"/>
      <c r="I33" s="65"/>
      <c r="J33" s="65"/>
      <c r="K33" s="65"/>
      <c r="L33" s="65"/>
      <c r="M33" s="65"/>
      <c r="N33" s="64"/>
    </row>
    <row r="34" spans="1:15" ht="26" x14ac:dyDescent="0.35">
      <c r="A34" s="67" t="s">
        <v>36</v>
      </c>
      <c r="B34" s="64">
        <f>SUM(B35:B38)</f>
        <v>53251</v>
      </c>
      <c r="C34" s="64">
        <f t="shared" ref="C34:M34" si="9">SUM(C35:C38)</f>
        <v>50316</v>
      </c>
      <c r="D34" s="64">
        <f t="shared" si="9"/>
        <v>51954</v>
      </c>
      <c r="E34" s="64">
        <f t="shared" si="9"/>
        <v>49823</v>
      </c>
      <c r="F34" s="64">
        <f t="shared" si="9"/>
        <v>49375</v>
      </c>
      <c r="G34" s="64">
        <f t="shared" si="9"/>
        <v>0</v>
      </c>
      <c r="H34" s="64">
        <f t="shared" si="9"/>
        <v>0</v>
      </c>
      <c r="I34" s="64">
        <f t="shared" si="9"/>
        <v>0</v>
      </c>
      <c r="J34" s="64">
        <f t="shared" si="9"/>
        <v>0</v>
      </c>
      <c r="K34" s="64">
        <f t="shared" si="9"/>
        <v>0</v>
      </c>
      <c r="L34" s="64">
        <f t="shared" si="9"/>
        <v>0</v>
      </c>
      <c r="M34" s="64">
        <f t="shared" si="9"/>
        <v>0</v>
      </c>
      <c r="N34" s="64"/>
      <c r="O34"/>
    </row>
    <row r="35" spans="1:15" x14ac:dyDescent="0.35">
      <c r="A35" s="74" t="s">
        <v>2</v>
      </c>
      <c r="B35" s="65">
        <v>42179</v>
      </c>
      <c r="C35" s="65">
        <v>39772</v>
      </c>
      <c r="D35" s="65">
        <v>41257</v>
      </c>
      <c r="E35" s="65">
        <v>39643</v>
      </c>
      <c r="F35" s="65">
        <v>38855</v>
      </c>
      <c r="G35" s="65"/>
      <c r="H35" s="65"/>
      <c r="I35" s="65"/>
      <c r="J35" s="65"/>
      <c r="K35" s="65"/>
      <c r="L35" s="65"/>
      <c r="M35" s="65"/>
      <c r="N35" s="64"/>
    </row>
    <row r="36" spans="1:15" x14ac:dyDescent="0.35">
      <c r="A36" s="74" t="s">
        <v>3</v>
      </c>
      <c r="B36" s="65">
        <v>7119</v>
      </c>
      <c r="C36" s="65">
        <v>6846</v>
      </c>
      <c r="D36" s="65">
        <v>7407</v>
      </c>
      <c r="E36" s="65">
        <v>6977</v>
      </c>
      <c r="F36" s="65">
        <v>7202</v>
      </c>
      <c r="G36" s="65"/>
      <c r="H36" s="65"/>
      <c r="I36" s="65"/>
      <c r="J36" s="65"/>
      <c r="K36" s="65"/>
      <c r="L36" s="65"/>
      <c r="M36" s="65"/>
      <c r="N36" s="65"/>
    </row>
    <row r="37" spans="1:15" x14ac:dyDescent="0.35">
      <c r="A37" s="74" t="s">
        <v>6</v>
      </c>
      <c r="B37" s="65">
        <v>3203</v>
      </c>
      <c r="C37" s="65">
        <v>3015</v>
      </c>
      <c r="D37" s="65">
        <v>2503</v>
      </c>
      <c r="E37" s="65">
        <v>2375</v>
      </c>
      <c r="F37" s="65">
        <v>2376</v>
      </c>
      <c r="G37" s="65"/>
      <c r="H37" s="65"/>
      <c r="I37" s="65"/>
      <c r="J37" s="65"/>
      <c r="K37" s="65"/>
      <c r="L37" s="65"/>
      <c r="M37" s="65"/>
      <c r="N37" s="65"/>
    </row>
    <row r="38" spans="1:15" x14ac:dyDescent="0.35">
      <c r="A38" s="74" t="s">
        <v>153</v>
      </c>
      <c r="B38" s="65">
        <v>750</v>
      </c>
      <c r="C38" s="65">
        <v>683</v>
      </c>
      <c r="D38" s="65">
        <v>787</v>
      </c>
      <c r="E38" s="65">
        <v>828</v>
      </c>
      <c r="F38" s="65">
        <v>942</v>
      </c>
      <c r="G38" s="65"/>
      <c r="H38" s="65"/>
      <c r="I38" s="65"/>
      <c r="J38" s="65"/>
      <c r="K38" s="65"/>
      <c r="L38" s="65"/>
      <c r="M38" s="65"/>
      <c r="N38" s="64"/>
    </row>
    <row r="39" spans="1:15" x14ac:dyDescent="0.35">
      <c r="B39" s="65"/>
      <c r="C39" s="65"/>
      <c r="D39" s="65"/>
      <c r="E39" s="65"/>
      <c r="F39" s="65"/>
      <c r="G39" s="65"/>
      <c r="H39" s="65"/>
      <c r="I39" s="65"/>
      <c r="J39" s="65"/>
      <c r="K39" s="65"/>
      <c r="L39" s="65"/>
      <c r="M39" s="65"/>
      <c r="N39" s="64"/>
    </row>
    <row r="40" spans="1:15" x14ac:dyDescent="0.35">
      <c r="A40" s="67" t="s">
        <v>13</v>
      </c>
      <c r="B40" s="64">
        <f>IFERROR(B26/B34,0)</f>
        <v>8489.4043304351089</v>
      </c>
      <c r="C40" s="64">
        <f t="shared" ref="C40:N44" si="10">IFERROR(C26/C34,0)</f>
        <v>8116.3434096510055</v>
      </c>
      <c r="D40" s="64">
        <f t="shared" si="10"/>
        <v>8541.3390691765799</v>
      </c>
      <c r="E40" s="64">
        <f t="shared" si="10"/>
        <v>8216.8227525440052</v>
      </c>
      <c r="F40" s="64">
        <f t="shared" si="10"/>
        <v>8445.1959493670893</v>
      </c>
      <c r="G40" s="64">
        <f t="shared" si="10"/>
        <v>0</v>
      </c>
      <c r="H40" s="64">
        <f t="shared" si="10"/>
        <v>0</v>
      </c>
      <c r="I40" s="64">
        <f t="shared" si="10"/>
        <v>0</v>
      </c>
      <c r="J40" s="64">
        <f t="shared" si="10"/>
        <v>0</v>
      </c>
      <c r="K40" s="64">
        <f t="shared" si="10"/>
        <v>0</v>
      </c>
      <c r="L40" s="64">
        <f t="shared" si="10"/>
        <v>0</v>
      </c>
      <c r="M40" s="64">
        <f t="shared" si="10"/>
        <v>0</v>
      </c>
      <c r="N40" s="64">
        <f t="shared" si="10"/>
        <v>0</v>
      </c>
    </row>
    <row r="41" spans="1:15" x14ac:dyDescent="0.35">
      <c r="A41" s="74" t="s">
        <v>10</v>
      </c>
      <c r="B41" s="65">
        <f>IFERROR(B27/B35,0)</f>
        <v>7495.9297280637284</v>
      </c>
      <c r="C41" s="65">
        <f t="shared" si="10"/>
        <v>7252.1296389419695</v>
      </c>
      <c r="D41" s="65">
        <f t="shared" si="10"/>
        <v>7622.3353612720266</v>
      </c>
      <c r="E41" s="65">
        <f t="shared" si="10"/>
        <v>7350.0746663975988</v>
      </c>
      <c r="F41" s="65">
        <f t="shared" si="10"/>
        <v>7540.9216317076307</v>
      </c>
      <c r="G41" s="65">
        <f t="shared" si="10"/>
        <v>0</v>
      </c>
      <c r="H41" s="65">
        <f t="shared" si="10"/>
        <v>0</v>
      </c>
      <c r="I41" s="65">
        <f t="shared" si="10"/>
        <v>0</v>
      </c>
      <c r="J41" s="65">
        <f t="shared" si="10"/>
        <v>0</v>
      </c>
      <c r="K41" s="65">
        <f t="shared" si="10"/>
        <v>0</v>
      </c>
      <c r="L41" s="65">
        <f t="shared" si="10"/>
        <v>0</v>
      </c>
      <c r="M41" s="65">
        <f t="shared" si="10"/>
        <v>0</v>
      </c>
      <c r="N41" s="65">
        <f t="shared" si="10"/>
        <v>0</v>
      </c>
    </row>
    <row r="42" spans="1:15" x14ac:dyDescent="0.35">
      <c r="A42" s="74" t="s">
        <v>8</v>
      </c>
      <c r="B42" s="65">
        <f>IFERROR(B28/B36,0)</f>
        <v>11552.476471414524</v>
      </c>
      <c r="C42" s="65">
        <f t="shared" si="10"/>
        <v>11196.925942156004</v>
      </c>
      <c r="D42" s="65">
        <f t="shared" si="10"/>
        <v>11693.704603753207</v>
      </c>
      <c r="E42" s="65">
        <f t="shared" si="10"/>
        <v>11345.975347570589</v>
      </c>
      <c r="F42" s="65">
        <f t="shared" si="10"/>
        <v>11523.329630658151</v>
      </c>
      <c r="G42" s="65">
        <f t="shared" si="10"/>
        <v>0</v>
      </c>
      <c r="H42" s="65">
        <f t="shared" si="10"/>
        <v>0</v>
      </c>
      <c r="I42" s="65">
        <f t="shared" si="10"/>
        <v>0</v>
      </c>
      <c r="J42" s="65">
        <f t="shared" si="10"/>
        <v>0</v>
      </c>
      <c r="K42" s="65">
        <f t="shared" si="10"/>
        <v>0</v>
      </c>
      <c r="L42" s="65">
        <f t="shared" si="10"/>
        <v>0</v>
      </c>
      <c r="M42" s="65">
        <f t="shared" si="10"/>
        <v>0</v>
      </c>
      <c r="N42" s="65">
        <f t="shared" si="10"/>
        <v>0</v>
      </c>
    </row>
    <row r="43" spans="1:15" x14ac:dyDescent="0.35">
      <c r="A43" s="74" t="s">
        <v>6</v>
      </c>
      <c r="B43" s="65">
        <f>IFERROR(B29/B37,0)</f>
        <v>11124.061817046519</v>
      </c>
      <c r="C43" s="65">
        <f t="shared" si="10"/>
        <v>11014.951907131011</v>
      </c>
      <c r="D43" s="65">
        <f t="shared" si="10"/>
        <v>12580.711146624051</v>
      </c>
      <c r="E43" s="65">
        <f t="shared" si="10"/>
        <v>11620.581052631578</v>
      </c>
      <c r="F43" s="65">
        <f t="shared" si="10"/>
        <v>11792.832491582492</v>
      </c>
      <c r="G43" s="65">
        <f t="shared" si="10"/>
        <v>0</v>
      </c>
      <c r="H43" s="65">
        <f t="shared" si="10"/>
        <v>0</v>
      </c>
      <c r="I43" s="65">
        <f t="shared" si="10"/>
        <v>0</v>
      </c>
      <c r="J43" s="65">
        <f t="shared" si="10"/>
        <v>0</v>
      </c>
      <c r="K43" s="65">
        <f t="shared" si="10"/>
        <v>0</v>
      </c>
      <c r="L43" s="65">
        <f t="shared" si="10"/>
        <v>0</v>
      </c>
      <c r="M43" s="65">
        <f t="shared" si="10"/>
        <v>0</v>
      </c>
      <c r="N43" s="65">
        <f t="shared" si="10"/>
        <v>0</v>
      </c>
    </row>
    <row r="44" spans="1:15" x14ac:dyDescent="0.35">
      <c r="A44" s="74" t="s">
        <v>153</v>
      </c>
      <c r="B44" s="65">
        <f>IFERROR(B30/B38,0)</f>
        <v>24034.666666666668</v>
      </c>
      <c r="C44" s="65">
        <f>IFERROR(C30/C38,0)</f>
        <v>14767.203513909224</v>
      </c>
      <c r="D44" s="65">
        <f t="shared" si="10"/>
        <v>14202.350698856417</v>
      </c>
      <c r="E44" s="65">
        <f t="shared" si="10"/>
        <v>13584.541062801933</v>
      </c>
      <c r="F44" s="65">
        <f t="shared" si="10"/>
        <v>13766.71974522293</v>
      </c>
      <c r="G44" s="65">
        <f t="shared" si="10"/>
        <v>0</v>
      </c>
      <c r="H44" s="65">
        <f t="shared" si="10"/>
        <v>0</v>
      </c>
      <c r="I44" s="65">
        <f t="shared" si="10"/>
        <v>0</v>
      </c>
      <c r="J44" s="65">
        <f t="shared" si="10"/>
        <v>0</v>
      </c>
      <c r="K44" s="65">
        <f t="shared" si="10"/>
        <v>0</v>
      </c>
      <c r="L44" s="65">
        <f t="shared" si="10"/>
        <v>0</v>
      </c>
      <c r="M44" s="65">
        <f t="shared" si="10"/>
        <v>0</v>
      </c>
      <c r="N44" s="65">
        <f t="shared" si="10"/>
        <v>0</v>
      </c>
    </row>
    <row r="46" spans="1:15" x14ac:dyDescent="0.35">
      <c r="A46" s="76" t="s">
        <v>65</v>
      </c>
      <c r="B46" s="127">
        <v>69750</v>
      </c>
      <c r="C46" s="127">
        <f>B47</f>
        <v>67375</v>
      </c>
      <c r="D46" s="127">
        <f>C47</f>
        <v>65398</v>
      </c>
      <c r="E46" s="127">
        <f>D47</f>
        <v>63144</v>
      </c>
      <c r="F46" s="127">
        <f t="shared" ref="F46:J46" si="11">E47</f>
        <v>61606</v>
      </c>
      <c r="G46" s="127">
        <f t="shared" si="11"/>
        <v>59896</v>
      </c>
      <c r="H46" s="127">
        <f t="shared" si="11"/>
        <v>0</v>
      </c>
      <c r="I46" s="127">
        <f t="shared" si="11"/>
        <v>0</v>
      </c>
      <c r="J46" s="127">
        <f t="shared" si="11"/>
        <v>0</v>
      </c>
      <c r="K46" s="127">
        <f>J47</f>
        <v>0</v>
      </c>
      <c r="L46" s="127">
        <f>K47</f>
        <v>0</v>
      </c>
      <c r="M46" s="127">
        <f>L47</f>
        <v>0</v>
      </c>
      <c r="N46" s="68"/>
    </row>
    <row r="47" spans="1:15" x14ac:dyDescent="0.35">
      <c r="A47" s="67" t="s">
        <v>145</v>
      </c>
      <c r="B47" s="127">
        <v>67375</v>
      </c>
      <c r="C47" s="127">
        <v>65398</v>
      </c>
      <c r="D47" s="127">
        <v>63144</v>
      </c>
      <c r="E47" s="127">
        <v>61606</v>
      </c>
      <c r="F47" s="127">
        <v>59896</v>
      </c>
      <c r="G47" s="127"/>
      <c r="H47" s="127"/>
      <c r="I47" s="127"/>
      <c r="J47" s="68"/>
      <c r="K47" s="68"/>
      <c r="L47" s="68"/>
      <c r="M47" s="68"/>
      <c r="N47" s="68"/>
    </row>
    <row r="48" spans="1:15" x14ac:dyDescent="0.35">
      <c r="A48" s="76" t="s">
        <v>146</v>
      </c>
      <c r="B48" s="129">
        <f t="shared" ref="B48:N48" si="12">IFERROR(B26/B46,0)</f>
        <v>6481.2798566308247</v>
      </c>
      <c r="C48" s="129">
        <f t="shared" si="12"/>
        <v>6061.3274211502785</v>
      </c>
      <c r="D48" s="129">
        <f t="shared" si="12"/>
        <v>6785.4786079084988</v>
      </c>
      <c r="E48" s="129">
        <f t="shared" si="12"/>
        <v>6483.3833776764222</v>
      </c>
      <c r="F48" s="129">
        <f t="shared" si="12"/>
        <v>6768.5217348959513</v>
      </c>
      <c r="G48" s="129">
        <f t="shared" si="12"/>
        <v>0</v>
      </c>
      <c r="H48" s="129">
        <f t="shared" si="12"/>
        <v>0</v>
      </c>
      <c r="I48" s="129">
        <f t="shared" si="12"/>
        <v>0</v>
      </c>
      <c r="J48" s="129">
        <f t="shared" si="12"/>
        <v>0</v>
      </c>
      <c r="K48" s="129">
        <f t="shared" si="12"/>
        <v>0</v>
      </c>
      <c r="L48" s="129">
        <f t="shared" si="12"/>
        <v>0</v>
      </c>
      <c r="M48" s="129">
        <f t="shared" si="12"/>
        <v>0</v>
      </c>
      <c r="N48" s="129">
        <f t="shared" si="12"/>
        <v>0</v>
      </c>
    </row>
    <row r="49" spans="1:15" x14ac:dyDescent="0.35">
      <c r="A49" s="76" t="s">
        <v>147</v>
      </c>
      <c r="B49" s="129">
        <f t="shared" ref="B49:N49" si="13">IFERROR(B32/B46,0)</f>
        <v>6991.6397132616485</v>
      </c>
      <c r="C49" s="129">
        <f t="shared" si="13"/>
        <v>6452.750797773655</v>
      </c>
      <c r="D49" s="129">
        <f t="shared" si="13"/>
        <v>7351.3124254564364</v>
      </c>
      <c r="E49" s="129">
        <f t="shared" si="13"/>
        <v>7118.3795768402379</v>
      </c>
      <c r="F49" s="129">
        <f t="shared" si="13"/>
        <v>7477.8519949355587</v>
      </c>
      <c r="G49" s="129">
        <f t="shared" si="13"/>
        <v>0</v>
      </c>
      <c r="H49" s="129">
        <f t="shared" si="13"/>
        <v>0</v>
      </c>
      <c r="I49" s="129">
        <f t="shared" si="13"/>
        <v>0</v>
      </c>
      <c r="J49" s="129">
        <f t="shared" si="13"/>
        <v>0</v>
      </c>
      <c r="K49" s="129">
        <f t="shared" si="13"/>
        <v>0</v>
      </c>
      <c r="L49" s="129">
        <f t="shared" si="13"/>
        <v>0</v>
      </c>
      <c r="M49" s="129">
        <f t="shared" si="13"/>
        <v>0</v>
      </c>
      <c r="N49" s="129">
        <f t="shared" si="13"/>
        <v>0</v>
      </c>
    </row>
    <row r="50" spans="1:15" x14ac:dyDescent="0.35">
      <c r="A50" s="77"/>
      <c r="B50" s="130"/>
      <c r="C50" s="130"/>
      <c r="D50" s="130"/>
      <c r="E50" s="130"/>
      <c r="F50" s="130"/>
      <c r="G50" s="130"/>
      <c r="H50" s="130"/>
      <c r="I50" s="130"/>
      <c r="J50" s="130"/>
      <c r="K50" s="130"/>
      <c r="L50" s="130"/>
      <c r="M50" s="130"/>
      <c r="N50" s="130"/>
      <c r="O50" s="77"/>
    </row>
    <row r="52" spans="1:15" x14ac:dyDescent="0.35">
      <c r="A52" s="76" t="s">
        <v>66</v>
      </c>
      <c r="B52" s="63">
        <f t="shared" ref="B52:M52" si="14">DAY(EOMONTH(B1,0))</f>
        <v>31</v>
      </c>
      <c r="C52" s="63">
        <f t="shared" si="14"/>
        <v>28</v>
      </c>
      <c r="D52" s="63">
        <f t="shared" si="14"/>
        <v>31</v>
      </c>
      <c r="E52" s="63">
        <f t="shared" si="14"/>
        <v>30</v>
      </c>
      <c r="F52" s="63">
        <f t="shared" si="14"/>
        <v>31</v>
      </c>
      <c r="G52" s="63">
        <f t="shared" si="14"/>
        <v>30</v>
      </c>
      <c r="H52" s="63">
        <f t="shared" si="14"/>
        <v>31</v>
      </c>
      <c r="I52" s="63">
        <f t="shared" si="14"/>
        <v>31</v>
      </c>
      <c r="J52" s="63">
        <f t="shared" si="14"/>
        <v>30</v>
      </c>
      <c r="K52" s="63">
        <f t="shared" si="14"/>
        <v>31</v>
      </c>
      <c r="L52" s="63">
        <f t="shared" si="14"/>
        <v>30</v>
      </c>
      <c r="M52" s="63">
        <f t="shared" si="14"/>
        <v>31</v>
      </c>
      <c r="N52" s="133">
        <f>AVERAGE(B52:M52)</f>
        <v>30.416666666666668</v>
      </c>
    </row>
    <row r="53" spans="1:15" x14ac:dyDescent="0.35">
      <c r="A53" s="76" t="s">
        <v>67</v>
      </c>
      <c r="B53" s="68">
        <f t="shared" ref="B53:N53" si="15">B26/B52</f>
        <v>14582879.677419355</v>
      </c>
      <c r="C53" s="68">
        <f t="shared" si="15"/>
        <v>14585069.107142856</v>
      </c>
      <c r="D53" s="68">
        <f t="shared" si="15"/>
        <v>14314733.225806452</v>
      </c>
      <c r="E53" s="68">
        <f t="shared" si="15"/>
        <v>13646225.333333334</v>
      </c>
      <c r="F53" s="68">
        <f t="shared" si="15"/>
        <v>13451017.741935484</v>
      </c>
      <c r="G53" s="68">
        <f t="shared" si="15"/>
        <v>0</v>
      </c>
      <c r="H53" s="68">
        <f t="shared" si="15"/>
        <v>0</v>
      </c>
      <c r="I53" s="68">
        <f t="shared" si="15"/>
        <v>0</v>
      </c>
      <c r="J53" s="68">
        <f t="shared" si="15"/>
        <v>0</v>
      </c>
      <c r="K53" s="68">
        <f t="shared" si="15"/>
        <v>0</v>
      </c>
      <c r="L53" s="68">
        <f t="shared" si="15"/>
        <v>0</v>
      </c>
      <c r="M53" s="68">
        <f t="shared" si="15"/>
        <v>0</v>
      </c>
      <c r="N53" s="68">
        <f t="shared" si="15"/>
        <v>70046342.301369861</v>
      </c>
      <c r="O53" s="76" t="s">
        <v>113</v>
      </c>
    </row>
    <row r="54" spans="1:15" ht="26" x14ac:dyDescent="0.35">
      <c r="A54" s="76" t="s">
        <v>69</v>
      </c>
      <c r="B54" s="68">
        <f t="shared" ref="B54:N54" si="16">IFERROR(B53/B46,0)</f>
        <v>209.07354376228466</v>
      </c>
      <c r="C54" s="68">
        <f t="shared" si="16"/>
        <v>216.47597932679565</v>
      </c>
      <c r="D54" s="68">
        <f t="shared" si="16"/>
        <v>218.88640670672578</v>
      </c>
      <c r="E54" s="68">
        <f t="shared" si="16"/>
        <v>216.11277925588075</v>
      </c>
      <c r="F54" s="68">
        <f t="shared" si="16"/>
        <v>218.33941080309523</v>
      </c>
      <c r="G54" s="68">
        <f t="shared" si="16"/>
        <v>0</v>
      </c>
      <c r="H54" s="68">
        <f t="shared" si="16"/>
        <v>0</v>
      </c>
      <c r="I54" s="68">
        <f t="shared" si="16"/>
        <v>0</v>
      </c>
      <c r="J54" s="68">
        <f t="shared" si="16"/>
        <v>0</v>
      </c>
      <c r="K54" s="68">
        <f t="shared" si="16"/>
        <v>0</v>
      </c>
      <c r="L54" s="68">
        <f t="shared" si="16"/>
        <v>0</v>
      </c>
      <c r="M54" s="68">
        <f t="shared" si="16"/>
        <v>0</v>
      </c>
      <c r="N54" s="68">
        <f t="shared" si="16"/>
        <v>0</v>
      </c>
      <c r="O54" s="76" t="s">
        <v>114</v>
      </c>
    </row>
    <row r="55" spans="1:15" ht="26" x14ac:dyDescent="0.35">
      <c r="A55" s="76" t="s">
        <v>72</v>
      </c>
      <c r="B55" s="68">
        <f t="shared" ref="B55:N55" si="17">IFERROR(B26/B46,0)</f>
        <v>6481.2798566308247</v>
      </c>
      <c r="C55" s="68">
        <f t="shared" si="17"/>
        <v>6061.3274211502785</v>
      </c>
      <c r="D55" s="68">
        <f t="shared" si="17"/>
        <v>6785.4786079084988</v>
      </c>
      <c r="E55" s="68">
        <f t="shared" si="17"/>
        <v>6483.3833776764222</v>
      </c>
      <c r="F55" s="68">
        <f t="shared" si="17"/>
        <v>6768.5217348959513</v>
      </c>
      <c r="G55" s="68">
        <f t="shared" si="17"/>
        <v>0</v>
      </c>
      <c r="H55" s="68">
        <f t="shared" si="17"/>
        <v>0</v>
      </c>
      <c r="I55" s="68">
        <f t="shared" si="17"/>
        <v>0</v>
      </c>
      <c r="J55" s="68">
        <f t="shared" si="17"/>
        <v>0</v>
      </c>
      <c r="K55" s="68">
        <f t="shared" si="17"/>
        <v>0</v>
      </c>
      <c r="L55" s="68">
        <f t="shared" si="17"/>
        <v>0</v>
      </c>
      <c r="M55" s="68">
        <f t="shared" si="17"/>
        <v>0</v>
      </c>
      <c r="N55" s="68">
        <f t="shared" si="17"/>
        <v>0</v>
      </c>
      <c r="O55" s="76" t="s">
        <v>115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2B38E-5186-4301-9436-371A4BACCA59}">
  <sheetPr codeName="Sheet2"/>
  <dimension ref="A1:W66"/>
  <sheetViews>
    <sheetView showGridLines="0" tabSelected="1" topLeftCell="R1" zoomScale="80" zoomScaleNormal="80" workbookViewId="0">
      <selection activeCell="AI20" sqref="AI20"/>
    </sheetView>
  </sheetViews>
  <sheetFormatPr defaultColWidth="8.7265625" defaultRowHeight="13" x14ac:dyDescent="0.3"/>
  <cols>
    <col min="1" max="1" width="19.453125" style="111" customWidth="1"/>
    <col min="2" max="2" width="9" style="111" bestFit="1" customWidth="1"/>
    <col min="3" max="4" width="8.7265625" style="111"/>
    <col min="5" max="5" width="7.453125" style="111" bestFit="1" customWidth="1"/>
    <col min="6" max="10" width="8.7265625" style="111"/>
    <col min="11" max="11" width="10.453125" style="111" bestFit="1" customWidth="1"/>
    <col min="12" max="16384" width="8.7265625" style="111"/>
  </cols>
  <sheetData>
    <row r="1" spans="1:23" x14ac:dyDescent="0.3">
      <c r="A1" s="113" t="s">
        <v>85</v>
      </c>
    </row>
    <row r="3" spans="1:23" ht="14.5" x14ac:dyDescent="0.35">
      <c r="A3" s="112" t="s">
        <v>70</v>
      </c>
      <c r="U3"/>
      <c r="V3"/>
      <c r="W3"/>
    </row>
    <row r="4" spans="1:23" ht="14.5" x14ac:dyDescent="0.35">
      <c r="U4"/>
      <c r="V4"/>
      <c r="W4"/>
    </row>
    <row r="5" spans="1:23" ht="14.5" x14ac:dyDescent="0.35">
      <c r="A5" s="140"/>
      <c r="B5" s="134" t="s">
        <v>73</v>
      </c>
      <c r="C5" s="134" t="s">
        <v>74</v>
      </c>
      <c r="D5" s="134" t="s">
        <v>75</v>
      </c>
      <c r="E5" s="134" t="s">
        <v>76</v>
      </c>
      <c r="F5" s="134" t="s">
        <v>15</v>
      </c>
      <c r="G5" s="134" t="s">
        <v>77</v>
      </c>
      <c r="H5" s="134" t="s">
        <v>78</v>
      </c>
      <c r="I5" s="134" t="s">
        <v>79</v>
      </c>
      <c r="J5" s="134" t="s">
        <v>80</v>
      </c>
      <c r="K5" s="134" t="s">
        <v>81</v>
      </c>
      <c r="L5" s="134" t="s">
        <v>82</v>
      </c>
      <c r="M5" s="134" t="s">
        <v>83</v>
      </c>
      <c r="N5" s="139" t="s">
        <v>157</v>
      </c>
      <c r="O5" s="139" t="s">
        <v>158</v>
      </c>
      <c r="P5" s="112"/>
      <c r="U5"/>
      <c r="V5"/>
      <c r="W5"/>
    </row>
    <row r="6" spans="1:23" ht="14.5" x14ac:dyDescent="0.35">
      <c r="A6" s="137">
        <v>2020</v>
      </c>
      <c r="B6" s="138">
        <f>'2020_LK'!M94</f>
        <v>146.36733332013972</v>
      </c>
      <c r="C6" s="138">
        <f>'2020_LK'!L94</f>
        <v>150.3925774751014</v>
      </c>
      <c r="D6" s="138">
        <f>'2020_LK'!K94</f>
        <v>157.45803222444729</v>
      </c>
      <c r="E6" s="138">
        <f>'2020_LK'!J94</f>
        <v>136.39116247210916</v>
      </c>
      <c r="F6" s="138">
        <f>'2020_LK'!I94</f>
        <v>128.26396583664544</v>
      </c>
      <c r="G6" s="138">
        <f>'2020_LK'!H94</f>
        <v>136.9217299288805</v>
      </c>
      <c r="H6" s="138">
        <f>'2020_LK'!G94</f>
        <v>143.43673891234437</v>
      </c>
      <c r="I6" s="138">
        <f>'2020_LK'!F94</f>
        <v>131.81769010662566</v>
      </c>
      <c r="J6" s="138">
        <f>'2020_LK'!E94</f>
        <v>124.96075928079318</v>
      </c>
      <c r="K6" s="138">
        <f>'2020_LK'!D94</f>
        <v>128.66866865813392</v>
      </c>
      <c r="L6" s="138">
        <f>'2020_LK'!C94</f>
        <v>124.92766325150467</v>
      </c>
      <c r="M6" s="138">
        <f>'2020_LK'!B94</f>
        <v>148.93709473794596</v>
      </c>
      <c r="N6" s="138">
        <f>SUM(B6:M6)</f>
        <v>1658.5434162046711</v>
      </c>
      <c r="O6" s="138">
        <f>SUM(B6:C6)</f>
        <v>296.75991079524113</v>
      </c>
      <c r="P6" s="114"/>
      <c r="Q6" s="114"/>
      <c r="U6"/>
      <c r="V6"/>
      <c r="W6"/>
    </row>
    <row r="7" spans="1:23" ht="14.5" x14ac:dyDescent="0.35">
      <c r="A7" s="137">
        <v>2021</v>
      </c>
      <c r="B7" s="138">
        <f>Revenue_NG_LK_2021!M65</f>
        <v>148.71841331908411</v>
      </c>
      <c r="C7" s="138">
        <f>Revenue_NG_LK_2021!L65</f>
        <v>163.50420386668597</v>
      </c>
      <c r="D7" s="138">
        <f>Revenue_NG_LK_2021!K65</f>
        <v>159.34164288147309</v>
      </c>
      <c r="E7" s="138">
        <f>Revenue_NG_LK_2021!J65</f>
        <v>169.17543806863372</v>
      </c>
      <c r="F7" s="138">
        <f>Revenue_NG_LK_2021!I65</f>
        <v>167.04000293968906</v>
      </c>
      <c r="G7" s="138">
        <f>Revenue_NG_LK_2021!H65</f>
        <v>166.03993347554652</v>
      </c>
      <c r="H7" s="138">
        <f>Revenue_NG_LK_2021!G65</f>
        <v>163.01309291956241</v>
      </c>
      <c r="I7" s="138">
        <f>Revenue_NG_LK_2021!F65</f>
        <v>153.50061173584109</v>
      </c>
      <c r="J7" s="138">
        <f>Revenue_NG_LK_2021!E65</f>
        <v>153.03377077865267</v>
      </c>
      <c r="K7" s="138">
        <f>Revenue_NG_LK_2021!D65</f>
        <v>157.48338715701883</v>
      </c>
      <c r="L7" s="138">
        <f>Revenue_NG_LK_2021!C65</f>
        <v>204.34596143668807</v>
      </c>
      <c r="M7" s="138">
        <f>Revenue_NG_LK_2021!B65</f>
        <v>173.4035996446492</v>
      </c>
      <c r="N7" s="138">
        <f>SUM(B7:M7)</f>
        <v>1978.6000582235247</v>
      </c>
      <c r="O7" s="138">
        <f t="shared" ref="O7:O9" si="0">SUM(B7:C7)</f>
        <v>312.2226171857701</v>
      </c>
      <c r="P7" s="114"/>
      <c r="Q7" s="114"/>
      <c r="U7"/>
      <c r="V7"/>
      <c r="W7"/>
    </row>
    <row r="8" spans="1:23" ht="14.5" x14ac:dyDescent="0.35">
      <c r="A8" s="137">
        <v>2022</v>
      </c>
      <c r="B8" s="138">
        <f>Revenue_NG_LK_2022!B54</f>
        <v>176.00072645970093</v>
      </c>
      <c r="C8" s="138">
        <f>Revenue_NG_LK_2022!C54</f>
        <v>184.413066969271</v>
      </c>
      <c r="D8" s="138">
        <f>Revenue_NG_LK_2022!D54</f>
        <v>203.38239588870056</v>
      </c>
      <c r="E8" s="138">
        <f>Revenue_NG_LK_2022!E54</f>
        <v>187.78735990605088</v>
      </c>
      <c r="F8" s="138">
        <f>Revenue_NG_LK_2022!F54</f>
        <v>191.3035557046567</v>
      </c>
      <c r="G8" s="138">
        <f>Revenue_NG_LK_2022!G54</f>
        <v>195.618219349599</v>
      </c>
      <c r="H8" s="138">
        <f>Revenue_NG_LK_2022!H54</f>
        <v>163.77291320424959</v>
      </c>
      <c r="I8" s="138">
        <f>Revenue_NG_LK_2022!I54</f>
        <v>180.11511614798357</v>
      </c>
      <c r="J8" s="138">
        <f>Revenue_NG_LK_2022!J54</f>
        <v>188.43284701114487</v>
      </c>
      <c r="K8" s="138">
        <f>Revenue_NG_LK_2022!K54</f>
        <v>190.68109387609292</v>
      </c>
      <c r="L8" s="138">
        <f>Revenue_NG_LK_2022!L54</f>
        <v>264.16025358085591</v>
      </c>
      <c r="M8" s="138">
        <f>Revenue_NG_LK_2022!M54</f>
        <v>193.53785244230519</v>
      </c>
      <c r="N8" s="138">
        <f>SUM(B8:M8)</f>
        <v>2319.2054005406112</v>
      </c>
      <c r="O8" s="138">
        <f t="shared" si="0"/>
        <v>360.41379342897193</v>
      </c>
      <c r="P8" s="114"/>
      <c r="Q8" s="114"/>
      <c r="U8"/>
      <c r="V8"/>
      <c r="W8"/>
    </row>
    <row r="9" spans="1:23" ht="14.5" x14ac:dyDescent="0.35">
      <c r="A9" s="137">
        <v>2023</v>
      </c>
      <c r="B9" s="138">
        <f>Revenue_NG_LK_2023!B54</f>
        <v>209.07354376228466</v>
      </c>
      <c r="C9" s="138">
        <f>Revenue_NG_LK_2023!C54</f>
        <v>216.47597932679565</v>
      </c>
      <c r="D9" s="138">
        <f>Revenue_NG_LK_2023!D54</f>
        <v>218.88640670672578</v>
      </c>
      <c r="E9" s="138">
        <f>Revenue_NG_LK_2023!E54</f>
        <v>216.11277925588075</v>
      </c>
      <c r="F9" s="138">
        <f>Revenue_NG_LK_2023!F54</f>
        <v>218.33941080309523</v>
      </c>
      <c r="G9" s="138"/>
      <c r="H9" s="138"/>
      <c r="I9" s="138"/>
      <c r="J9" s="138"/>
      <c r="K9" s="138"/>
      <c r="L9" s="138"/>
      <c r="M9" s="138"/>
      <c r="N9" s="138">
        <f>SUM(B9:M9)</f>
        <v>1078.888119854782</v>
      </c>
      <c r="O9" s="138">
        <f t="shared" si="0"/>
        <v>425.54952308908031</v>
      </c>
      <c r="P9" s="114"/>
      <c r="Q9" s="114"/>
      <c r="U9"/>
      <c r="V9"/>
      <c r="W9"/>
    </row>
    <row r="10" spans="1:23" ht="14.5" x14ac:dyDescent="0.35">
      <c r="A10" s="149" t="s">
        <v>148</v>
      </c>
      <c r="B10" s="150">
        <f>IF(B7="","",B7/B6-1)</f>
        <v>1.6062873768438735E-2</v>
      </c>
      <c r="C10" s="150">
        <f t="shared" ref="C10:O10" si="1">IF(C7="","",C7/C6-1)</f>
        <v>8.7182669595215145E-2</v>
      </c>
      <c r="D10" s="150">
        <f t="shared" si="1"/>
        <v>1.1962620327560236E-2</v>
      </c>
      <c r="E10" s="150">
        <f t="shared" si="1"/>
        <v>0.24036950050358774</v>
      </c>
      <c r="F10" s="150">
        <f t="shared" si="1"/>
        <v>0.30231434721446271</v>
      </c>
      <c r="G10" s="150">
        <f t="shared" si="1"/>
        <v>0.21266312923296038</v>
      </c>
      <c r="H10" s="150">
        <f t="shared" si="1"/>
        <v>0.1364807521117819</v>
      </c>
      <c r="I10" s="150">
        <f t="shared" si="1"/>
        <v>0.1644917431922559</v>
      </c>
      <c r="J10" s="150">
        <f t="shared" si="1"/>
        <v>0.22465461685278343</v>
      </c>
      <c r="K10" s="150">
        <f t="shared" si="1"/>
        <v>0.22394510489141783</v>
      </c>
      <c r="L10" s="150">
        <f t="shared" si="1"/>
        <v>0.63571426950729326</v>
      </c>
      <c r="M10" s="150">
        <f t="shared" si="1"/>
        <v>0.16427408463789317</v>
      </c>
      <c r="N10" s="151">
        <f t="shared" si="1"/>
        <v>0.19297453349231919</v>
      </c>
      <c r="O10" s="151">
        <f t="shared" si="1"/>
        <v>5.2105105265373819E-2</v>
      </c>
      <c r="P10" s="114"/>
      <c r="Q10" s="114"/>
      <c r="U10"/>
      <c r="V10"/>
      <c r="W10"/>
    </row>
    <row r="11" spans="1:23" ht="14.5" x14ac:dyDescent="0.35">
      <c r="A11" s="149" t="s">
        <v>149</v>
      </c>
      <c r="B11" s="150">
        <f>IF(B8="","-",B8/B7-1)</f>
        <v>0.18344946353133151</v>
      </c>
      <c r="C11" s="150">
        <f t="shared" ref="C11:O12" si="2">IF(C8="","-",C8/C7-1)</f>
        <v>0.12787966674932205</v>
      </c>
      <c r="D11" s="150">
        <f t="shared" si="2"/>
        <v>0.27639198523883279</v>
      </c>
      <c r="E11" s="150">
        <f t="shared" si="2"/>
        <v>0.11001550845617669</v>
      </c>
      <c r="F11" s="150">
        <f t="shared" si="2"/>
        <v>0.14525594072054804</v>
      </c>
      <c r="G11" s="150">
        <f t="shared" si="2"/>
        <v>0.17813959121110234</v>
      </c>
      <c r="H11" s="150">
        <f t="shared" si="2"/>
        <v>4.6610997379339381E-3</v>
      </c>
      <c r="I11" s="150">
        <f t="shared" si="2"/>
        <v>0.17338370258708369</v>
      </c>
      <c r="J11" s="150">
        <f t="shared" si="2"/>
        <v>0.2313154544410545</v>
      </c>
      <c r="K11" s="150">
        <f t="shared" si="2"/>
        <v>0.21080132525962436</v>
      </c>
      <c r="L11" s="150">
        <f t="shared" si="2"/>
        <v>0.29271090910548736</v>
      </c>
      <c r="M11" s="150">
        <f t="shared" si="2"/>
        <v>0.11611208094247472</v>
      </c>
      <c r="N11" s="151">
        <f t="shared" si="2"/>
        <v>0.17214461351168531</v>
      </c>
      <c r="O11" s="151">
        <f t="shared" si="2"/>
        <v>0.15434876780412243</v>
      </c>
      <c r="P11" s="114"/>
      <c r="Q11" s="114"/>
      <c r="U11"/>
      <c r="V11"/>
      <c r="W11"/>
    </row>
    <row r="12" spans="1:23" ht="14.5" x14ac:dyDescent="0.35">
      <c r="A12" s="149" t="s">
        <v>160</v>
      </c>
      <c r="B12" s="150">
        <f>IF(B9="","-",B9/B8-1)</f>
        <v>0.18791295904199834</v>
      </c>
      <c r="C12" s="150">
        <f>IF(C9=0," ",IF(C9="","-",C9/C8-1))</f>
        <v>0.17386464465051898</v>
      </c>
      <c r="D12" s="150">
        <f>IF(D9=0," ",IF(D9="","-",D9/D8-1))</f>
        <v>7.6230839696222574E-2</v>
      </c>
      <c r="E12" s="150">
        <f>IF(E9=0," ",IF(E9="","-",E9/E8-1))</f>
        <v>0.15083773137873036</v>
      </c>
      <c r="F12" s="150">
        <f>IF(F9=0," ",IF(F9="","-",F9/F8-1))</f>
        <v>0.14132437318717561</v>
      </c>
      <c r="G12" s="150"/>
      <c r="H12" s="150"/>
      <c r="I12" s="150"/>
      <c r="J12" s="150"/>
      <c r="K12" s="150"/>
      <c r="L12" s="150"/>
      <c r="M12" s="150"/>
      <c r="N12" s="151">
        <f t="shared" si="2"/>
        <v>-0.53480268733278602</v>
      </c>
      <c r="O12" s="151">
        <f t="shared" si="2"/>
        <v>0.18072485251024362</v>
      </c>
      <c r="P12" s="114"/>
      <c r="Q12" s="114"/>
      <c r="U12"/>
      <c r="V12"/>
      <c r="W12"/>
    </row>
    <row r="13" spans="1:23" ht="14.5" x14ac:dyDescent="0.35">
      <c r="A13" s="149" t="s">
        <v>159</v>
      </c>
      <c r="B13" s="150">
        <f>IF(B9="","-",B9/M8-1)</f>
        <v>8.0272107620966482E-2</v>
      </c>
      <c r="C13" s="150">
        <f>IF(C9=0," ",IF(C9="","-",C9/B9-1))</f>
        <v>3.5405893214913498E-2</v>
      </c>
      <c r="D13" s="150">
        <f>IF(D9=0," ",IF(D9="","-",D9/C9-1))</f>
        <v>1.11348491755352E-2</v>
      </c>
      <c r="E13" s="150">
        <f>IF(E9=0," ",IF(E9="","-",E9/D9-1))</f>
        <v>-1.2671538139694793E-2</v>
      </c>
      <c r="F13" s="150">
        <f>IF(F9=0," ",IF(F9="","-",F9/E9-1))</f>
        <v>1.030309986702882E-2</v>
      </c>
      <c r="G13" s="150"/>
      <c r="H13" s="150"/>
      <c r="I13" s="150"/>
      <c r="J13" s="150"/>
      <c r="K13" s="150"/>
      <c r="L13" s="150"/>
      <c r="M13" s="150"/>
      <c r="N13" s="151"/>
      <c r="O13" s="151"/>
      <c r="P13" s="114"/>
      <c r="Q13" s="114"/>
      <c r="U13"/>
      <c r="V13"/>
      <c r="W13"/>
    </row>
    <row r="14" spans="1:23" ht="14.5" x14ac:dyDescent="0.35">
      <c r="A14" s="111" t="s">
        <v>95</v>
      </c>
      <c r="P14" s="116"/>
      <c r="Q14" s="116"/>
      <c r="U14"/>
      <c r="V14"/>
      <c r="W14"/>
    </row>
    <row r="15" spans="1:23" ht="14.5" x14ac:dyDescent="0.35">
      <c r="A15" s="111" t="s">
        <v>89</v>
      </c>
      <c r="U15"/>
      <c r="V15"/>
      <c r="W15"/>
    </row>
    <row r="17" spans="1:16" x14ac:dyDescent="0.3">
      <c r="A17" s="111" t="s">
        <v>86</v>
      </c>
    </row>
    <row r="18" spans="1:16" x14ac:dyDescent="0.3">
      <c r="A18" s="140"/>
      <c r="B18" s="134" t="s">
        <v>73</v>
      </c>
      <c r="C18" s="134" t="s">
        <v>74</v>
      </c>
      <c r="D18" s="134" t="s">
        <v>75</v>
      </c>
      <c r="E18" s="134" t="s">
        <v>76</v>
      </c>
      <c r="F18" s="134" t="s">
        <v>15</v>
      </c>
      <c r="G18" s="134" t="s">
        <v>77</v>
      </c>
      <c r="H18" s="134" t="s">
        <v>78</v>
      </c>
      <c r="I18" s="134" t="s">
        <v>79</v>
      </c>
      <c r="J18" s="134" t="s">
        <v>80</v>
      </c>
      <c r="K18" s="134" t="s">
        <v>81</v>
      </c>
      <c r="L18" s="134" t="s">
        <v>82</v>
      </c>
      <c r="M18" s="134" t="s">
        <v>83</v>
      </c>
      <c r="N18" s="139" t="s">
        <v>157</v>
      </c>
      <c r="O18" s="139" t="s">
        <v>158</v>
      </c>
      <c r="P18" s="112"/>
    </row>
    <row r="19" spans="1:16" x14ac:dyDescent="0.3">
      <c r="A19" s="137">
        <v>2020</v>
      </c>
      <c r="B19" s="138">
        <f>'2020'!M2/1000000</f>
        <v>485.19171245535688</v>
      </c>
      <c r="C19" s="138">
        <f>'2020'!L2/1000000</f>
        <v>471.84356630587928</v>
      </c>
      <c r="D19" s="138">
        <f>'2020'!K2/1000000</f>
        <v>540.47207680808833</v>
      </c>
      <c r="E19" s="138">
        <f>'2020'!J2/1000000</f>
        <v>445.88227698171295</v>
      </c>
      <c r="F19" s="138">
        <f>'2020'!I2/1000000</f>
        <v>453.31794187115389</v>
      </c>
      <c r="G19" s="138">
        <f>'2020'!H2/1000000</f>
        <v>470.93514690608754</v>
      </c>
      <c r="H19" s="138">
        <f>'2020'!G2/1000000</f>
        <v>502.75084444563487</v>
      </c>
      <c r="I19" s="138">
        <f>'2020'!F2/1000000</f>
        <v>480.414149353011</v>
      </c>
      <c r="J19" s="138">
        <f>'2020'!E2/1000000</f>
        <v>488.06192260461654</v>
      </c>
      <c r="K19" s="138">
        <f>'2020'!D2/1000000</f>
        <v>531.76424606331352</v>
      </c>
      <c r="L19" s="138">
        <f>'2020'!C2/1000000</f>
        <v>538.65294491559246</v>
      </c>
      <c r="M19" s="138">
        <f>'2020'!B2/1000000</f>
        <v>694.34210916720576</v>
      </c>
      <c r="N19" s="138">
        <f>SUM(B19:M19)</f>
        <v>6103.6289378776528</v>
      </c>
      <c r="O19" s="138">
        <f>SUM(B19:C19)</f>
        <v>957.03527876123621</v>
      </c>
      <c r="P19" s="114"/>
    </row>
    <row r="20" spans="1:16" x14ac:dyDescent="0.3">
      <c r="A20" s="137">
        <v>2021</v>
      </c>
      <c r="B20" s="138">
        <f>Revenue_NG_LK_2021!M31/1000000</f>
        <v>623.80098099999998</v>
      </c>
      <c r="C20" s="138">
        <f>Revenue_NG_LK_2021!L31/1000000</f>
        <v>633.41875000000005</v>
      </c>
      <c r="D20" s="138">
        <f>Revenue_NG_LK_2021!K31/1000000</f>
        <v>684.76355000000001</v>
      </c>
      <c r="E20" s="138">
        <f>Revenue_NG_LK_2021!J31/1000000</f>
        <v>575.19055000000003</v>
      </c>
      <c r="F20" s="138">
        <f>Revenue_NG_LK_2021!I31/1000000</f>
        <v>567.75690000000009</v>
      </c>
      <c r="G20" s="138">
        <f>Revenue_NG_LK_2021!H31/1000000</f>
        <v>537.44140000000004</v>
      </c>
      <c r="H20" s="138">
        <f>Revenue_NG_LK_2021!G31/1000000</f>
        <v>540.02890000000002</v>
      </c>
      <c r="I20" s="138">
        <f>Revenue_NG_LK_2021!F31/1000000</f>
        <v>535.95737999999994</v>
      </c>
      <c r="J20" s="138">
        <f>Revenue_NG_LK_2021!E31/1000000</f>
        <v>539.49739999999997</v>
      </c>
      <c r="K20" s="138">
        <f>Revenue_NG_LK_2021!D31/1000000</f>
        <v>529.07920000000001</v>
      </c>
      <c r="L20" s="138">
        <f>Revenue_NG_LK_2021!C31/1000000</f>
        <v>642.39155000000005</v>
      </c>
      <c r="M20" s="138">
        <f>Revenue_NG_LK_2021!B31/1000000</f>
        <v>556.33816000000002</v>
      </c>
      <c r="N20" s="138">
        <f>SUM(B20:M20)</f>
        <v>6965.664721000001</v>
      </c>
      <c r="O20" s="138">
        <f t="shared" ref="O20:O22" si="3">SUM(B20:C20)</f>
        <v>1257.2197310000001</v>
      </c>
      <c r="P20" s="114"/>
    </row>
    <row r="21" spans="1:16" x14ac:dyDescent="0.3">
      <c r="A21" s="137">
        <v>2022</v>
      </c>
      <c r="B21" s="138">
        <f>Revenue_NG_LK_2022!B32/1000000</f>
        <v>546.30507999999998</v>
      </c>
      <c r="C21" s="138">
        <f>Revenue_NG_LK_2022!C32/1000000</f>
        <v>509.63846999999998</v>
      </c>
      <c r="D21" s="138">
        <f>Revenue_NG_LK_2022!D32/1000000</f>
        <v>747.98458000000005</v>
      </c>
      <c r="E21" s="138">
        <f>Revenue_NG_LK_2022!E32/1000000</f>
        <v>546.97703999999999</v>
      </c>
      <c r="F21" s="138">
        <f>Revenue_NG_LK_2022!F32/1000000</f>
        <v>620.89341999999999</v>
      </c>
      <c r="G21" s="138">
        <f>Revenue_NG_LK_2022!G32/1000000</f>
        <v>541.06626000000006</v>
      </c>
      <c r="H21" s="138">
        <f>Revenue_NG_LK_2022!H32/1000000</f>
        <v>462.93362000000002</v>
      </c>
      <c r="I21" s="138">
        <f>Revenue_NG_LK_2022!I32/1000000</f>
        <v>498.33177999999998</v>
      </c>
      <c r="J21" s="138">
        <f>Revenue_NG_LK_2022!J32/1000000</f>
        <v>479.07074999999998</v>
      </c>
      <c r="K21" s="138">
        <f>Revenue_NG_LK_2022!K32/1000000</f>
        <v>492.47467999999998</v>
      </c>
      <c r="L21" s="138">
        <f>Revenue_NG_LK_2022!L32/1000000</f>
        <v>651.89408000000003</v>
      </c>
      <c r="M21" s="138">
        <f>Revenue_NG_LK_2022!M32/1000000</f>
        <v>486.18364000000003</v>
      </c>
      <c r="N21" s="138">
        <f>SUM(B21:M21)</f>
        <v>6583.7534000000005</v>
      </c>
      <c r="O21" s="138">
        <f t="shared" si="3"/>
        <v>1055.94355</v>
      </c>
      <c r="P21" s="114"/>
    </row>
    <row r="22" spans="1:16" x14ac:dyDescent="0.3">
      <c r="A22" s="137">
        <v>2023</v>
      </c>
      <c r="B22" s="138">
        <f>Revenue_NG_LK_2023!B32/1000000</f>
        <v>487.66687000000002</v>
      </c>
      <c r="C22" s="138">
        <f>Revenue_NG_LK_2023!C32/1000000</f>
        <v>434.75408499999998</v>
      </c>
      <c r="D22" s="138">
        <f>Revenue_NG_LK_2023!D32/1000000</f>
        <v>480.76112999999998</v>
      </c>
      <c r="E22" s="138">
        <f>Revenue_NG_LK_2023!E32/1000000</f>
        <v>449.48295999999999</v>
      </c>
      <c r="F22" s="138">
        <f>Revenue_NG_LK_2023!F32/1000000</f>
        <v>460.68054999999998</v>
      </c>
      <c r="G22" s="138">
        <f>Revenue_NG_LK_2023!G32/1000000</f>
        <v>0</v>
      </c>
      <c r="H22" s="138"/>
      <c r="I22" s="138"/>
      <c r="J22" s="138"/>
      <c r="K22" s="138"/>
      <c r="L22" s="138"/>
      <c r="M22" s="138"/>
      <c r="N22" s="138">
        <f>SUM(B22:M22)</f>
        <v>2313.3455949999998</v>
      </c>
      <c r="O22" s="138">
        <f t="shared" si="3"/>
        <v>922.42095500000005</v>
      </c>
      <c r="P22" s="114"/>
    </row>
    <row r="23" spans="1:16" x14ac:dyDescent="0.3">
      <c r="A23" s="149" t="s">
        <v>148</v>
      </c>
      <c r="B23" s="150">
        <f>IF(B20="","",B20/B19-1)</f>
        <v>0.2856793819564607</v>
      </c>
      <c r="C23" s="150">
        <f t="shared" ref="C23:O23" si="4">IF(C20="","",C20/C19-1)</f>
        <v>0.3424337963514319</v>
      </c>
      <c r="D23" s="150">
        <f t="shared" si="4"/>
        <v>0.26697303965093999</v>
      </c>
      <c r="E23" s="150">
        <f t="shared" si="4"/>
        <v>0.29000541105514821</v>
      </c>
      <c r="F23" s="150">
        <f t="shared" si="4"/>
        <v>0.25244744925929496</v>
      </c>
      <c r="G23" s="150">
        <f t="shared" si="4"/>
        <v>0.14122168101242827</v>
      </c>
      <c r="H23" s="150">
        <f t="shared" si="4"/>
        <v>7.4148170940359748E-2</v>
      </c>
      <c r="I23" s="150">
        <f t="shared" si="4"/>
        <v>0.11561530966935663</v>
      </c>
      <c r="J23" s="150">
        <f t="shared" si="4"/>
        <v>0.10538719579042377</v>
      </c>
      <c r="K23" s="150">
        <f t="shared" si="4"/>
        <v>-5.0493166533686074E-3</v>
      </c>
      <c r="L23" s="150">
        <f t="shared" si="4"/>
        <v>0.19258895001616216</v>
      </c>
      <c r="M23" s="150">
        <f t="shared" si="4"/>
        <v>-0.19875497589038316</v>
      </c>
      <c r="N23" s="151">
        <f t="shared" si="4"/>
        <v>0.14123332068448025</v>
      </c>
      <c r="O23" s="151">
        <f t="shared" si="4"/>
        <v>0.31366080112252037</v>
      </c>
      <c r="P23" s="114"/>
    </row>
    <row r="24" spans="1:16" x14ac:dyDescent="0.3">
      <c r="A24" s="149" t="s">
        <v>149</v>
      </c>
      <c r="B24" s="150">
        <f>IF(B21="","-",B21/B20-1)</f>
        <v>-0.12423177160729726</v>
      </c>
      <c r="C24" s="150">
        <f t="shared" ref="C24:O25" si="5">IF(C21="","-",C21/C20-1)</f>
        <v>-0.19541619189517212</v>
      </c>
      <c r="D24" s="150">
        <f t="shared" si="5"/>
        <v>9.2325343543767868E-2</v>
      </c>
      <c r="E24" s="150">
        <f t="shared" si="5"/>
        <v>-4.9050718931317738E-2</v>
      </c>
      <c r="F24" s="150">
        <f t="shared" si="5"/>
        <v>9.3590267242898983E-2</v>
      </c>
      <c r="G24" s="150">
        <f t="shared" si="5"/>
        <v>6.7446609062866703E-3</v>
      </c>
      <c r="H24" s="150">
        <f t="shared" si="5"/>
        <v>-0.14276139665858623</v>
      </c>
      <c r="I24" s="150">
        <f t="shared" si="5"/>
        <v>-7.0202597079640827E-2</v>
      </c>
      <c r="J24" s="150">
        <f t="shared" si="5"/>
        <v>-0.11200545174082399</v>
      </c>
      <c r="K24" s="150">
        <f t="shared" si="5"/>
        <v>-6.9185331799095584E-2</v>
      </c>
      <c r="L24" s="150">
        <f t="shared" si="5"/>
        <v>1.4792426830645633E-2</v>
      </c>
      <c r="M24" s="150">
        <f t="shared" si="5"/>
        <v>-0.12610049973922333</v>
      </c>
      <c r="N24" s="151">
        <f t="shared" si="5"/>
        <v>-5.4827692158168184E-2</v>
      </c>
      <c r="O24" s="151">
        <f t="shared" si="5"/>
        <v>-0.16009626323626336</v>
      </c>
      <c r="P24" s="116"/>
    </row>
    <row r="25" spans="1:16" x14ac:dyDescent="0.3">
      <c r="A25" s="149" t="s">
        <v>160</v>
      </c>
      <c r="B25" s="150">
        <f>IF(B22="","-",B22/B21-1)</f>
        <v>-0.10733601452140984</v>
      </c>
      <c r="C25" s="150">
        <f>IF(C22=0," ",IF(C22="","-",C22/C21-1))</f>
        <v>-0.14693628799254499</v>
      </c>
      <c r="D25" s="150">
        <f>IF(D22=0," ",IF(D22="","-",D22/D21-1))</f>
        <v>-0.35725796646770458</v>
      </c>
      <c r="E25" s="150">
        <f>IF(E22=0," ",IF(E22="","-",E22/E21-1))</f>
        <v>-0.17824163149517203</v>
      </c>
      <c r="F25" s="150">
        <f>IF(F22=0," ",IF(F22="","-",F22/F21-1))</f>
        <v>-0.25803602492679023</v>
      </c>
      <c r="G25" s="150"/>
      <c r="H25" s="150"/>
      <c r="I25" s="150"/>
      <c r="J25" s="150"/>
      <c r="K25" s="150"/>
      <c r="L25" s="150"/>
      <c r="M25" s="150"/>
      <c r="N25" s="151">
        <f t="shared" si="5"/>
        <v>-0.64862815259757456</v>
      </c>
      <c r="O25" s="151">
        <f t="shared" si="5"/>
        <v>-0.1264486108182582</v>
      </c>
      <c r="P25" s="116"/>
    </row>
    <row r="26" spans="1:16" x14ac:dyDescent="0.3">
      <c r="A26" s="149" t="s">
        <v>159</v>
      </c>
      <c r="B26" s="150">
        <f>IF(B22="","-",B22/M21-1)</f>
        <v>3.0507608195124991E-3</v>
      </c>
      <c r="C26" s="150">
        <f>IF(C22=0," ",IF(C22="","-",C22/B22-1))</f>
        <v>-0.10850190622955391</v>
      </c>
      <c r="D26" s="150">
        <f>IF(D22=0," ",IF(D22="","-",D22/C22-1))</f>
        <v>0.1058231459745802</v>
      </c>
      <c r="E26" s="150">
        <f>IF(E22=0," ",IF(E22="","-",E22/D22-1))</f>
        <v>-6.5059689829749745E-2</v>
      </c>
      <c r="F26" s="150">
        <f>IF(F22=0," ",IF(F22="","-",F22/E22-1))</f>
        <v>2.491215684794823E-2</v>
      </c>
      <c r="G26" s="150"/>
      <c r="H26" s="150"/>
      <c r="I26" s="150"/>
      <c r="J26" s="150"/>
      <c r="K26" s="150"/>
      <c r="L26" s="150"/>
      <c r="M26" s="150"/>
      <c r="N26" s="151"/>
      <c r="O26" s="151"/>
      <c r="P26" s="116"/>
    </row>
    <row r="27" spans="1:16" x14ac:dyDescent="0.3">
      <c r="A27" s="111" t="s">
        <v>137</v>
      </c>
    </row>
    <row r="28" spans="1:16" x14ac:dyDescent="0.3">
      <c r="A28" s="140"/>
      <c r="B28" s="134" t="s">
        <v>73</v>
      </c>
      <c r="C28" s="134" t="s">
        <v>74</v>
      </c>
      <c r="D28" s="134" t="s">
        <v>75</v>
      </c>
      <c r="E28" s="134" t="s">
        <v>76</v>
      </c>
      <c r="F28" s="134" t="s">
        <v>15</v>
      </c>
      <c r="G28" s="134" t="s">
        <v>77</v>
      </c>
      <c r="H28" s="134" t="s">
        <v>78</v>
      </c>
      <c r="I28" s="134" t="s">
        <v>79</v>
      </c>
      <c r="J28" s="134" t="s">
        <v>80</v>
      </c>
      <c r="K28" s="134" t="s">
        <v>81</v>
      </c>
      <c r="L28" s="134" t="s">
        <v>82</v>
      </c>
      <c r="M28" s="134" t="s">
        <v>83</v>
      </c>
      <c r="N28" s="139" t="s">
        <v>157</v>
      </c>
      <c r="O28" s="139" t="s">
        <v>158</v>
      </c>
      <c r="P28" s="112"/>
    </row>
    <row r="29" spans="1:16" x14ac:dyDescent="0.3">
      <c r="A29" s="137">
        <v>2020</v>
      </c>
      <c r="B29" s="138">
        <f>'2020_LK'!M89/1000000</f>
        <v>427.75311603677545</v>
      </c>
      <c r="C29" s="138">
        <f>'2020_LK'!L89/1000000</f>
        <v>418.98514846871643</v>
      </c>
      <c r="D29" s="138">
        <f>'2020_LK'!K89/1000000</f>
        <v>476.14143755234403</v>
      </c>
      <c r="E29" s="138">
        <f>'2020_LK'!J89/1000000</f>
        <v>405.98193421448013</v>
      </c>
      <c r="F29" s="138">
        <f>'2020_LK'!I89/1000000</f>
        <v>396.89065261540964</v>
      </c>
      <c r="G29" s="138">
        <f>'2020_LK'!H89/1000000</f>
        <v>415.72312562736624</v>
      </c>
      <c r="H29" s="138">
        <f>'2020_LK'!G89/1000000</f>
        <v>448.41121600407644</v>
      </c>
      <c r="I29" s="138">
        <f>'2020_LK'!F89/1000000</f>
        <v>418.48293895840561</v>
      </c>
      <c r="J29" s="138">
        <f>'2020_LK'!E89/1000000</f>
        <v>389.84757837384728</v>
      </c>
      <c r="K29" s="138">
        <f>'2020_LK'!D89/1000000</f>
        <v>424.33691704233451</v>
      </c>
      <c r="L29" s="138">
        <f>'2020_LK'!C89/1000000</f>
        <v>402.1159131973107</v>
      </c>
      <c r="M29" s="138">
        <f>'2020_LK'!B89/1000000</f>
        <v>507.90319535601697</v>
      </c>
      <c r="N29" s="138">
        <f>SUM(B29:M29)</f>
        <v>5132.5731734470837</v>
      </c>
      <c r="O29" s="138">
        <f>SUM(B29:C29)</f>
        <v>846.73826450549188</v>
      </c>
      <c r="P29" s="114"/>
    </row>
    <row r="30" spans="1:16" x14ac:dyDescent="0.3">
      <c r="A30" s="137">
        <v>2021</v>
      </c>
      <c r="B30" s="138">
        <f>Revenue_NG_LK_2021!M61/1000000</f>
        <v>527.89444915934064</v>
      </c>
      <c r="C30" s="138">
        <f>Revenue_NG_LK_2021!L61/1000000</f>
        <v>529.39521931318677</v>
      </c>
      <c r="D30" s="138">
        <f>Revenue_NG_LK_2021!K61/1000000</f>
        <v>561.38944870879129</v>
      </c>
      <c r="E30" s="138">
        <f>Revenue_NG_LK_2021!J61/1000000</f>
        <v>564.89708876373629</v>
      </c>
      <c r="F30" s="138">
        <f>Revenue_NG_LK_2021!I61/1000000</f>
        <v>561.91672348901102</v>
      </c>
      <c r="G30" s="138">
        <f>Revenue_NG_LK_2021!H61/1000000</f>
        <v>531.75783054945055</v>
      </c>
      <c r="H30" s="138">
        <f>Revenue_NG_LK_2021!G61/1000000</f>
        <v>531.24940000000004</v>
      </c>
      <c r="I30" s="138">
        <f>Revenue_NG_LK_2021!F61/1000000</f>
        <v>514.52437999999995</v>
      </c>
      <c r="J30" s="138">
        <f>Revenue_NG_LK_2021!E61/1000000</f>
        <v>481.02339999999998</v>
      </c>
      <c r="K30" s="138">
        <f>Revenue_NG_LK_2021!D61/1000000</f>
        <v>509.74270000000001</v>
      </c>
      <c r="L30" s="138">
        <f>Revenue_NG_LK_2021!C61/1000000</f>
        <v>613.93904999999995</v>
      </c>
      <c r="M30" s="138">
        <f>Revenue_NG_LK_2021!B61/1000000</f>
        <v>529.94480999999996</v>
      </c>
      <c r="N30" s="138">
        <f>SUM(B30:M30)</f>
        <v>6457.6744999835173</v>
      </c>
      <c r="O30" s="138">
        <f t="shared" ref="O30:O32" si="6">SUM(B30:C30)</f>
        <v>1057.2896684725274</v>
      </c>
      <c r="P30" s="114"/>
    </row>
    <row r="31" spans="1:16" x14ac:dyDescent="0.3">
      <c r="A31" s="137">
        <v>2022</v>
      </c>
      <c r="B31" s="138">
        <f>Revenue_NG_LK_2022!B26/1000000</f>
        <v>530.09078</v>
      </c>
      <c r="C31" s="138">
        <f>Revenue_NG_LK_2022!C26/1000000</f>
        <v>490.13600000000002</v>
      </c>
      <c r="D31" s="138">
        <f>Revenue_NG_LK_2022!D26/1000000</f>
        <v>584.28976</v>
      </c>
      <c r="E31" s="138">
        <f>Revenue_NG_LK_2022!E26/1000000</f>
        <v>514.89603999999997</v>
      </c>
      <c r="F31" s="138">
        <f>Revenue_NG_LK_2022!F26/1000000</f>
        <v>534.88742000000002</v>
      </c>
      <c r="G31" s="138">
        <f>Revenue_NG_LK_2022!G26/1000000</f>
        <v>520.26426000000004</v>
      </c>
      <c r="H31" s="138">
        <f>Revenue_NG_LK_2022!H26/1000000</f>
        <v>441.17261999999999</v>
      </c>
      <c r="I31" s="138">
        <f>Revenue_NG_LK_2022!I26/1000000</f>
        <v>480.90717999999998</v>
      </c>
      <c r="J31" s="138">
        <f>Revenue_NG_LK_2022!J26/1000000</f>
        <v>464.95805000000001</v>
      </c>
      <c r="K31" s="138">
        <f>Revenue_NG_LK_2022!K26/1000000</f>
        <v>473.98858000000001</v>
      </c>
      <c r="L31" s="138">
        <f>Revenue_NG_LK_2022!L26/1000000</f>
        <v>610.44793000000004</v>
      </c>
      <c r="M31" s="138">
        <f>Revenue_NG_LK_2022!M26/1000000</f>
        <v>442.93788999999998</v>
      </c>
      <c r="N31" s="138">
        <f>SUM(B31:M31)</f>
        <v>6088.9765100000004</v>
      </c>
      <c r="O31" s="138">
        <f t="shared" si="6"/>
        <v>1020.22678</v>
      </c>
      <c r="P31" s="114"/>
    </row>
    <row r="32" spans="1:16" x14ac:dyDescent="0.3">
      <c r="A32" s="137">
        <v>2023</v>
      </c>
      <c r="B32" s="138">
        <f>Revenue_NG_LK_2023!B26/1000000</f>
        <v>452.06927000000002</v>
      </c>
      <c r="C32" s="138">
        <f>Revenue_NG_LK_2023!C26/1000000</f>
        <v>408.381935</v>
      </c>
      <c r="D32" s="138">
        <f>Revenue_NG_LK_2023!D26/1000000</f>
        <v>443.75673</v>
      </c>
      <c r="E32" s="138">
        <f>Revenue_NG_LK_2023!E26/1000000</f>
        <v>409.38675999999998</v>
      </c>
      <c r="F32" s="138">
        <f>Revenue_NG_LK_2023!F26/1000000</f>
        <v>416.98155000000003</v>
      </c>
      <c r="G32" s="138"/>
      <c r="H32" s="138"/>
      <c r="I32" s="138"/>
      <c r="J32" s="138"/>
      <c r="K32" s="138"/>
      <c r="L32" s="138"/>
      <c r="M32" s="138"/>
      <c r="N32" s="138">
        <f>SUM(B32:M32)</f>
        <v>2130.5762450000002</v>
      </c>
      <c r="O32" s="138">
        <f t="shared" si="6"/>
        <v>860.45120500000007</v>
      </c>
      <c r="P32" s="114"/>
    </row>
    <row r="33" spans="1:16" x14ac:dyDescent="0.3">
      <c r="A33" s="149" t="s">
        <v>148</v>
      </c>
      <c r="B33" s="150">
        <f>IF(B30="","",B30/B29-1)</f>
        <v>0.2341101195250106</v>
      </c>
      <c r="C33" s="150">
        <f t="shared" ref="C33:O33" si="7">IF(C30="","",C30/C29-1)</f>
        <v>0.26351786274045974</v>
      </c>
      <c r="D33" s="150">
        <f t="shared" si="7"/>
        <v>0.17903926109576562</v>
      </c>
      <c r="E33" s="150">
        <f t="shared" si="7"/>
        <v>0.39143405446534318</v>
      </c>
      <c r="F33" s="150">
        <f t="shared" si="7"/>
        <v>0.41579732298082872</v>
      </c>
      <c r="G33" s="150">
        <f t="shared" si="7"/>
        <v>0.27911534809851335</v>
      </c>
      <c r="H33" s="150">
        <f t="shared" si="7"/>
        <v>0.18473709184645037</v>
      </c>
      <c r="I33" s="150">
        <f t="shared" si="7"/>
        <v>0.22949905981983232</v>
      </c>
      <c r="J33" s="150">
        <f t="shared" si="7"/>
        <v>0.23387556235816587</v>
      </c>
      <c r="K33" s="150">
        <f t="shared" si="7"/>
        <v>0.20126880204755992</v>
      </c>
      <c r="L33" s="150">
        <f t="shared" si="7"/>
        <v>0.52677133595245618</v>
      </c>
      <c r="M33" s="150">
        <f t="shared" si="7"/>
        <v>4.3397275003424385E-2</v>
      </c>
      <c r="N33" s="151">
        <f t="shared" si="7"/>
        <v>0.25817485338382107</v>
      </c>
      <c r="O33" s="151">
        <f t="shared" si="7"/>
        <v>0.24866173266658831</v>
      </c>
      <c r="P33" s="114"/>
    </row>
    <row r="34" spans="1:16" x14ac:dyDescent="0.3">
      <c r="A34" s="149" t="s">
        <v>149</v>
      </c>
      <c r="B34" s="150">
        <f>IF(B31="","-",B31/B30-1)</f>
        <v>4.1605492237264396E-3</v>
      </c>
      <c r="C34" s="150">
        <f t="shared" ref="C34:O34" si="8">IF(C31="","-",C31/C30-1)</f>
        <v>-7.4158620782635465E-2</v>
      </c>
      <c r="D34" s="150">
        <f t="shared" si="8"/>
        <v>4.0792201107234805E-2</v>
      </c>
      <c r="E34" s="150">
        <f t="shared" si="8"/>
        <v>-8.8513553633569608E-2</v>
      </c>
      <c r="F34" s="150">
        <f t="shared" si="8"/>
        <v>-4.8101973760778405E-2</v>
      </c>
      <c r="G34" s="150">
        <f t="shared" si="8"/>
        <v>-2.1614294870983874E-2</v>
      </c>
      <c r="H34" s="150">
        <f t="shared" si="8"/>
        <v>-0.16955648326379291</v>
      </c>
      <c r="I34" s="150">
        <f t="shared" si="8"/>
        <v>-6.5336456943012045E-2</v>
      </c>
      <c r="J34" s="150">
        <f t="shared" si="8"/>
        <v>-3.339827126913153E-2</v>
      </c>
      <c r="K34" s="150">
        <f t="shared" si="8"/>
        <v>-7.0141504723853831E-2</v>
      </c>
      <c r="L34" s="150">
        <f t="shared" si="8"/>
        <v>-5.6864276673717074E-3</v>
      </c>
      <c r="M34" s="150">
        <f t="shared" si="8"/>
        <v>-0.16418109651833368</v>
      </c>
      <c r="N34" s="151">
        <f t="shared" si="8"/>
        <v>-5.7094545410187214E-2</v>
      </c>
      <c r="O34" s="151">
        <f t="shared" si="8"/>
        <v>-3.5054620864755415E-2</v>
      </c>
      <c r="P34" s="116"/>
    </row>
    <row r="35" spans="1:16" x14ac:dyDescent="0.3">
      <c r="A35" s="149" t="s">
        <v>160</v>
      </c>
      <c r="B35" s="150">
        <f>IF(B32="","-",B32/B31-1)</f>
        <v>-0.14718518590344087</v>
      </c>
      <c r="C35" s="150">
        <f>IF(C32=0," ",IF(C32="","-",C32/C31-1))</f>
        <v>-0.16679873545301716</v>
      </c>
      <c r="D35" s="150">
        <f>IF(D32=0," ",IF(D32="","-",D32/D31-1))</f>
        <v>-0.24051941283379674</v>
      </c>
      <c r="E35" s="150">
        <f>IF(E32=0," ",IF(E32="","-",E32/E31-1))</f>
        <v>-0.20491375307528092</v>
      </c>
      <c r="F35" s="150">
        <f>IF(F32=0," ",IF(F32="","-",F32/F31-1))</f>
        <v>-0.2204311890528291</v>
      </c>
      <c r="G35" s="150"/>
      <c r="H35" s="150"/>
      <c r="I35" s="150"/>
      <c r="J35" s="150"/>
      <c r="K35" s="150"/>
      <c r="L35" s="150"/>
      <c r="M35" s="150"/>
      <c r="N35" s="151">
        <f t="shared" ref="N35:O35" si="9">IF(N32="","-",N32/N31-1)</f>
        <v>-0.65009287825286743</v>
      </c>
      <c r="O35" s="151">
        <f t="shared" si="9"/>
        <v>-0.15660790143148362</v>
      </c>
      <c r="P35" s="116"/>
    </row>
    <row r="36" spans="1:16" x14ac:dyDescent="0.3">
      <c r="A36" s="149" t="s">
        <v>159</v>
      </c>
      <c r="B36" s="150">
        <f>IF(B32="","-",B32/M31-1)</f>
        <v>2.0615486293123375E-2</v>
      </c>
      <c r="C36" s="150">
        <f>IF(C32=0," ",IF(C32="","-",C32/B32-1))</f>
        <v>-9.6638585940601596E-2</v>
      </c>
      <c r="D36" s="150">
        <f>IF(D32=0," ",IF(D32="","-",D32/C32-1))</f>
        <v>8.6621840899989921E-2</v>
      </c>
      <c r="E36" s="150">
        <f>IF(E32=0," ",IF(E32="","-",E32/D32-1))</f>
        <v>-7.7452278864593271E-2</v>
      </c>
      <c r="F36" s="150">
        <f>IF(F32=0," ",IF(F32="","-",F32/E32-1))</f>
        <v>1.8551625851310094E-2</v>
      </c>
      <c r="G36" s="150"/>
      <c r="H36" s="150"/>
      <c r="I36" s="150"/>
      <c r="J36" s="150"/>
      <c r="K36" s="150"/>
      <c r="L36" s="150"/>
      <c r="M36" s="150"/>
      <c r="N36" s="151"/>
      <c r="O36" s="151"/>
      <c r="P36" s="116"/>
    </row>
    <row r="37" spans="1:16" x14ac:dyDescent="0.3">
      <c r="A37" s="111" t="s">
        <v>138</v>
      </c>
    </row>
    <row r="38" spans="1:16" x14ac:dyDescent="0.3">
      <c r="A38" s="140"/>
      <c r="B38" s="134" t="s">
        <v>73</v>
      </c>
      <c r="C38" s="134" t="s">
        <v>74</v>
      </c>
      <c r="D38" s="134" t="s">
        <v>75</v>
      </c>
      <c r="E38" s="134" t="s">
        <v>76</v>
      </c>
      <c r="F38" s="134" t="s">
        <v>15</v>
      </c>
      <c r="G38" s="134" t="s">
        <v>77</v>
      </c>
      <c r="H38" s="134" t="s">
        <v>78</v>
      </c>
      <c r="I38" s="134" t="s">
        <v>79</v>
      </c>
      <c r="J38" s="134" t="s">
        <v>80</v>
      </c>
      <c r="K38" s="134" t="s">
        <v>81</v>
      </c>
      <c r="L38" s="134" t="s">
        <v>82</v>
      </c>
      <c r="M38" s="134" t="s">
        <v>83</v>
      </c>
      <c r="N38" s="141" t="s">
        <v>157</v>
      </c>
      <c r="O38" s="141" t="s">
        <v>158</v>
      </c>
    </row>
    <row r="39" spans="1:16" x14ac:dyDescent="0.3">
      <c r="A39" s="137">
        <v>2020</v>
      </c>
      <c r="B39" s="142">
        <v>94273</v>
      </c>
      <c r="C39" s="142">
        <v>96067</v>
      </c>
      <c r="D39" s="142">
        <v>97546</v>
      </c>
      <c r="E39" s="142">
        <v>99220</v>
      </c>
      <c r="F39" s="142">
        <v>99817</v>
      </c>
      <c r="G39" s="142">
        <v>101207</v>
      </c>
      <c r="H39" s="142">
        <v>100845</v>
      </c>
      <c r="I39" s="142">
        <v>102410</v>
      </c>
      <c r="J39" s="142">
        <v>103992</v>
      </c>
      <c r="K39" s="142">
        <v>106384</v>
      </c>
      <c r="L39" s="142">
        <v>107293</v>
      </c>
      <c r="M39" s="142">
        <v>110006</v>
      </c>
      <c r="N39" s="142">
        <f>AVERAGE(B39:M39)</f>
        <v>101588.33333333333</v>
      </c>
      <c r="O39" s="142">
        <f t="shared" ref="O39:O42" si="10">SUM(B39:C39)</f>
        <v>190340</v>
      </c>
    </row>
    <row r="40" spans="1:16" x14ac:dyDescent="0.3">
      <c r="A40" s="137">
        <v>2021</v>
      </c>
      <c r="B40" s="142">
        <v>114504</v>
      </c>
      <c r="C40" s="142">
        <v>115636</v>
      </c>
      <c r="D40" s="142">
        <v>113651</v>
      </c>
      <c r="E40" s="142">
        <v>111304</v>
      </c>
      <c r="F40" s="142">
        <v>108515</v>
      </c>
      <c r="G40" s="142">
        <v>106753</v>
      </c>
      <c r="H40" s="142">
        <v>105127</v>
      </c>
      <c r="I40" s="142">
        <v>104775</v>
      </c>
      <c r="J40" s="142">
        <v>104413</v>
      </c>
      <c r="K40" s="135">
        <v>100147</v>
      </c>
      <c r="L40" s="135">
        <v>98585</v>
      </c>
      <c r="M40" s="135">
        <v>97157</v>
      </c>
      <c r="N40" s="142">
        <f t="shared" ref="N40:N41" si="11">AVERAGE(B40:M40)</f>
        <v>106713.91666666667</v>
      </c>
      <c r="O40" s="142">
        <f t="shared" si="10"/>
        <v>230140</v>
      </c>
    </row>
    <row r="41" spans="1:16" x14ac:dyDescent="0.3">
      <c r="A41" s="137">
        <v>2022</v>
      </c>
      <c r="B41" s="142">
        <f>Revenue_NG_LK_2022!B47</f>
        <v>94922</v>
      </c>
      <c r="C41" s="142">
        <v>92512</v>
      </c>
      <c r="D41" s="142">
        <f>Revenue_NG_LK_2022!D47</f>
        <v>91397</v>
      </c>
      <c r="E41" s="142">
        <f>Revenue_NG_LK_2022!E47</f>
        <v>90194</v>
      </c>
      <c r="F41" s="142">
        <f>Revenue_NG_LK_2022!F47</f>
        <v>88653</v>
      </c>
      <c r="G41" s="142">
        <f>Revenue_NG_LK_2022!G47</f>
        <v>86897</v>
      </c>
      <c r="H41" s="142">
        <f>Revenue_NG_LK_2022!H47</f>
        <v>86129</v>
      </c>
      <c r="I41" s="142">
        <f>Revenue_NG_LK_2022!I47</f>
        <v>82250</v>
      </c>
      <c r="J41" s="142">
        <f>Revenue_NG_LK_2022!J47</f>
        <v>80186</v>
      </c>
      <c r="K41" s="142">
        <f>Revenue_NG_LK_2022!K47</f>
        <v>77030</v>
      </c>
      <c r="L41" s="142">
        <f>Revenue_NG_LK_2022!L47</f>
        <v>73827</v>
      </c>
      <c r="M41" s="142">
        <f>Revenue_NG_LK_2022!M47</f>
        <v>71535</v>
      </c>
      <c r="N41" s="142">
        <f t="shared" si="11"/>
        <v>84627.666666666672</v>
      </c>
      <c r="O41" s="142">
        <f t="shared" si="10"/>
        <v>187434</v>
      </c>
    </row>
    <row r="42" spans="1:16" x14ac:dyDescent="0.3">
      <c r="A42" s="137">
        <v>2023</v>
      </c>
      <c r="B42" s="142">
        <f>Revenue_NG_LK_2023!B47</f>
        <v>67375</v>
      </c>
      <c r="C42" s="142">
        <f>Revenue_NG_LK_2023!C47</f>
        <v>65398</v>
      </c>
      <c r="D42" s="142">
        <f>Revenue_NG_LK_2023!D47</f>
        <v>63144</v>
      </c>
      <c r="E42" s="142">
        <f>Revenue_NG_LK_2023!E47</f>
        <v>61606</v>
      </c>
      <c r="F42" s="142">
        <f>Revenue_NG_LK_2023!F47</f>
        <v>59896</v>
      </c>
      <c r="G42" s="142"/>
      <c r="H42" s="142"/>
      <c r="I42" s="142"/>
      <c r="J42" s="142"/>
      <c r="K42" s="142"/>
      <c r="L42" s="142"/>
      <c r="M42" s="142"/>
      <c r="N42" s="142">
        <f t="shared" ref="N42" si="12">AVERAGE(B42:M42)</f>
        <v>63483.8</v>
      </c>
      <c r="O42" s="142">
        <f t="shared" si="10"/>
        <v>132773</v>
      </c>
    </row>
    <row r="43" spans="1:16" x14ac:dyDescent="0.3">
      <c r="A43" s="149" t="s">
        <v>148</v>
      </c>
      <c r="B43" s="150">
        <f>IF(B40="","",B40/B39-1)</f>
        <v>0.21460015062637239</v>
      </c>
      <c r="C43" s="150">
        <f t="shared" ref="C43:O43" si="13">IF(C40="","",C40/C39-1)</f>
        <v>0.20370158327000953</v>
      </c>
      <c r="D43" s="150">
        <f t="shared" si="13"/>
        <v>0.16510159309454009</v>
      </c>
      <c r="E43" s="150">
        <f t="shared" si="13"/>
        <v>0.12178996170126988</v>
      </c>
      <c r="F43" s="150">
        <f t="shared" si="13"/>
        <v>8.7139465221355072E-2</v>
      </c>
      <c r="G43" s="150">
        <f t="shared" si="13"/>
        <v>5.4798581125811374E-2</v>
      </c>
      <c r="H43" s="150">
        <f t="shared" si="13"/>
        <v>4.2461202836035605E-2</v>
      </c>
      <c r="I43" s="150">
        <f t="shared" si="13"/>
        <v>2.3093447905478071E-2</v>
      </c>
      <c r="J43" s="150">
        <f t="shared" si="13"/>
        <v>4.0483883375643792E-3</v>
      </c>
      <c r="K43" s="150">
        <f t="shared" si="13"/>
        <v>-5.8627237178523139E-2</v>
      </c>
      <c r="L43" s="150">
        <f t="shared" si="13"/>
        <v>-8.1160933145685177E-2</v>
      </c>
      <c r="M43" s="150">
        <f t="shared" si="13"/>
        <v>-0.11680271985164448</v>
      </c>
      <c r="N43" s="151">
        <f t="shared" si="13"/>
        <v>5.0454448509507532E-2</v>
      </c>
      <c r="O43" s="151">
        <f t="shared" si="13"/>
        <v>0.20909950614689499</v>
      </c>
    </row>
    <row r="44" spans="1:16" x14ac:dyDescent="0.3">
      <c r="A44" s="149" t="s">
        <v>149</v>
      </c>
      <c r="B44" s="150">
        <f>IF(B41="","-",B41/B40-1)</f>
        <v>-0.17101585970795785</v>
      </c>
      <c r="C44" s="150">
        <f t="shared" ref="C44:O44" si="14">IF(C41="","-",C41/C40-1)</f>
        <v>-0.19997232695700295</v>
      </c>
      <c r="D44" s="150">
        <f t="shared" si="14"/>
        <v>-0.19580997967461788</v>
      </c>
      <c r="E44" s="150">
        <f t="shared" si="14"/>
        <v>-0.18966074893984042</v>
      </c>
      <c r="F44" s="150">
        <f t="shared" si="14"/>
        <v>-0.18303460351103529</v>
      </c>
      <c r="G44" s="150">
        <f t="shared" si="14"/>
        <v>-0.18599945668974172</v>
      </c>
      <c r="H44" s="150">
        <f t="shared" si="14"/>
        <v>-0.18071475453499097</v>
      </c>
      <c r="I44" s="150">
        <f t="shared" si="14"/>
        <v>-0.21498449057504176</v>
      </c>
      <c r="J44" s="150">
        <f t="shared" si="14"/>
        <v>-0.23203049428710987</v>
      </c>
      <c r="K44" s="150">
        <f t="shared" si="14"/>
        <v>-0.23083067890201403</v>
      </c>
      <c r="L44" s="150">
        <f t="shared" si="14"/>
        <v>-0.25113353958512963</v>
      </c>
      <c r="M44" s="150">
        <f t="shared" si="14"/>
        <v>-0.26371748818921947</v>
      </c>
      <c r="N44" s="151">
        <f t="shared" si="14"/>
        <v>-0.20696691387486943</v>
      </c>
      <c r="O44" s="151">
        <f t="shared" si="14"/>
        <v>-0.1855653080733467</v>
      </c>
    </row>
    <row r="45" spans="1:16" x14ac:dyDescent="0.3">
      <c r="A45" s="149" t="s">
        <v>160</v>
      </c>
      <c r="B45" s="150">
        <f>IF(B42="","-",B42/B41-1)</f>
        <v>-0.29020669602410398</v>
      </c>
      <c r="C45" s="150">
        <f>IF(C42=0," ",IF(C42="","-",C42/C41-1))</f>
        <v>-0.29308630231753718</v>
      </c>
      <c r="D45" s="150">
        <f>IF(D42=0," ",IF(D42="","-",D42/D41-1))</f>
        <v>-0.30912393185771958</v>
      </c>
      <c r="E45" s="150">
        <f>IF(E42=0," ",IF(E42="","-",E42/E41-1))</f>
        <v>-0.31696121693239021</v>
      </c>
      <c r="F45" s="150">
        <f>IF(F42=0," ",IF(F42="","-",F42/F41-1))</f>
        <v>-0.32437706563793667</v>
      </c>
      <c r="G45" s="150"/>
      <c r="H45" s="150"/>
      <c r="I45" s="150"/>
      <c r="J45" s="150"/>
      <c r="K45" s="150"/>
      <c r="L45" s="150"/>
      <c r="M45" s="150"/>
      <c r="N45" s="151">
        <f t="shared" ref="N45:O45" si="15">IF(N42="","-",N42/N41-1)</f>
        <v>-0.2498457951103461</v>
      </c>
      <c r="O45" s="151">
        <f t="shared" si="15"/>
        <v>-0.29162798638454068</v>
      </c>
    </row>
    <row r="46" spans="1:16" x14ac:dyDescent="0.3">
      <c r="A46" s="149" t="s">
        <v>159</v>
      </c>
      <c r="B46" s="150">
        <f>IF(B42="","-",B42/M41-1)</f>
        <v>-5.8153351506255668E-2</v>
      </c>
      <c r="C46" s="150">
        <f>IF(C42=0," ",IF(C42="","-",C42/B42-1))</f>
        <v>-2.9343228200371052E-2</v>
      </c>
      <c r="D46" s="150">
        <f>IF(D42=0," ",IF(D42="","-",D42/C42-1))</f>
        <v>-3.4465885806905461E-2</v>
      </c>
      <c r="E46" s="150">
        <f>IF(E42=0," ",IF(E42="","-",E42/D42-1))</f>
        <v>-2.435702521221339E-2</v>
      </c>
      <c r="F46" s="150">
        <f>IF(F42=0," ",IF(F42="","-",F42/E42-1))</f>
        <v>-2.7757036652274136E-2</v>
      </c>
      <c r="G46" s="150"/>
      <c r="H46" s="150"/>
      <c r="I46" s="150"/>
      <c r="J46" s="150"/>
      <c r="K46" s="150"/>
      <c r="L46" s="150"/>
      <c r="M46" s="150"/>
      <c r="N46" s="151"/>
      <c r="O46" s="151"/>
    </row>
    <row r="47" spans="1:16" x14ac:dyDescent="0.3">
      <c r="A47" s="111" t="s">
        <v>139</v>
      </c>
    </row>
    <row r="48" spans="1:16" x14ac:dyDescent="0.3">
      <c r="A48" s="140"/>
      <c r="B48" s="134" t="s">
        <v>73</v>
      </c>
      <c r="C48" s="134" t="s">
        <v>74</v>
      </c>
      <c r="D48" s="134" t="s">
        <v>75</v>
      </c>
      <c r="E48" s="134" t="s">
        <v>76</v>
      </c>
      <c r="F48" s="134" t="s">
        <v>15</v>
      </c>
      <c r="G48" s="134" t="s">
        <v>77</v>
      </c>
      <c r="H48" s="134" t="s">
        <v>78</v>
      </c>
      <c r="I48" s="134" t="s">
        <v>79</v>
      </c>
      <c r="J48" s="134" t="s">
        <v>80</v>
      </c>
      <c r="K48" s="134" t="s">
        <v>81</v>
      </c>
      <c r="L48" s="134" t="s">
        <v>82</v>
      </c>
      <c r="M48" s="134" t="s">
        <v>83</v>
      </c>
    </row>
    <row r="49" spans="1:13" x14ac:dyDescent="0.3">
      <c r="A49" s="137">
        <v>2020</v>
      </c>
      <c r="B49" s="143">
        <f t="shared" ref="B49:M49" si="16">B39/1000</f>
        <v>94.272999999999996</v>
      </c>
      <c r="C49" s="143">
        <f t="shared" si="16"/>
        <v>96.066999999999993</v>
      </c>
      <c r="D49" s="143">
        <f t="shared" si="16"/>
        <v>97.546000000000006</v>
      </c>
      <c r="E49" s="143">
        <f t="shared" si="16"/>
        <v>99.22</v>
      </c>
      <c r="F49" s="143">
        <f t="shared" si="16"/>
        <v>99.816999999999993</v>
      </c>
      <c r="G49" s="143">
        <f t="shared" si="16"/>
        <v>101.20699999999999</v>
      </c>
      <c r="H49" s="143">
        <f t="shared" si="16"/>
        <v>100.845</v>
      </c>
      <c r="I49" s="143">
        <f t="shared" si="16"/>
        <v>102.41</v>
      </c>
      <c r="J49" s="143">
        <f t="shared" si="16"/>
        <v>103.992</v>
      </c>
      <c r="K49" s="143">
        <f t="shared" si="16"/>
        <v>106.384</v>
      </c>
      <c r="L49" s="143">
        <f t="shared" si="16"/>
        <v>107.29300000000001</v>
      </c>
      <c r="M49" s="143">
        <f t="shared" si="16"/>
        <v>110.006</v>
      </c>
    </row>
    <row r="50" spans="1:13" x14ac:dyDescent="0.3">
      <c r="A50" s="137">
        <v>2021</v>
      </c>
      <c r="B50" s="143">
        <f t="shared" ref="B50:M50" si="17">B40/1000</f>
        <v>114.504</v>
      </c>
      <c r="C50" s="143">
        <f t="shared" si="17"/>
        <v>115.636</v>
      </c>
      <c r="D50" s="143">
        <f t="shared" si="17"/>
        <v>113.651</v>
      </c>
      <c r="E50" s="143">
        <f t="shared" si="17"/>
        <v>111.304</v>
      </c>
      <c r="F50" s="143">
        <f t="shared" si="17"/>
        <v>108.515</v>
      </c>
      <c r="G50" s="143">
        <f t="shared" si="17"/>
        <v>106.753</v>
      </c>
      <c r="H50" s="143">
        <f t="shared" si="17"/>
        <v>105.127</v>
      </c>
      <c r="I50" s="143">
        <f t="shared" si="17"/>
        <v>104.77500000000001</v>
      </c>
      <c r="J50" s="143">
        <f t="shared" si="17"/>
        <v>104.413</v>
      </c>
      <c r="K50" s="143">
        <f t="shared" si="17"/>
        <v>100.14700000000001</v>
      </c>
      <c r="L50" s="143">
        <f t="shared" si="17"/>
        <v>98.584999999999994</v>
      </c>
      <c r="M50" s="143">
        <f t="shared" si="17"/>
        <v>97.156999999999996</v>
      </c>
    </row>
    <row r="51" spans="1:13" x14ac:dyDescent="0.3">
      <c r="A51" s="137">
        <v>2022</v>
      </c>
      <c r="B51" s="143">
        <f t="shared" ref="B51:F52" si="18">B41/1000</f>
        <v>94.921999999999997</v>
      </c>
      <c r="C51" s="143">
        <f t="shared" si="18"/>
        <v>92.512</v>
      </c>
      <c r="D51" s="143">
        <f t="shared" si="18"/>
        <v>91.397000000000006</v>
      </c>
      <c r="E51" s="143">
        <f t="shared" si="18"/>
        <v>90.194000000000003</v>
      </c>
      <c r="F51" s="143">
        <f t="shared" ref="F51:M51" si="19">F41/1000</f>
        <v>88.653000000000006</v>
      </c>
      <c r="G51" s="143">
        <f t="shared" si="19"/>
        <v>86.897000000000006</v>
      </c>
      <c r="H51" s="143">
        <f t="shared" si="19"/>
        <v>86.129000000000005</v>
      </c>
      <c r="I51" s="143">
        <f t="shared" si="19"/>
        <v>82.25</v>
      </c>
      <c r="J51" s="143">
        <f t="shared" si="19"/>
        <v>80.186000000000007</v>
      </c>
      <c r="K51" s="143">
        <f t="shared" si="19"/>
        <v>77.03</v>
      </c>
      <c r="L51" s="143">
        <f t="shared" si="19"/>
        <v>73.826999999999998</v>
      </c>
      <c r="M51" s="143">
        <f t="shared" si="19"/>
        <v>71.534999999999997</v>
      </c>
    </row>
    <row r="52" spans="1:13" x14ac:dyDescent="0.3">
      <c r="A52" s="137">
        <v>2023</v>
      </c>
      <c r="B52" s="143">
        <f t="shared" si="18"/>
        <v>67.375</v>
      </c>
      <c r="C52" s="143">
        <f t="shared" si="18"/>
        <v>65.397999999999996</v>
      </c>
      <c r="D52" s="143">
        <f t="shared" si="18"/>
        <v>63.143999999999998</v>
      </c>
      <c r="E52" s="143">
        <f t="shared" si="18"/>
        <v>61.606000000000002</v>
      </c>
      <c r="F52" s="143">
        <f t="shared" si="18"/>
        <v>59.896000000000001</v>
      </c>
      <c r="G52" s="143"/>
      <c r="H52" s="143"/>
      <c r="I52" s="143"/>
      <c r="J52" s="143"/>
      <c r="K52" s="143"/>
      <c r="L52" s="143"/>
      <c r="M52" s="143"/>
    </row>
    <row r="54" spans="1:13" x14ac:dyDescent="0.3">
      <c r="A54" s="111" t="s">
        <v>140</v>
      </c>
    </row>
    <row r="55" spans="1:13" x14ac:dyDescent="0.3">
      <c r="A55" s="140"/>
      <c r="B55" s="134" t="s">
        <v>73</v>
      </c>
      <c r="C55" s="134" t="s">
        <v>74</v>
      </c>
      <c r="D55" s="134" t="s">
        <v>75</v>
      </c>
      <c r="E55" s="134" t="s">
        <v>76</v>
      </c>
      <c r="F55" s="134" t="s">
        <v>15</v>
      </c>
      <c r="G55" s="134" t="s">
        <v>77</v>
      </c>
      <c r="H55" s="134" t="s">
        <v>78</v>
      </c>
      <c r="I55" s="134" t="s">
        <v>79</v>
      </c>
      <c r="J55" s="134" t="s">
        <v>80</v>
      </c>
      <c r="K55" s="134" t="s">
        <v>81</v>
      </c>
      <c r="L55" s="134" t="s">
        <v>82</v>
      </c>
      <c r="M55" s="134" t="s">
        <v>83</v>
      </c>
    </row>
    <row r="56" spans="1:13" x14ac:dyDescent="0.3">
      <c r="A56" s="137">
        <v>2020</v>
      </c>
      <c r="B56" s="142">
        <f>'2020_LK'!M16</f>
        <v>2796</v>
      </c>
      <c r="C56" s="142">
        <f>'2020_LK'!L16</f>
        <v>2563</v>
      </c>
      <c r="D56" s="142">
        <f>'2020_LK'!K16</f>
        <v>3114</v>
      </c>
      <c r="E56" s="142">
        <f>'2020_LK'!J16</f>
        <v>1865</v>
      </c>
      <c r="F56" s="142">
        <f>'2020_LK'!I16</f>
        <v>2728</v>
      </c>
      <c r="G56" s="142">
        <f>'2020_LK'!H16</f>
        <v>2557</v>
      </c>
      <c r="H56" s="142">
        <f>'2020_LK'!G16</f>
        <v>2533</v>
      </c>
      <c r="I56" s="142">
        <f>'2020_LK'!F16</f>
        <v>2727</v>
      </c>
      <c r="J56" s="142">
        <f>'2020_LK'!E16</f>
        <v>2751</v>
      </c>
      <c r="K56" s="142">
        <f>'2020_LK'!D16</f>
        <v>2927</v>
      </c>
      <c r="L56" s="142">
        <f>'2020_LK'!C16</f>
        <v>3783</v>
      </c>
      <c r="M56" s="142">
        <f>'2020_LK'!B16</f>
        <v>5384</v>
      </c>
    </row>
    <row r="57" spans="1:13" x14ac:dyDescent="0.3">
      <c r="A57" s="137">
        <v>2021</v>
      </c>
      <c r="B57" s="142">
        <f>Revenue_NG_LK_2021!M3</f>
        <v>2602</v>
      </c>
      <c r="C57" s="142">
        <f>Revenue_NG_LK_2021!L3</f>
        <v>2770</v>
      </c>
      <c r="D57" s="142">
        <f>Revenue_NG_LK_2021!K3</f>
        <v>3284</v>
      </c>
      <c r="E57" s="142">
        <f>Revenue_NG_LK_2021!J3</f>
        <v>95</v>
      </c>
      <c r="F57" s="142">
        <f>Revenue_NG_LK_2021!I3</f>
        <v>30</v>
      </c>
      <c r="G57" s="142">
        <f>Revenue_NG_LK_2021!H3</f>
        <v>31</v>
      </c>
      <c r="H57" s="142">
        <f>Revenue_NG_LK_2021!G3</f>
        <v>111</v>
      </c>
      <c r="I57" s="142">
        <f>Revenue_NG_LK_2021!F3</f>
        <v>475</v>
      </c>
      <c r="J57" s="142">
        <f>Revenue_NG_LK_2021!E3</f>
        <v>623</v>
      </c>
      <c r="K57" s="142">
        <f>Revenue_NG_LK_2021!D3</f>
        <v>406</v>
      </c>
      <c r="L57" s="142">
        <f>Revenue_NG_LK_2021!C3</f>
        <v>405</v>
      </c>
      <c r="M57" s="142">
        <f>Revenue_NG_LK_2021!B3</f>
        <v>179</v>
      </c>
    </row>
    <row r="58" spans="1:13" x14ac:dyDescent="0.3">
      <c r="A58" s="137">
        <v>2022</v>
      </c>
      <c r="B58" s="142">
        <v>142</v>
      </c>
      <c r="C58" s="142">
        <v>198</v>
      </c>
      <c r="D58" s="142">
        <f>Revenue_NG_LK_2022!D3</f>
        <v>1068</v>
      </c>
      <c r="E58" s="142">
        <f>Revenue_NG_LK_2022!E3</f>
        <v>318</v>
      </c>
      <c r="F58" s="142">
        <f>Revenue_NG_LK_2022!F3</f>
        <v>609</v>
      </c>
      <c r="G58" s="142">
        <f>Revenue_NG_LK_2022!G3</f>
        <v>125</v>
      </c>
      <c r="H58" s="142">
        <f>Revenue_NG_LK_2022!H3</f>
        <v>125</v>
      </c>
      <c r="I58" s="142">
        <f>Revenue_NG_LK_2022!I3</f>
        <v>107</v>
      </c>
      <c r="J58" s="142">
        <f>Revenue_NG_LK_2022!J3</f>
        <v>87</v>
      </c>
      <c r="K58" s="142">
        <f>Revenue_NG_LK_2022!K3</f>
        <v>107</v>
      </c>
      <c r="L58" s="142">
        <f>Revenue_NG_LK_2022!L3</f>
        <v>267</v>
      </c>
      <c r="M58" s="142">
        <f>Revenue_NG_LK_2022!M3</f>
        <v>261</v>
      </c>
    </row>
    <row r="59" spans="1:13" x14ac:dyDescent="0.3">
      <c r="A59" s="137">
        <v>2023</v>
      </c>
      <c r="B59" s="142">
        <f>Revenue_NG_LK_2023!B3</f>
        <v>244</v>
      </c>
      <c r="C59" s="142">
        <f>Revenue_NG_LK_2023!C3</f>
        <v>185</v>
      </c>
      <c r="D59" s="142">
        <f>Revenue_NG_LK_2023!D3</f>
        <v>269</v>
      </c>
      <c r="E59" s="142">
        <f>Revenue_NG_LK_2023!E3</f>
        <v>259</v>
      </c>
      <c r="F59" s="142">
        <f>Revenue_NG_LK_2023!F3</f>
        <v>296</v>
      </c>
      <c r="G59" s="142"/>
      <c r="H59" s="142"/>
      <c r="I59" s="142"/>
      <c r="J59" s="142"/>
      <c r="K59" s="142"/>
      <c r="L59" s="142"/>
      <c r="M59" s="142"/>
    </row>
    <row r="61" spans="1:13" x14ac:dyDescent="0.3">
      <c r="A61" s="111" t="s">
        <v>150</v>
      </c>
    </row>
    <row r="62" spans="1:13" x14ac:dyDescent="0.3">
      <c r="A62" s="144"/>
      <c r="B62" s="136" t="s">
        <v>73</v>
      </c>
      <c r="C62" s="136" t="s">
        <v>74</v>
      </c>
      <c r="D62" s="136" t="s">
        <v>75</v>
      </c>
      <c r="E62" s="136" t="s">
        <v>76</v>
      </c>
      <c r="F62" s="136" t="s">
        <v>15</v>
      </c>
      <c r="G62" s="136" t="s">
        <v>77</v>
      </c>
      <c r="H62" s="136" t="s">
        <v>78</v>
      </c>
      <c r="I62" s="136" t="s">
        <v>79</v>
      </c>
      <c r="J62" s="136" t="s">
        <v>80</v>
      </c>
      <c r="K62" s="136" t="s">
        <v>81</v>
      </c>
      <c r="L62" s="136" t="s">
        <v>82</v>
      </c>
      <c r="M62" s="136" t="s">
        <v>83</v>
      </c>
    </row>
    <row r="63" spans="1:13" x14ac:dyDescent="0.3">
      <c r="A63" s="137">
        <v>2020</v>
      </c>
      <c r="B63" s="145">
        <v>0.01</v>
      </c>
      <c r="C63" s="145">
        <v>1.0999999999999999E-2</v>
      </c>
      <c r="D63" s="145">
        <v>1.4999999999999999E-2</v>
      </c>
      <c r="E63" s="145">
        <v>1.2999999999999999E-2</v>
      </c>
      <c r="F63" s="145">
        <v>1.2E-2</v>
      </c>
      <c r="G63" s="145">
        <v>1.6E-2</v>
      </c>
      <c r="H63" s="145">
        <v>0.01</v>
      </c>
      <c r="I63" s="145">
        <v>1.0999999999999999E-2</v>
      </c>
      <c r="J63" s="145">
        <v>1.2999999999999999E-2</v>
      </c>
      <c r="K63" s="146">
        <v>0.01</v>
      </c>
      <c r="L63" s="145">
        <v>0.01</v>
      </c>
      <c r="M63" s="145">
        <v>8.0000000000000002E-3</v>
      </c>
    </row>
    <row r="64" spans="1:13" x14ac:dyDescent="0.3">
      <c r="A64" s="137">
        <v>2021</v>
      </c>
      <c r="B64" s="147">
        <v>1.24E-2</v>
      </c>
      <c r="C64" s="148">
        <v>1.9E-2</v>
      </c>
      <c r="D64" s="148">
        <v>1.4E-2</v>
      </c>
      <c r="E64" s="148">
        <v>1.7000000000000001E-2</v>
      </c>
      <c r="F64" s="148">
        <v>2.5000000000000001E-2</v>
      </c>
      <c r="G64" s="148">
        <v>1.4E-2</v>
      </c>
      <c r="H64" s="147">
        <v>1.95E-2</v>
      </c>
      <c r="I64" s="148">
        <v>2.1999999999999999E-2</v>
      </c>
      <c r="J64" s="147">
        <v>1.8499999999999999E-2</v>
      </c>
      <c r="K64" s="147">
        <v>2.4E-2</v>
      </c>
      <c r="L64" s="147">
        <v>1.2E-2</v>
      </c>
      <c r="M64" s="147">
        <v>1.37E-2</v>
      </c>
    </row>
    <row r="65" spans="1:13" x14ac:dyDescent="0.3">
      <c r="A65" s="137">
        <v>2022</v>
      </c>
      <c r="B65" s="148">
        <v>2.1000000000000001E-2</v>
      </c>
      <c r="C65" s="148">
        <v>2.3E-2</v>
      </c>
      <c r="D65" s="148">
        <v>1.2200000000000001E-2</v>
      </c>
      <c r="E65" s="148">
        <v>0.01</v>
      </c>
      <c r="F65" s="148">
        <v>1.32E-2</v>
      </c>
      <c r="G65" s="148">
        <v>1.15E-2</v>
      </c>
      <c r="H65" s="148">
        <v>1.5E-3</v>
      </c>
      <c r="I65" s="148">
        <v>3.3925855402942101E-2</v>
      </c>
      <c r="J65" s="148">
        <v>8.8000000000000005E-3</v>
      </c>
      <c r="K65" s="148">
        <v>2.0522106533876566E-2</v>
      </c>
      <c r="L65" s="148">
        <v>7.808098937522108E-3</v>
      </c>
      <c r="M65" s="148">
        <v>1.3295541680359294E-2</v>
      </c>
    </row>
    <row r="66" spans="1:13" x14ac:dyDescent="0.3">
      <c r="A66" s="137">
        <v>2023</v>
      </c>
      <c r="B66" s="148">
        <v>2.2046764103978288E-2</v>
      </c>
      <c r="C66" s="148">
        <v>1.7243193673987883E-2</v>
      </c>
      <c r="D66" s="148">
        <v>2.2435999999999998E-2</v>
      </c>
      <c r="E66" s="148">
        <v>9.8971660309950266E-3</v>
      </c>
      <c r="F66" s="148">
        <v>8.2609999999999992E-3</v>
      </c>
      <c r="G66" s="148"/>
      <c r="H66" s="148"/>
      <c r="I66" s="148"/>
      <c r="J66" s="148"/>
      <c r="K66" s="148"/>
      <c r="L66" s="148"/>
      <c r="M66" s="148"/>
    </row>
  </sheetData>
  <sortState xmlns:xlrd2="http://schemas.microsoft.com/office/spreadsheetml/2017/richdata2" ref="F60:G61">
    <sortCondition ref="G60:G61"/>
  </sortState>
  <conditionalFormatting sqref="B10:O46">
    <cfRule type="cellIs" dxfId="28" priority="1" stopIfTrue="1" operator="lessThan">
      <formula>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619F-7295-40A5-ABAE-22B50E2DB5C2}">
  <sheetPr codeName="Sheet3"/>
  <dimension ref="A1:O55"/>
  <sheetViews>
    <sheetView zoomScale="90" zoomScaleNormal="90" workbookViewId="0">
      <pane xSplit="1" ySplit="1" topLeftCell="B2" activePane="bottomRight" state="frozen"/>
      <selection pane="topRight" activeCell="B1" sqref="B1"/>
      <selection pane="bottomLeft" activeCell="A2" sqref="A2"/>
      <selection pane="bottomRight" activeCell="E5" sqref="E5"/>
    </sheetView>
  </sheetViews>
  <sheetFormatPr defaultColWidth="8.7265625" defaultRowHeight="13" x14ac:dyDescent="0.35"/>
  <cols>
    <col min="1" max="1" width="32.54296875" style="76" customWidth="1"/>
    <col min="2" max="3" width="11.54296875" style="63" customWidth="1"/>
    <col min="4" max="4" width="12.81640625" style="63" bestFit="1" customWidth="1"/>
    <col min="5" max="13" width="11.54296875" style="63" customWidth="1"/>
    <col min="14" max="14" width="12.81640625" style="63" bestFit="1" customWidth="1"/>
    <col min="15" max="15" width="58.81640625" style="76" customWidth="1"/>
    <col min="16" max="16384" width="8.7265625" style="63"/>
  </cols>
  <sheetData>
    <row r="1" spans="1:15" x14ac:dyDescent="0.35">
      <c r="A1" s="67" t="s">
        <v>14</v>
      </c>
      <c r="B1" s="132">
        <v>44562</v>
      </c>
      <c r="C1" s="132">
        <f>EOMONTH(B1,1)</f>
        <v>44620</v>
      </c>
      <c r="D1" s="132">
        <f t="shared" ref="D1:M1" si="0">EOMONTH(C1,1)</f>
        <v>44651</v>
      </c>
      <c r="E1" s="132">
        <f t="shared" si="0"/>
        <v>44681</v>
      </c>
      <c r="F1" s="132">
        <f t="shared" si="0"/>
        <v>44712</v>
      </c>
      <c r="G1" s="132">
        <f t="shared" si="0"/>
        <v>44742</v>
      </c>
      <c r="H1" s="132">
        <f t="shared" si="0"/>
        <v>44773</v>
      </c>
      <c r="I1" s="132">
        <f t="shared" si="0"/>
        <v>44804</v>
      </c>
      <c r="J1" s="132">
        <f t="shared" si="0"/>
        <v>44834</v>
      </c>
      <c r="K1" s="132">
        <f t="shared" si="0"/>
        <v>44865</v>
      </c>
      <c r="L1" s="132">
        <f t="shared" si="0"/>
        <v>44895</v>
      </c>
      <c r="M1" s="132">
        <f t="shared" si="0"/>
        <v>44926</v>
      </c>
      <c r="N1" s="61" t="s">
        <v>100</v>
      </c>
      <c r="O1" s="62" t="s">
        <v>97</v>
      </c>
    </row>
    <row r="2" spans="1:15" x14ac:dyDescent="0.35">
      <c r="A2" s="67"/>
      <c r="B2" s="61"/>
      <c r="C2" s="61"/>
      <c r="D2" s="61"/>
      <c r="E2" s="61"/>
      <c r="F2" s="61"/>
      <c r="G2" s="61"/>
      <c r="H2" s="61"/>
      <c r="I2" s="61"/>
      <c r="J2" s="61"/>
      <c r="K2" s="61"/>
      <c r="L2" s="61"/>
      <c r="M2" s="61"/>
      <c r="N2" s="61"/>
    </row>
    <row r="3" spans="1:15" x14ac:dyDescent="0.35">
      <c r="A3" s="67" t="s">
        <v>28</v>
      </c>
      <c r="B3" s="64">
        <f t="shared" ref="B3:M3" si="1">B4+B9</f>
        <v>143</v>
      </c>
      <c r="C3" s="64">
        <f t="shared" si="1"/>
        <v>198</v>
      </c>
      <c r="D3" s="64">
        <f t="shared" si="1"/>
        <v>1068</v>
      </c>
      <c r="E3" s="64">
        <f t="shared" si="1"/>
        <v>318</v>
      </c>
      <c r="F3" s="64">
        <f t="shared" si="1"/>
        <v>609</v>
      </c>
      <c r="G3" s="64">
        <f t="shared" si="1"/>
        <v>125</v>
      </c>
      <c r="H3" s="64">
        <f t="shared" si="1"/>
        <v>125</v>
      </c>
      <c r="I3" s="64">
        <f t="shared" si="1"/>
        <v>107</v>
      </c>
      <c r="J3" s="64">
        <f t="shared" si="1"/>
        <v>87</v>
      </c>
      <c r="K3" s="64">
        <f t="shared" si="1"/>
        <v>107</v>
      </c>
      <c r="L3" s="64">
        <f t="shared" si="1"/>
        <v>267</v>
      </c>
      <c r="M3" s="64">
        <f t="shared" si="1"/>
        <v>261</v>
      </c>
      <c r="N3" s="64">
        <f>SUM(B3:M3)</f>
        <v>3415</v>
      </c>
    </row>
    <row r="4" spans="1:15" s="71" customFormat="1" x14ac:dyDescent="0.35">
      <c r="A4" s="73" t="s">
        <v>23</v>
      </c>
      <c r="B4" s="69">
        <f t="shared" ref="B4:M4" si="2">SUM(B5:B7)</f>
        <v>125</v>
      </c>
      <c r="C4" s="69">
        <f t="shared" si="2"/>
        <v>178</v>
      </c>
      <c r="D4" s="69">
        <f t="shared" si="2"/>
        <v>413</v>
      </c>
      <c r="E4" s="69">
        <f t="shared" si="2"/>
        <v>268</v>
      </c>
      <c r="F4" s="69">
        <f t="shared" si="2"/>
        <v>299</v>
      </c>
      <c r="G4" s="69">
        <f t="shared" si="2"/>
        <v>65</v>
      </c>
      <c r="H4" s="69">
        <f t="shared" si="2"/>
        <v>61</v>
      </c>
      <c r="I4" s="69">
        <f t="shared" si="2"/>
        <v>60</v>
      </c>
      <c r="J4" s="69">
        <f t="shared" si="2"/>
        <v>45</v>
      </c>
      <c r="K4" s="69">
        <f t="shared" si="2"/>
        <v>49</v>
      </c>
      <c r="L4" s="69">
        <f t="shared" si="2"/>
        <v>105</v>
      </c>
      <c r="M4" s="69">
        <f t="shared" si="2"/>
        <v>86</v>
      </c>
      <c r="N4" s="70">
        <f t="shared" ref="N4:N31" si="3">SUM(B4:M4)</f>
        <v>1754</v>
      </c>
      <c r="O4" s="76"/>
    </row>
    <row r="5" spans="1:15" x14ac:dyDescent="0.35">
      <c r="A5" s="74" t="s">
        <v>8</v>
      </c>
      <c r="B5" s="65">
        <v>86</v>
      </c>
      <c r="C5" s="65">
        <v>112</v>
      </c>
      <c r="D5" s="65">
        <v>293</v>
      </c>
      <c r="E5" s="65">
        <v>191</v>
      </c>
      <c r="F5" s="65">
        <v>222</v>
      </c>
      <c r="G5" s="65">
        <v>0</v>
      </c>
      <c r="H5" s="65">
        <v>0</v>
      </c>
      <c r="I5" s="65">
        <v>0</v>
      </c>
      <c r="J5" s="65">
        <v>0</v>
      </c>
      <c r="K5" s="65">
        <v>0</v>
      </c>
      <c r="L5" s="65">
        <v>0</v>
      </c>
      <c r="M5" s="65">
        <v>0</v>
      </c>
      <c r="N5" s="65">
        <f t="shared" si="3"/>
        <v>904</v>
      </c>
      <c r="O5" s="76" t="s">
        <v>154</v>
      </c>
    </row>
    <row r="6" spans="1:15" x14ac:dyDescent="0.35">
      <c r="A6" s="74" t="s">
        <v>9</v>
      </c>
      <c r="B6" s="65">
        <v>0</v>
      </c>
      <c r="C6" s="65">
        <v>0</v>
      </c>
      <c r="D6" s="65">
        <v>0</v>
      </c>
      <c r="E6" s="65">
        <v>0</v>
      </c>
      <c r="F6" s="65">
        <v>0</v>
      </c>
      <c r="G6" s="65">
        <v>0</v>
      </c>
      <c r="H6" s="65">
        <v>0</v>
      </c>
      <c r="I6" s="65">
        <v>0</v>
      </c>
      <c r="J6" s="65">
        <v>0</v>
      </c>
      <c r="K6" s="65">
        <v>2</v>
      </c>
      <c r="L6" s="65">
        <v>0</v>
      </c>
      <c r="M6" s="65">
        <v>0</v>
      </c>
      <c r="N6" s="65">
        <f t="shared" si="3"/>
        <v>2</v>
      </c>
    </row>
    <row r="7" spans="1:15" x14ac:dyDescent="0.35">
      <c r="A7" s="74" t="s">
        <v>153</v>
      </c>
      <c r="B7" s="65">
        <v>39</v>
      </c>
      <c r="C7" s="65">
        <v>66</v>
      </c>
      <c r="D7" s="65">
        <v>120</v>
      </c>
      <c r="E7" s="65">
        <v>77</v>
      </c>
      <c r="F7" s="65">
        <v>77</v>
      </c>
      <c r="G7" s="65">
        <v>65</v>
      </c>
      <c r="H7" s="65">
        <v>61</v>
      </c>
      <c r="I7" s="65">
        <v>60</v>
      </c>
      <c r="J7" s="65">
        <v>45</v>
      </c>
      <c r="K7" s="65">
        <v>47</v>
      </c>
      <c r="L7" s="65">
        <v>105</v>
      </c>
      <c r="M7" s="65">
        <v>86</v>
      </c>
      <c r="N7" s="65">
        <f>SUM(B7:M7)</f>
        <v>848</v>
      </c>
    </row>
    <row r="8" spans="1:15" x14ac:dyDescent="0.35">
      <c r="A8" s="74"/>
      <c r="B8" s="65"/>
      <c r="C8" s="65"/>
      <c r="D8" s="65"/>
      <c r="E8" s="65"/>
      <c r="F8" s="65"/>
      <c r="G8" s="65"/>
      <c r="H8" s="65"/>
      <c r="I8" s="64"/>
      <c r="J8" s="64"/>
      <c r="K8" s="64"/>
      <c r="L8" s="64"/>
      <c r="M8" s="64"/>
      <c r="N8" s="65">
        <f t="shared" si="3"/>
        <v>0</v>
      </c>
    </row>
    <row r="9" spans="1:15" s="71" customFormat="1" x14ac:dyDescent="0.35">
      <c r="A9" s="73" t="s">
        <v>25</v>
      </c>
      <c r="B9" s="69">
        <f>SUM(B10:B13)</f>
        <v>18</v>
      </c>
      <c r="C9" s="69">
        <f t="shared" ref="C9:M9" si="4">SUM(C10:C13)</f>
        <v>20</v>
      </c>
      <c r="D9" s="69">
        <f t="shared" si="4"/>
        <v>655</v>
      </c>
      <c r="E9" s="69">
        <f t="shared" si="4"/>
        <v>50</v>
      </c>
      <c r="F9" s="69">
        <f>SUM(F10:F13)</f>
        <v>310</v>
      </c>
      <c r="G9" s="69">
        <f t="shared" si="4"/>
        <v>60</v>
      </c>
      <c r="H9" s="69">
        <f t="shared" si="4"/>
        <v>64</v>
      </c>
      <c r="I9" s="69">
        <f t="shared" si="4"/>
        <v>47</v>
      </c>
      <c r="J9" s="69">
        <f t="shared" si="4"/>
        <v>42</v>
      </c>
      <c r="K9" s="69">
        <f t="shared" si="4"/>
        <v>58</v>
      </c>
      <c r="L9" s="69">
        <f t="shared" si="4"/>
        <v>162</v>
      </c>
      <c r="M9" s="69">
        <f t="shared" si="4"/>
        <v>175</v>
      </c>
      <c r="N9" s="69">
        <f t="shared" si="3"/>
        <v>1661</v>
      </c>
      <c r="O9" s="76"/>
    </row>
    <row r="10" spans="1:15" x14ac:dyDescent="0.35">
      <c r="A10" s="74" t="s">
        <v>8</v>
      </c>
      <c r="B10" s="65">
        <v>10</v>
      </c>
      <c r="C10" s="65">
        <v>16</v>
      </c>
      <c r="D10" s="65">
        <v>70</v>
      </c>
      <c r="E10" s="65">
        <v>45</v>
      </c>
      <c r="F10" s="65">
        <v>52</v>
      </c>
      <c r="G10" s="65">
        <v>54</v>
      </c>
      <c r="H10" s="65">
        <v>58</v>
      </c>
      <c r="I10" s="65">
        <v>42</v>
      </c>
      <c r="J10" s="65">
        <v>32</v>
      </c>
      <c r="K10" s="65">
        <v>28</v>
      </c>
      <c r="L10" s="65">
        <v>45</v>
      </c>
      <c r="M10" s="65">
        <v>46</v>
      </c>
      <c r="N10" s="65">
        <f t="shared" si="3"/>
        <v>498</v>
      </c>
    </row>
    <row r="11" spans="1:15" ht="14.5" x14ac:dyDescent="0.35">
      <c r="A11" s="74" t="s">
        <v>9</v>
      </c>
      <c r="B11" s="65"/>
      <c r="C11" s="65">
        <v>0</v>
      </c>
      <c r="D11" s="65">
        <v>0</v>
      </c>
      <c r="E11" s="65">
        <v>0</v>
      </c>
      <c r="F11" s="65">
        <v>0</v>
      </c>
      <c r="G11" s="65">
        <v>0</v>
      </c>
      <c r="H11" s="65">
        <v>0</v>
      </c>
      <c r="I11" s="65">
        <v>0</v>
      </c>
      <c r="J11" s="65">
        <v>4</v>
      </c>
      <c r="K11" s="65">
        <v>23</v>
      </c>
      <c r="L11" s="65">
        <v>74</v>
      </c>
      <c r="M11" s="65">
        <v>103</v>
      </c>
      <c r="N11" s="65">
        <f t="shared" si="3"/>
        <v>204</v>
      </c>
      <c r="O11"/>
    </row>
    <row r="12" spans="1:15" x14ac:dyDescent="0.35">
      <c r="A12" s="74" t="s">
        <v>153</v>
      </c>
      <c r="B12" s="65">
        <v>8</v>
      </c>
      <c r="C12" s="65">
        <v>4</v>
      </c>
      <c r="D12" s="65">
        <v>11</v>
      </c>
      <c r="E12" s="65">
        <v>5</v>
      </c>
      <c r="F12" s="65">
        <v>8</v>
      </c>
      <c r="G12" s="65">
        <v>6</v>
      </c>
      <c r="H12" s="65">
        <v>6</v>
      </c>
      <c r="I12" s="65">
        <v>5</v>
      </c>
      <c r="J12" s="65">
        <v>6</v>
      </c>
      <c r="K12" s="65">
        <v>7</v>
      </c>
      <c r="L12" s="65">
        <v>43</v>
      </c>
      <c r="M12" s="65">
        <v>26</v>
      </c>
      <c r="N12" s="65">
        <f>SUM(B12:M12)</f>
        <v>135</v>
      </c>
    </row>
    <row r="13" spans="1:15" x14ac:dyDescent="0.35">
      <c r="A13" s="74" t="s">
        <v>151</v>
      </c>
      <c r="B13" s="65"/>
      <c r="C13" s="65"/>
      <c r="D13" s="65">
        <v>574</v>
      </c>
      <c r="E13" s="65"/>
      <c r="F13" s="65">
        <v>250</v>
      </c>
      <c r="G13" s="65">
        <v>0</v>
      </c>
      <c r="H13" s="65">
        <v>0</v>
      </c>
      <c r="I13" s="65">
        <v>0</v>
      </c>
      <c r="J13" s="65">
        <v>0</v>
      </c>
      <c r="K13" s="65">
        <v>0</v>
      </c>
      <c r="L13" s="65">
        <v>0</v>
      </c>
      <c r="M13" s="64">
        <v>0</v>
      </c>
      <c r="N13" s="65">
        <f t="shared" si="3"/>
        <v>824</v>
      </c>
      <c r="O13" s="76" t="s">
        <v>152</v>
      </c>
    </row>
    <row r="14" spans="1:15" x14ac:dyDescent="0.35">
      <c r="A14" s="74"/>
      <c r="B14" s="65"/>
      <c r="C14" s="65"/>
      <c r="D14" s="65"/>
      <c r="E14" s="65"/>
      <c r="F14" s="65"/>
      <c r="G14" s="65"/>
      <c r="H14" s="65"/>
      <c r="I14" s="64"/>
      <c r="J14" s="64"/>
      <c r="K14" s="64"/>
      <c r="L14" s="64"/>
      <c r="M14" s="64"/>
      <c r="N14" s="65">
        <f t="shared" si="3"/>
        <v>0</v>
      </c>
    </row>
    <row r="15" spans="1:15" s="71" customFormat="1" x14ac:dyDescent="0.35">
      <c r="A15" s="73" t="s">
        <v>24</v>
      </c>
      <c r="B15" s="69">
        <f>SUM(B16:B18)</f>
        <v>10944300</v>
      </c>
      <c r="C15" s="69">
        <f>SUM(C16:C18)</f>
        <v>13630270</v>
      </c>
      <c r="D15" s="69">
        <f>SUM(D16:D18)</f>
        <v>28545820</v>
      </c>
      <c r="E15" s="69">
        <f>SUM(E16:E18)</f>
        <v>18997000</v>
      </c>
      <c r="F15" s="69">
        <f t="shared" ref="F15:M15" si="5">SUM(F16:F18)</f>
        <v>21202000</v>
      </c>
      <c r="G15" s="69">
        <f t="shared" si="5"/>
        <v>5004000</v>
      </c>
      <c r="H15" s="69">
        <f t="shared" si="5"/>
        <v>4847000</v>
      </c>
      <c r="I15" s="69">
        <f t="shared" si="5"/>
        <v>5067000</v>
      </c>
      <c r="J15" s="69">
        <f t="shared" si="5"/>
        <v>3734300</v>
      </c>
      <c r="K15" s="69">
        <f t="shared" si="5"/>
        <v>4066500</v>
      </c>
      <c r="L15" s="69">
        <f t="shared" si="5"/>
        <v>5866250</v>
      </c>
      <c r="M15" s="69">
        <f t="shared" si="5"/>
        <v>4837250</v>
      </c>
      <c r="N15" s="69">
        <f t="shared" si="3"/>
        <v>126741690</v>
      </c>
      <c r="O15" s="76"/>
    </row>
    <row r="16" spans="1:15" x14ac:dyDescent="0.35">
      <c r="A16" s="74" t="s">
        <v>8</v>
      </c>
      <c r="B16" s="65">
        <v>7851800</v>
      </c>
      <c r="C16" s="65">
        <v>8866020</v>
      </c>
      <c r="D16" s="65">
        <v>19462320</v>
      </c>
      <c r="E16" s="65">
        <v>13196750</v>
      </c>
      <c r="F16" s="65">
        <v>15351000</v>
      </c>
      <c r="G16" s="65">
        <v>0</v>
      </c>
      <c r="H16" s="65">
        <v>0</v>
      </c>
      <c r="I16" s="65">
        <v>0</v>
      </c>
      <c r="J16" s="65">
        <v>0</v>
      </c>
      <c r="K16" s="65">
        <v>0</v>
      </c>
      <c r="L16" s="65">
        <v>0</v>
      </c>
      <c r="M16" s="65">
        <v>0</v>
      </c>
      <c r="N16" s="65">
        <f t="shared" si="3"/>
        <v>64727890</v>
      </c>
      <c r="O16" s="76" t="s">
        <v>155</v>
      </c>
    </row>
    <row r="17" spans="1:15" x14ac:dyDescent="0.35">
      <c r="A17" s="74" t="s">
        <v>9</v>
      </c>
      <c r="B17" s="65">
        <v>0</v>
      </c>
      <c r="C17" s="65">
        <v>0</v>
      </c>
      <c r="D17" s="65"/>
      <c r="E17" s="65">
        <v>0</v>
      </c>
      <c r="F17" s="65"/>
      <c r="G17" s="65">
        <v>0</v>
      </c>
      <c r="H17" s="65">
        <v>0</v>
      </c>
      <c r="I17" s="65">
        <v>0</v>
      </c>
      <c r="J17" s="65">
        <v>0</v>
      </c>
      <c r="K17" s="65">
        <v>155000</v>
      </c>
      <c r="L17" s="65">
        <v>0</v>
      </c>
      <c r="M17" s="65">
        <v>0</v>
      </c>
      <c r="N17" s="65">
        <f t="shared" si="3"/>
        <v>155000</v>
      </c>
    </row>
    <row r="18" spans="1:15" x14ac:dyDescent="0.35">
      <c r="A18" s="74" t="s">
        <v>153</v>
      </c>
      <c r="B18" s="65">
        <v>3092500</v>
      </c>
      <c r="C18" s="65">
        <v>4764250</v>
      </c>
      <c r="D18" s="65">
        <v>9083500</v>
      </c>
      <c r="E18" s="65">
        <v>5800250</v>
      </c>
      <c r="F18" s="65">
        <v>5851000</v>
      </c>
      <c r="G18" s="65">
        <v>5004000</v>
      </c>
      <c r="H18" s="65">
        <v>4847000</v>
      </c>
      <c r="I18" s="65">
        <v>5067000</v>
      </c>
      <c r="J18" s="65">
        <v>3734300</v>
      </c>
      <c r="K18" s="65">
        <v>3911500</v>
      </c>
      <c r="L18" s="65">
        <v>5866250</v>
      </c>
      <c r="M18" s="65">
        <v>4837250</v>
      </c>
      <c r="N18" s="64">
        <f t="shared" si="3"/>
        <v>61858800</v>
      </c>
    </row>
    <row r="19" spans="1:15" x14ac:dyDescent="0.35">
      <c r="A19" s="74"/>
      <c r="B19" s="65"/>
      <c r="C19" s="65"/>
      <c r="D19" s="65"/>
      <c r="E19" s="65"/>
      <c r="F19" s="65"/>
      <c r="G19" s="65"/>
      <c r="H19" s="65"/>
      <c r="I19" s="65"/>
      <c r="J19" s="65"/>
      <c r="K19" s="65"/>
      <c r="L19" s="65"/>
      <c r="M19" s="65"/>
      <c r="N19" s="64">
        <f t="shared" si="3"/>
        <v>0</v>
      </c>
    </row>
    <row r="20" spans="1:15" s="71" customFormat="1" x14ac:dyDescent="0.35">
      <c r="A20" s="73" t="s">
        <v>1</v>
      </c>
      <c r="B20" s="69">
        <f t="shared" ref="B20:M20" si="6">SUM(B21:B24)</f>
        <v>5270000</v>
      </c>
      <c r="C20" s="69">
        <f t="shared" si="6"/>
        <v>5872200</v>
      </c>
      <c r="D20" s="69">
        <f t="shared" si="6"/>
        <v>135149000</v>
      </c>
      <c r="E20" s="69">
        <f t="shared" si="6"/>
        <v>13084000</v>
      </c>
      <c r="F20" s="69">
        <f t="shared" si="6"/>
        <v>64804000</v>
      </c>
      <c r="G20" s="69">
        <f t="shared" si="6"/>
        <v>15798000</v>
      </c>
      <c r="H20" s="69">
        <f t="shared" si="6"/>
        <v>16914000</v>
      </c>
      <c r="I20" s="69">
        <f t="shared" si="6"/>
        <v>12357600</v>
      </c>
      <c r="J20" s="69">
        <f t="shared" si="6"/>
        <v>10378400</v>
      </c>
      <c r="K20" s="69">
        <f t="shared" si="6"/>
        <v>14419600</v>
      </c>
      <c r="L20" s="69">
        <f t="shared" si="6"/>
        <v>35579900</v>
      </c>
      <c r="M20" s="69">
        <f t="shared" si="6"/>
        <v>38408500</v>
      </c>
      <c r="N20" s="69">
        <f t="shared" si="3"/>
        <v>368035200</v>
      </c>
      <c r="O20" s="76"/>
    </row>
    <row r="21" spans="1:15" x14ac:dyDescent="0.35">
      <c r="A21" s="74" t="s">
        <v>8</v>
      </c>
      <c r="B21" s="65">
        <v>3380000</v>
      </c>
      <c r="C21" s="65">
        <v>4672200</v>
      </c>
      <c r="D21" s="65">
        <v>18070000</v>
      </c>
      <c r="E21" s="65">
        <v>11794000</v>
      </c>
      <c r="F21" s="65">
        <v>13749000</v>
      </c>
      <c r="G21" s="65">
        <v>14068000</v>
      </c>
      <c r="H21" s="65">
        <v>15184000</v>
      </c>
      <c r="I21" s="65">
        <v>10857600</v>
      </c>
      <c r="J21" s="65">
        <v>7661600</v>
      </c>
      <c r="K21" s="65">
        <v>6994400</v>
      </c>
      <c r="L21" s="65">
        <v>11179200</v>
      </c>
      <c r="M21" s="65">
        <v>11120000</v>
      </c>
      <c r="N21" s="65">
        <f t="shared" si="3"/>
        <v>128730000</v>
      </c>
    </row>
    <row r="22" spans="1:15" x14ac:dyDescent="0.35">
      <c r="A22" s="74" t="s">
        <v>9</v>
      </c>
      <c r="B22" s="65">
        <v>0</v>
      </c>
      <c r="C22" s="65">
        <v>0</v>
      </c>
      <c r="D22" s="65">
        <v>0</v>
      </c>
      <c r="E22" s="65">
        <v>0</v>
      </c>
      <c r="F22" s="65">
        <v>0</v>
      </c>
      <c r="G22" s="65">
        <v>0</v>
      </c>
      <c r="H22" s="65">
        <v>0</v>
      </c>
      <c r="I22" s="65">
        <v>0</v>
      </c>
      <c r="J22" s="65">
        <v>916800</v>
      </c>
      <c r="K22" s="65">
        <v>5395200</v>
      </c>
      <c r="L22" s="65">
        <v>15657500</v>
      </c>
      <c r="M22" s="65">
        <v>20670100</v>
      </c>
      <c r="N22" s="65">
        <f t="shared" si="3"/>
        <v>42639600</v>
      </c>
    </row>
    <row r="23" spans="1:15" x14ac:dyDescent="0.35">
      <c r="A23" s="74" t="s">
        <v>153</v>
      </c>
      <c r="B23" s="65">
        <v>1890000</v>
      </c>
      <c r="C23" s="65">
        <v>1200000</v>
      </c>
      <c r="D23" s="65">
        <v>2950000</v>
      </c>
      <c r="E23" s="65">
        <v>1290000</v>
      </c>
      <c r="F23" s="65">
        <v>2400000</v>
      </c>
      <c r="G23" s="65">
        <v>1730000</v>
      </c>
      <c r="H23" s="65">
        <v>1730000</v>
      </c>
      <c r="I23" s="65">
        <v>1500000</v>
      </c>
      <c r="J23" s="65">
        <v>1800000</v>
      </c>
      <c r="K23" s="65">
        <v>2030000</v>
      </c>
      <c r="L23" s="65">
        <v>8743200</v>
      </c>
      <c r="M23" s="65">
        <v>6618400</v>
      </c>
      <c r="N23" s="65">
        <f t="shared" si="3"/>
        <v>33881600</v>
      </c>
    </row>
    <row r="24" spans="1:15" ht="14.5" x14ac:dyDescent="0.35">
      <c r="A24" s="74" t="s">
        <v>20</v>
      </c>
      <c r="B24" s="65"/>
      <c r="C24" s="65"/>
      <c r="D24" s="65">
        <v>114129000</v>
      </c>
      <c r="E24" s="65">
        <v>0</v>
      </c>
      <c r="F24" s="65">
        <v>48655000</v>
      </c>
      <c r="G24" s="65">
        <v>0</v>
      </c>
      <c r="H24" s="65">
        <v>0</v>
      </c>
      <c r="I24" s="65">
        <v>0</v>
      </c>
      <c r="J24" s="65">
        <v>0</v>
      </c>
      <c r="K24" s="65">
        <v>0</v>
      </c>
      <c r="L24" s="65">
        <v>0</v>
      </c>
      <c r="M24" s="65">
        <v>0</v>
      </c>
      <c r="N24" s="65">
        <f t="shared" si="3"/>
        <v>162784000</v>
      </c>
      <c r="O24"/>
    </row>
    <row r="25" spans="1:15" x14ac:dyDescent="0.35">
      <c r="A25" s="74"/>
      <c r="B25" s="123"/>
      <c r="C25" s="123"/>
      <c r="D25" s="123"/>
      <c r="E25" s="65"/>
      <c r="F25" s="65"/>
      <c r="G25" s="65"/>
      <c r="H25" s="65"/>
      <c r="I25" s="65"/>
      <c r="J25" s="65"/>
      <c r="K25" s="65"/>
      <c r="L25" s="65"/>
      <c r="M25" s="65"/>
      <c r="N25" s="65">
        <f t="shared" si="3"/>
        <v>0</v>
      </c>
    </row>
    <row r="26" spans="1:15" s="71" customFormat="1" x14ac:dyDescent="0.35">
      <c r="A26" s="73" t="s">
        <v>12</v>
      </c>
      <c r="B26" s="69">
        <f>SUM(B27:B30)</f>
        <v>530090780</v>
      </c>
      <c r="C26" s="69">
        <v>490136000</v>
      </c>
      <c r="D26" s="69">
        <f>SUM(D27:D30)</f>
        <v>584289760</v>
      </c>
      <c r="E26" s="69">
        <f t="shared" ref="E26:M26" si="7">SUM(E27:E30)</f>
        <v>514896040</v>
      </c>
      <c r="F26" s="69">
        <f t="shared" si="7"/>
        <v>534887420</v>
      </c>
      <c r="G26" s="69">
        <f t="shared" si="7"/>
        <v>520264260</v>
      </c>
      <c r="H26" s="69">
        <f t="shared" si="7"/>
        <v>441172620</v>
      </c>
      <c r="I26" s="69">
        <f t="shared" si="7"/>
        <v>480907180</v>
      </c>
      <c r="J26" s="69">
        <f t="shared" si="7"/>
        <v>464958050</v>
      </c>
      <c r="K26" s="69">
        <f t="shared" si="7"/>
        <v>473988580</v>
      </c>
      <c r="L26" s="69">
        <f t="shared" si="7"/>
        <v>610447930</v>
      </c>
      <c r="M26" s="69">
        <f t="shared" si="7"/>
        <v>442937890</v>
      </c>
      <c r="N26" s="69">
        <f t="shared" si="3"/>
        <v>6088976510</v>
      </c>
      <c r="O26" s="76"/>
    </row>
    <row r="27" spans="1:15" x14ac:dyDescent="0.35">
      <c r="A27" s="74" t="s">
        <v>10</v>
      </c>
      <c r="B27" s="65">
        <v>403716840</v>
      </c>
      <c r="C27" s="65">
        <v>372447720</v>
      </c>
      <c r="D27" s="65">
        <v>445210920</v>
      </c>
      <c r="E27" s="65">
        <v>389973120</v>
      </c>
      <c r="F27" s="65">
        <v>405630600</v>
      </c>
      <c r="G27" s="65">
        <v>392602320</v>
      </c>
      <c r="H27" s="65">
        <v>325912320</v>
      </c>
      <c r="I27" s="65">
        <v>359847840</v>
      </c>
      <c r="J27" s="65">
        <v>346660560</v>
      </c>
      <c r="K27" s="65">
        <v>350259480</v>
      </c>
      <c r="L27" s="65">
        <v>441460640</v>
      </c>
      <c r="M27" s="65">
        <v>318075480</v>
      </c>
      <c r="N27" s="65">
        <f t="shared" si="3"/>
        <v>4551797840</v>
      </c>
    </row>
    <row r="28" spans="1:15" ht="14.5" x14ac:dyDescent="0.35">
      <c r="A28" s="74" t="s">
        <v>8</v>
      </c>
      <c r="B28" s="65">
        <v>90195600</v>
      </c>
      <c r="C28" s="65">
        <v>84371300</v>
      </c>
      <c r="D28" s="65">
        <v>97163740</v>
      </c>
      <c r="E28" s="65">
        <v>86077480</v>
      </c>
      <c r="F28" s="65">
        <v>89903480</v>
      </c>
      <c r="G28" s="65">
        <v>87527180</v>
      </c>
      <c r="H28" s="65">
        <v>79995100</v>
      </c>
      <c r="I28" s="65">
        <v>84599160</v>
      </c>
      <c r="J28" s="65">
        <v>82625220</v>
      </c>
      <c r="K28" s="65">
        <v>82968060</v>
      </c>
      <c r="L28" s="65">
        <v>114778050</v>
      </c>
      <c r="M28" s="65">
        <v>81418720</v>
      </c>
      <c r="N28" s="65">
        <f t="shared" si="3"/>
        <v>1061623090</v>
      </c>
      <c r="O28"/>
    </row>
    <row r="29" spans="1:15" ht="14.5" x14ac:dyDescent="0.35">
      <c r="A29" s="74" t="s">
        <v>9</v>
      </c>
      <c r="B29" s="65">
        <v>35483340</v>
      </c>
      <c r="C29" s="65">
        <v>32263910.000000004</v>
      </c>
      <c r="D29" s="65">
        <v>36497850</v>
      </c>
      <c r="E29" s="65">
        <v>32690940</v>
      </c>
      <c r="F29" s="65">
        <v>33536340</v>
      </c>
      <c r="G29" s="65">
        <v>33803760</v>
      </c>
      <c r="H29" s="65">
        <v>30516700</v>
      </c>
      <c r="I29" s="65">
        <v>31211930</v>
      </c>
      <c r="J29" s="65">
        <v>29165270</v>
      </c>
      <c r="K29" s="65">
        <v>34422290</v>
      </c>
      <c r="L29" s="65">
        <v>46814240</v>
      </c>
      <c r="M29" s="65">
        <v>35309440</v>
      </c>
      <c r="N29" s="65">
        <f t="shared" si="3"/>
        <v>411716010</v>
      </c>
      <c r="O29"/>
    </row>
    <row r="30" spans="1:15" x14ac:dyDescent="0.35">
      <c r="A30" s="74" t="s">
        <v>153</v>
      </c>
      <c r="B30" s="65">
        <v>695000</v>
      </c>
      <c r="C30" s="65">
        <v>1053500</v>
      </c>
      <c r="D30" s="65">
        <v>5417250</v>
      </c>
      <c r="E30" s="65">
        <v>6154500</v>
      </c>
      <c r="F30" s="65">
        <v>5817000</v>
      </c>
      <c r="G30" s="65">
        <v>6331000</v>
      </c>
      <c r="H30" s="65">
        <v>4748500</v>
      </c>
      <c r="I30" s="65">
        <v>5248250</v>
      </c>
      <c r="J30" s="65">
        <v>6507000</v>
      </c>
      <c r="K30" s="65">
        <v>6338750</v>
      </c>
      <c r="L30" s="65">
        <v>7395000</v>
      </c>
      <c r="M30" s="65">
        <v>8134250</v>
      </c>
      <c r="N30" s="65">
        <f t="shared" si="3"/>
        <v>63840000</v>
      </c>
      <c r="O30" s="78"/>
    </row>
    <row r="31" spans="1:15" x14ac:dyDescent="0.35">
      <c r="A31" s="74"/>
      <c r="B31" s="65"/>
      <c r="C31" s="65"/>
      <c r="D31" s="65"/>
      <c r="E31" s="65"/>
      <c r="F31" s="65"/>
      <c r="G31" s="65"/>
      <c r="H31" s="65"/>
      <c r="I31" s="65"/>
      <c r="J31" s="65"/>
      <c r="K31" s="65"/>
      <c r="L31" s="65"/>
      <c r="M31" s="65"/>
      <c r="N31" s="64">
        <f t="shared" si="3"/>
        <v>0</v>
      </c>
      <c r="O31" s="78"/>
    </row>
    <row r="32" spans="1:15" ht="13.5" thickBot="1" x14ac:dyDescent="0.4">
      <c r="A32" s="75" t="s">
        <v>7</v>
      </c>
      <c r="B32" s="66">
        <f>B15+B20+B26</f>
        <v>546305080</v>
      </c>
      <c r="C32" s="66">
        <f t="shared" ref="C32:M32" si="8">C15+C20+C26</f>
        <v>509638470</v>
      </c>
      <c r="D32" s="66">
        <f t="shared" si="8"/>
        <v>747984580</v>
      </c>
      <c r="E32" s="66">
        <f t="shared" si="8"/>
        <v>546977040</v>
      </c>
      <c r="F32" s="66">
        <f t="shared" si="8"/>
        <v>620893420</v>
      </c>
      <c r="G32" s="66">
        <f t="shared" si="8"/>
        <v>541066260</v>
      </c>
      <c r="H32" s="66">
        <f t="shared" si="8"/>
        <v>462933620</v>
      </c>
      <c r="I32" s="66">
        <f t="shared" si="8"/>
        <v>498331780</v>
      </c>
      <c r="J32" s="66">
        <f t="shared" si="8"/>
        <v>479070750</v>
      </c>
      <c r="K32" s="66">
        <f t="shared" si="8"/>
        <v>492474680</v>
      </c>
      <c r="L32" s="66">
        <f t="shared" si="8"/>
        <v>651894080</v>
      </c>
      <c r="M32" s="66">
        <f t="shared" si="8"/>
        <v>486183640</v>
      </c>
      <c r="N32" s="66">
        <f>SUM(B32:M32)</f>
        <v>6583753400</v>
      </c>
      <c r="O32" s="67" t="s">
        <v>156</v>
      </c>
    </row>
    <row r="33" spans="1:15" ht="13.5" thickTop="1" x14ac:dyDescent="0.35">
      <c r="B33" s="131"/>
      <c r="C33" s="65"/>
      <c r="D33" s="65"/>
      <c r="E33" s="65"/>
      <c r="F33" s="65"/>
      <c r="G33" s="65"/>
      <c r="H33" s="65"/>
      <c r="I33" s="65"/>
      <c r="J33" s="65"/>
      <c r="K33" s="65"/>
      <c r="L33" s="65"/>
      <c r="M33" s="65"/>
      <c r="N33" s="64"/>
    </row>
    <row r="34" spans="1:15" ht="26" x14ac:dyDescent="0.35">
      <c r="A34" s="67" t="s">
        <v>36</v>
      </c>
      <c r="B34" s="64">
        <f>SUM(B35:B38)</f>
        <v>71629</v>
      </c>
      <c r="C34" s="64">
        <f t="shared" ref="C34:M34" si="9">SUM(C35:C38)</f>
        <v>69070</v>
      </c>
      <c r="D34" s="64">
        <f t="shared" si="9"/>
        <v>74704</v>
      </c>
      <c r="E34" s="64">
        <f t="shared" si="9"/>
        <v>70159</v>
      </c>
      <c r="F34" s="64">
        <f t="shared" si="9"/>
        <v>71250</v>
      </c>
      <c r="G34" s="64">
        <f t="shared" si="9"/>
        <v>68509</v>
      </c>
      <c r="H34" s="64">
        <f t="shared" si="9"/>
        <v>63841</v>
      </c>
      <c r="I34" s="64">
        <f t="shared" si="9"/>
        <v>65365</v>
      </c>
      <c r="J34" s="64">
        <f t="shared" si="9"/>
        <v>64166</v>
      </c>
      <c r="K34" s="64">
        <f t="shared" si="9"/>
        <v>63318</v>
      </c>
      <c r="L34" s="64">
        <f t="shared" si="9"/>
        <v>63221</v>
      </c>
      <c r="M34" s="64">
        <f t="shared" si="9"/>
        <v>53372</v>
      </c>
      <c r="N34" s="64"/>
      <c r="O34"/>
    </row>
    <row r="35" spans="1:15" x14ac:dyDescent="0.35">
      <c r="A35" s="74" t="s">
        <v>2</v>
      </c>
      <c r="B35" s="65">
        <v>59467</v>
      </c>
      <c r="C35" s="65">
        <v>57427</v>
      </c>
      <c r="D35" s="65">
        <v>61762</v>
      </c>
      <c r="E35" s="65">
        <v>58060</v>
      </c>
      <c r="F35" s="65">
        <v>58832</v>
      </c>
      <c r="G35" s="65">
        <v>56376</v>
      </c>
      <c r="H35" s="65">
        <v>52486</v>
      </c>
      <c r="I35" s="65">
        <v>53696</v>
      </c>
      <c r="J35" s="65">
        <v>52479</v>
      </c>
      <c r="K35" s="65">
        <v>51276</v>
      </c>
      <c r="L35" s="65">
        <v>50863</v>
      </c>
      <c r="M35" s="65">
        <v>42629</v>
      </c>
      <c r="N35" s="64"/>
    </row>
    <row r="36" spans="1:15" x14ac:dyDescent="0.35">
      <c r="A36" s="74" t="s">
        <v>3</v>
      </c>
      <c r="B36" s="65">
        <v>8742</v>
      </c>
      <c r="C36" s="65">
        <v>8366</v>
      </c>
      <c r="D36" s="65">
        <v>9321</v>
      </c>
      <c r="E36" s="65">
        <v>8658</v>
      </c>
      <c r="F36" s="65">
        <v>8943</v>
      </c>
      <c r="G36" s="65">
        <v>8622</v>
      </c>
      <c r="H36" s="65">
        <v>8085</v>
      </c>
      <c r="I36" s="65">
        <v>8359</v>
      </c>
      <c r="J36" s="65">
        <v>8328</v>
      </c>
      <c r="K36" s="65">
        <v>8275</v>
      </c>
      <c r="L36" s="65">
        <v>8341</v>
      </c>
      <c r="M36" s="65">
        <v>7083</v>
      </c>
      <c r="N36" s="65"/>
    </row>
    <row r="37" spans="1:15" x14ac:dyDescent="0.35">
      <c r="A37" s="74" t="s">
        <v>6</v>
      </c>
      <c r="B37" s="65">
        <v>3361</v>
      </c>
      <c r="C37" s="65">
        <v>3189</v>
      </c>
      <c r="D37" s="65">
        <v>3448</v>
      </c>
      <c r="E37" s="65">
        <v>3211</v>
      </c>
      <c r="F37" s="65">
        <v>3206</v>
      </c>
      <c r="G37" s="65">
        <v>3187</v>
      </c>
      <c r="H37" s="65">
        <v>2912</v>
      </c>
      <c r="I37" s="65">
        <v>2918</v>
      </c>
      <c r="J37" s="65">
        <v>2893</v>
      </c>
      <c r="K37" s="65">
        <v>3293</v>
      </c>
      <c r="L37" s="65">
        <v>3482</v>
      </c>
      <c r="M37" s="65">
        <v>3072</v>
      </c>
      <c r="N37" s="65"/>
    </row>
    <row r="38" spans="1:15" x14ac:dyDescent="0.35">
      <c r="A38" s="74" t="s">
        <v>153</v>
      </c>
      <c r="B38" s="65">
        <v>59</v>
      </c>
      <c r="C38" s="65">
        <v>88</v>
      </c>
      <c r="D38" s="65">
        <v>173</v>
      </c>
      <c r="E38" s="65">
        <v>230</v>
      </c>
      <c r="F38" s="65">
        <v>269</v>
      </c>
      <c r="G38" s="65">
        <v>324</v>
      </c>
      <c r="H38" s="65">
        <f>365-7</f>
        <v>358</v>
      </c>
      <c r="I38" s="65">
        <v>392</v>
      </c>
      <c r="J38" s="65">
        <v>466</v>
      </c>
      <c r="K38" s="65">
        <v>474</v>
      </c>
      <c r="L38" s="65">
        <v>535</v>
      </c>
      <c r="M38" s="65">
        <v>588</v>
      </c>
      <c r="N38" s="64"/>
    </row>
    <row r="39" spans="1:15" x14ac:dyDescent="0.35">
      <c r="B39" s="65"/>
      <c r="C39" s="65"/>
      <c r="D39" s="65"/>
      <c r="E39" s="65"/>
      <c r="F39" s="65"/>
      <c r="G39" s="65"/>
      <c r="H39" s="65"/>
      <c r="I39" s="65"/>
      <c r="J39" s="65"/>
      <c r="K39" s="65"/>
      <c r="L39" s="65"/>
      <c r="M39" s="65"/>
      <c r="N39" s="64"/>
    </row>
    <row r="40" spans="1:15" x14ac:dyDescent="0.35">
      <c r="A40" s="67" t="s">
        <v>13</v>
      </c>
      <c r="B40" s="64">
        <f>IFERROR(B26/B34,0)</f>
        <v>7400.5051026818746</v>
      </c>
      <c r="C40" s="64">
        <f t="shared" ref="C40:N40" si="10">IFERROR(C26/C34,0)</f>
        <v>7096.2212248443611</v>
      </c>
      <c r="D40" s="64">
        <f t="shared" si="10"/>
        <v>7821.3985864210754</v>
      </c>
      <c r="E40" s="64">
        <f t="shared" si="10"/>
        <v>7338.9877278752547</v>
      </c>
      <c r="F40" s="64">
        <f t="shared" si="10"/>
        <v>7507.1918596491232</v>
      </c>
      <c r="G40" s="64">
        <f t="shared" si="10"/>
        <v>7594.1009210468701</v>
      </c>
      <c r="H40" s="64">
        <f t="shared" si="10"/>
        <v>6910.4904371798684</v>
      </c>
      <c r="I40" s="64">
        <f t="shared" si="10"/>
        <v>7357.2581656849998</v>
      </c>
      <c r="J40" s="64">
        <f t="shared" si="10"/>
        <v>7246.1747654521087</v>
      </c>
      <c r="K40" s="64">
        <f t="shared" si="10"/>
        <v>7485.8425724122681</v>
      </c>
      <c r="L40" s="64">
        <f t="shared" si="10"/>
        <v>9655.7778269878672</v>
      </c>
      <c r="M40" s="64">
        <f t="shared" si="10"/>
        <v>8299.0686127557528</v>
      </c>
      <c r="N40" s="64">
        <f t="shared" si="10"/>
        <v>0</v>
      </c>
    </row>
    <row r="41" spans="1:15" x14ac:dyDescent="0.35">
      <c r="A41" s="74" t="s">
        <v>10</v>
      </c>
      <c r="B41" s="65">
        <f>IFERROR(B27/B35,0)</f>
        <v>6788.9222594043758</v>
      </c>
      <c r="C41" s="65">
        <f t="shared" ref="C41:N41" si="11">IFERROR(C27/C35,0)</f>
        <v>6485.5855259721038</v>
      </c>
      <c r="D41" s="65">
        <f t="shared" si="11"/>
        <v>7208.4926006282176</v>
      </c>
      <c r="E41" s="65">
        <f t="shared" si="11"/>
        <v>6716.7261453668616</v>
      </c>
      <c r="F41" s="65">
        <f t="shared" si="11"/>
        <v>6894.7273592602669</v>
      </c>
      <c r="G41" s="65">
        <f t="shared" si="11"/>
        <v>6963.997445721584</v>
      </c>
      <c r="H41" s="65">
        <f t="shared" si="11"/>
        <v>6209.5095835079828</v>
      </c>
      <c r="I41" s="65">
        <f t="shared" si="11"/>
        <v>6701.5762812872463</v>
      </c>
      <c r="J41" s="65">
        <f t="shared" si="11"/>
        <v>6605.7005659406623</v>
      </c>
      <c r="K41" s="65">
        <f t="shared" si="11"/>
        <v>6830.865902176457</v>
      </c>
      <c r="L41" s="65">
        <f t="shared" si="11"/>
        <v>8679.4062481568126</v>
      </c>
      <c r="M41" s="65">
        <f t="shared" si="11"/>
        <v>7461.4811513289078</v>
      </c>
      <c r="N41" s="65">
        <f t="shared" si="11"/>
        <v>0</v>
      </c>
    </row>
    <row r="42" spans="1:15" x14ac:dyDescent="0.35">
      <c r="A42" s="74" t="s">
        <v>8</v>
      </c>
      <c r="B42" s="65">
        <f>IFERROR(B28/B36,0)</f>
        <v>10317.501715854496</v>
      </c>
      <c r="C42" s="65">
        <f t="shared" ref="C42:N42" si="12">IFERROR(C28/C36,0)</f>
        <v>10085.022710972986</v>
      </c>
      <c r="D42" s="65">
        <f t="shared" si="12"/>
        <v>10424.17551764832</v>
      </c>
      <c r="E42" s="65">
        <f t="shared" si="12"/>
        <v>9941.9588819588826</v>
      </c>
      <c r="F42" s="65">
        <f t="shared" si="12"/>
        <v>10052.944202169294</v>
      </c>
      <c r="G42" s="65">
        <f t="shared" si="12"/>
        <v>10151.609835305033</v>
      </c>
      <c r="H42" s="65">
        <f t="shared" si="12"/>
        <v>9894.2609771181196</v>
      </c>
      <c r="I42" s="65">
        <f t="shared" si="12"/>
        <v>10120.727359732025</v>
      </c>
      <c r="J42" s="65">
        <f t="shared" si="12"/>
        <v>9921.3760806916434</v>
      </c>
      <c r="K42" s="65">
        <f t="shared" si="12"/>
        <v>10026.351661631419</v>
      </c>
      <c r="L42" s="65">
        <f t="shared" si="12"/>
        <v>13760.706150341686</v>
      </c>
      <c r="M42" s="65">
        <f t="shared" si="12"/>
        <v>11494.948468163208</v>
      </c>
      <c r="N42" s="65">
        <f t="shared" si="12"/>
        <v>0</v>
      </c>
    </row>
    <row r="43" spans="1:15" x14ac:dyDescent="0.35">
      <c r="A43" s="74" t="s">
        <v>6</v>
      </c>
      <c r="B43" s="65">
        <f>IFERROR(B29/B37,0)</f>
        <v>10557.375781017554</v>
      </c>
      <c r="C43" s="65">
        <f t="shared" ref="C43:N43" si="13">IFERROR(C29/C37,0)</f>
        <v>10117.24992160552</v>
      </c>
      <c r="D43" s="65">
        <f t="shared" si="13"/>
        <v>10585.22331786543</v>
      </c>
      <c r="E43" s="65">
        <f t="shared" si="13"/>
        <v>10180.921831205233</v>
      </c>
      <c r="F43" s="65">
        <f t="shared" si="13"/>
        <v>10460.492825951342</v>
      </c>
      <c r="G43" s="65">
        <f t="shared" si="13"/>
        <v>10606.76498274239</v>
      </c>
      <c r="H43" s="65">
        <f t="shared" si="13"/>
        <v>10479.635989010989</v>
      </c>
      <c r="I43" s="65">
        <f t="shared" si="13"/>
        <v>10696.34338588074</v>
      </c>
      <c r="J43" s="65">
        <f t="shared" si="13"/>
        <v>10081.323885240236</v>
      </c>
      <c r="K43" s="65">
        <f t="shared" si="13"/>
        <v>10453.170361372608</v>
      </c>
      <c r="L43" s="65">
        <f t="shared" si="13"/>
        <v>13444.641010913268</v>
      </c>
      <c r="M43" s="65">
        <f t="shared" si="13"/>
        <v>11493.958333333334</v>
      </c>
      <c r="N43" s="65">
        <f t="shared" si="13"/>
        <v>0</v>
      </c>
    </row>
    <row r="44" spans="1:15" x14ac:dyDescent="0.35">
      <c r="A44" s="74" t="s">
        <v>153</v>
      </c>
      <c r="B44" s="65">
        <f>IFERROR(B30/B38,0)</f>
        <v>11779.661016949152</v>
      </c>
      <c r="C44" s="65">
        <f>IFERROR(C30/C38,0)</f>
        <v>11971.59090909091</v>
      </c>
      <c r="D44" s="131">
        <f t="shared" ref="D44:N44" si="14">IFERROR(D30/D38,0)</f>
        <v>31313.583815028902</v>
      </c>
      <c r="E44" s="65">
        <f t="shared" si="14"/>
        <v>26758.695652173912</v>
      </c>
      <c r="F44" s="65">
        <f t="shared" si="14"/>
        <v>21624.535315985129</v>
      </c>
      <c r="G44" s="65">
        <f t="shared" si="14"/>
        <v>19540.123456790123</v>
      </c>
      <c r="H44" s="65">
        <f t="shared" si="14"/>
        <v>13263.966480446927</v>
      </c>
      <c r="I44" s="65">
        <f t="shared" si="14"/>
        <v>13388.392857142857</v>
      </c>
      <c r="J44" s="65">
        <f t="shared" si="14"/>
        <v>13963.519313304721</v>
      </c>
      <c r="K44" s="65">
        <f t="shared" si="14"/>
        <v>13372.890295358649</v>
      </c>
      <c r="L44" s="65">
        <f t="shared" si="14"/>
        <v>13822.429906542056</v>
      </c>
      <c r="M44" s="65">
        <f t="shared" si="14"/>
        <v>13833.758503401361</v>
      </c>
      <c r="N44" s="65">
        <f t="shared" si="14"/>
        <v>0</v>
      </c>
    </row>
    <row r="46" spans="1:15" x14ac:dyDescent="0.35">
      <c r="A46" s="76" t="s">
        <v>65</v>
      </c>
      <c r="B46" s="127">
        <v>97157</v>
      </c>
      <c r="C46" s="127">
        <f>B47</f>
        <v>94922</v>
      </c>
      <c r="D46" s="127">
        <f>C47</f>
        <v>92673</v>
      </c>
      <c r="E46" s="127">
        <f>D47</f>
        <v>91397</v>
      </c>
      <c r="F46" s="127">
        <f t="shared" ref="F46:J46" si="15">E47</f>
        <v>90194</v>
      </c>
      <c r="G46" s="127">
        <f t="shared" si="15"/>
        <v>88653</v>
      </c>
      <c r="H46" s="127">
        <f t="shared" si="15"/>
        <v>86897</v>
      </c>
      <c r="I46" s="127">
        <f t="shared" si="15"/>
        <v>86129</v>
      </c>
      <c r="J46" s="127">
        <f t="shared" si="15"/>
        <v>82250</v>
      </c>
      <c r="K46" s="68">
        <f>J47</f>
        <v>80186</v>
      </c>
      <c r="L46" s="68">
        <f>K47</f>
        <v>77030</v>
      </c>
      <c r="M46" s="68">
        <f>L47</f>
        <v>73827</v>
      </c>
      <c r="N46" s="68"/>
    </row>
    <row r="47" spans="1:15" x14ac:dyDescent="0.35">
      <c r="A47" s="67" t="s">
        <v>145</v>
      </c>
      <c r="B47" s="127">
        <v>94922</v>
      </c>
      <c r="C47" s="127">
        <v>92673</v>
      </c>
      <c r="D47" s="127">
        <v>91397</v>
      </c>
      <c r="E47" s="127">
        <v>90194</v>
      </c>
      <c r="F47" s="127">
        <v>88653</v>
      </c>
      <c r="G47" s="127">
        <v>86897</v>
      </c>
      <c r="H47" s="127">
        <v>86129</v>
      </c>
      <c r="I47" s="127">
        <v>82250</v>
      </c>
      <c r="J47" s="68">
        <v>80186</v>
      </c>
      <c r="K47" s="68">
        <v>77030</v>
      </c>
      <c r="L47" s="68">
        <v>73827</v>
      </c>
      <c r="M47" s="68">
        <v>71535</v>
      </c>
      <c r="N47" s="68"/>
    </row>
    <row r="48" spans="1:15" x14ac:dyDescent="0.35">
      <c r="A48" s="76" t="s">
        <v>146</v>
      </c>
      <c r="B48" s="129">
        <f t="shared" ref="B48:N48" si="16">IFERROR(B26/B46,0)</f>
        <v>5456.0225202507281</v>
      </c>
      <c r="C48" s="129">
        <f t="shared" si="16"/>
        <v>5163.5658751395886</v>
      </c>
      <c r="D48" s="129">
        <f t="shared" si="16"/>
        <v>6304.8542725497182</v>
      </c>
      <c r="E48" s="129">
        <f t="shared" si="16"/>
        <v>5633.6207971815265</v>
      </c>
      <c r="F48" s="129">
        <f t="shared" si="16"/>
        <v>5930.4102268443576</v>
      </c>
      <c r="G48" s="129">
        <f t="shared" si="16"/>
        <v>5868.5465804879695</v>
      </c>
      <c r="H48" s="129">
        <f t="shared" si="16"/>
        <v>5076.9603093317373</v>
      </c>
      <c r="I48" s="129">
        <f t="shared" si="16"/>
        <v>5583.5686005874904</v>
      </c>
      <c r="J48" s="129">
        <f t="shared" si="16"/>
        <v>5652.9854103343469</v>
      </c>
      <c r="K48" s="129">
        <f t="shared" si="16"/>
        <v>5911.1139101588806</v>
      </c>
      <c r="L48" s="129">
        <f t="shared" si="16"/>
        <v>7924.8076074256787</v>
      </c>
      <c r="M48" s="129">
        <f t="shared" si="16"/>
        <v>5999.6734257114604</v>
      </c>
      <c r="N48" s="129">
        <f t="shared" si="16"/>
        <v>0</v>
      </c>
    </row>
    <row r="49" spans="1:15" x14ac:dyDescent="0.35">
      <c r="A49" s="76" t="s">
        <v>147</v>
      </c>
      <c r="B49" s="129">
        <f t="shared" ref="B49:N49" si="17">IFERROR(B32/B46,0)</f>
        <v>5622.9101351420895</v>
      </c>
      <c r="C49" s="129">
        <f t="shared" si="17"/>
        <v>5369.0237247424202</v>
      </c>
      <c r="D49" s="129">
        <f t="shared" si="17"/>
        <v>8071.2244127199938</v>
      </c>
      <c r="E49" s="129">
        <f t="shared" si="17"/>
        <v>5984.6279418361655</v>
      </c>
      <c r="F49" s="129">
        <f t="shared" si="17"/>
        <v>6883.9769829478682</v>
      </c>
      <c r="G49" s="129">
        <f t="shared" si="17"/>
        <v>6103.1917701600623</v>
      </c>
      <c r="H49" s="129">
        <f t="shared" si="17"/>
        <v>5327.3832238167024</v>
      </c>
      <c r="I49" s="129">
        <f t="shared" si="17"/>
        <v>5785.8767662459795</v>
      </c>
      <c r="J49" s="129">
        <f t="shared" si="17"/>
        <v>5824.5683890577511</v>
      </c>
      <c r="K49" s="129">
        <f t="shared" si="17"/>
        <v>6141.6541540917369</v>
      </c>
      <c r="L49" s="129">
        <f t="shared" si="17"/>
        <v>8462.8596650655581</v>
      </c>
      <c r="M49" s="129">
        <f t="shared" si="17"/>
        <v>6585.4448914353825</v>
      </c>
      <c r="N49" s="129">
        <f t="shared" si="17"/>
        <v>0</v>
      </c>
    </row>
    <row r="50" spans="1:15" x14ac:dyDescent="0.35">
      <c r="A50" s="77"/>
      <c r="B50" s="130"/>
      <c r="C50" s="130"/>
      <c r="D50" s="130"/>
      <c r="E50" s="130"/>
      <c r="F50" s="130"/>
      <c r="G50" s="130"/>
      <c r="H50" s="130"/>
      <c r="I50" s="130"/>
      <c r="J50" s="130"/>
      <c r="K50" s="130"/>
      <c r="L50" s="130"/>
      <c r="M50" s="130"/>
      <c r="N50" s="130"/>
      <c r="O50" s="77"/>
    </row>
    <row r="52" spans="1:15" x14ac:dyDescent="0.35">
      <c r="A52" s="76" t="s">
        <v>66</v>
      </c>
      <c r="B52" s="63">
        <f t="shared" ref="B52:M52" si="18">DAY(EOMONTH(B1,0))</f>
        <v>31</v>
      </c>
      <c r="C52" s="63">
        <f t="shared" si="18"/>
        <v>28</v>
      </c>
      <c r="D52" s="63">
        <f t="shared" si="18"/>
        <v>31</v>
      </c>
      <c r="E52" s="63">
        <f t="shared" si="18"/>
        <v>30</v>
      </c>
      <c r="F52" s="63">
        <f t="shared" si="18"/>
        <v>31</v>
      </c>
      <c r="G52" s="63">
        <f t="shared" si="18"/>
        <v>30</v>
      </c>
      <c r="H52" s="63">
        <f t="shared" si="18"/>
        <v>31</v>
      </c>
      <c r="I52" s="63">
        <f t="shared" si="18"/>
        <v>31</v>
      </c>
      <c r="J52" s="63">
        <f t="shared" si="18"/>
        <v>30</v>
      </c>
      <c r="K52" s="63">
        <f t="shared" si="18"/>
        <v>31</v>
      </c>
      <c r="L52" s="63">
        <f t="shared" si="18"/>
        <v>30</v>
      </c>
      <c r="M52" s="63">
        <f t="shared" si="18"/>
        <v>31</v>
      </c>
      <c r="N52" s="133">
        <f>AVERAGE(B52:M52)</f>
        <v>30.416666666666668</v>
      </c>
    </row>
    <row r="53" spans="1:15" x14ac:dyDescent="0.35">
      <c r="A53" s="76" t="s">
        <v>67</v>
      </c>
      <c r="B53" s="68">
        <f t="shared" ref="B53:N53" si="19">B26/B52</f>
        <v>17099702.580645163</v>
      </c>
      <c r="C53" s="68">
        <f t="shared" si="19"/>
        <v>17504857.142857142</v>
      </c>
      <c r="D53" s="68">
        <f t="shared" si="19"/>
        <v>18848056.774193548</v>
      </c>
      <c r="E53" s="68">
        <f t="shared" si="19"/>
        <v>17163201.333333332</v>
      </c>
      <c r="F53" s="68">
        <f t="shared" si="19"/>
        <v>17254432.903225806</v>
      </c>
      <c r="G53" s="68">
        <f t="shared" si="19"/>
        <v>17342142</v>
      </c>
      <c r="H53" s="68">
        <f t="shared" si="19"/>
        <v>14231374.838709677</v>
      </c>
      <c r="I53" s="68">
        <f t="shared" si="19"/>
        <v>15513134.838709677</v>
      </c>
      <c r="J53" s="68">
        <f t="shared" si="19"/>
        <v>15498601.666666666</v>
      </c>
      <c r="K53" s="68">
        <f t="shared" si="19"/>
        <v>15289954.193548387</v>
      </c>
      <c r="L53" s="68">
        <f t="shared" si="19"/>
        <v>20348264.333333332</v>
      </c>
      <c r="M53" s="68">
        <f t="shared" si="19"/>
        <v>14288319.032258065</v>
      </c>
      <c r="N53" s="68">
        <f t="shared" si="19"/>
        <v>200185529.0958904</v>
      </c>
      <c r="O53" s="76" t="s">
        <v>113</v>
      </c>
    </row>
    <row r="54" spans="1:15" ht="26" x14ac:dyDescent="0.35">
      <c r="A54" s="76" t="s">
        <v>69</v>
      </c>
      <c r="B54" s="68">
        <f t="shared" ref="B54:N54" si="20">IFERROR(B53/B46,0)</f>
        <v>176.00072645970093</v>
      </c>
      <c r="C54" s="68">
        <f t="shared" si="20"/>
        <v>184.413066969271</v>
      </c>
      <c r="D54" s="68">
        <f t="shared" si="20"/>
        <v>203.38239588870056</v>
      </c>
      <c r="E54" s="68">
        <f t="shared" si="20"/>
        <v>187.78735990605088</v>
      </c>
      <c r="F54" s="68">
        <f t="shared" si="20"/>
        <v>191.3035557046567</v>
      </c>
      <c r="G54" s="68">
        <f t="shared" si="20"/>
        <v>195.618219349599</v>
      </c>
      <c r="H54" s="68">
        <f t="shared" si="20"/>
        <v>163.77291320424959</v>
      </c>
      <c r="I54" s="68">
        <f t="shared" si="20"/>
        <v>180.11511614798357</v>
      </c>
      <c r="J54" s="68">
        <f t="shared" si="20"/>
        <v>188.43284701114487</v>
      </c>
      <c r="K54" s="68">
        <f t="shared" si="20"/>
        <v>190.68109387609292</v>
      </c>
      <c r="L54" s="68">
        <f t="shared" si="20"/>
        <v>264.16025358085591</v>
      </c>
      <c r="M54" s="68">
        <f t="shared" si="20"/>
        <v>193.53785244230519</v>
      </c>
      <c r="N54" s="68">
        <f t="shared" si="20"/>
        <v>0</v>
      </c>
      <c r="O54" s="76" t="s">
        <v>114</v>
      </c>
    </row>
    <row r="55" spans="1:15" ht="26" x14ac:dyDescent="0.35">
      <c r="A55" s="76" t="s">
        <v>72</v>
      </c>
      <c r="B55" s="68">
        <f t="shared" ref="B55:N55" si="21">IFERROR(B26/B46,0)</f>
        <v>5456.0225202507281</v>
      </c>
      <c r="C55" s="68">
        <f t="shared" si="21"/>
        <v>5163.5658751395886</v>
      </c>
      <c r="D55" s="68">
        <f t="shared" si="21"/>
        <v>6304.8542725497182</v>
      </c>
      <c r="E55" s="68">
        <f t="shared" si="21"/>
        <v>5633.6207971815265</v>
      </c>
      <c r="F55" s="68">
        <f t="shared" si="21"/>
        <v>5930.4102268443576</v>
      </c>
      <c r="G55" s="68">
        <f t="shared" si="21"/>
        <v>5868.5465804879695</v>
      </c>
      <c r="H55" s="68">
        <f t="shared" si="21"/>
        <v>5076.9603093317373</v>
      </c>
      <c r="I55" s="68">
        <f t="shared" si="21"/>
        <v>5583.5686005874904</v>
      </c>
      <c r="J55" s="68">
        <f t="shared" si="21"/>
        <v>5652.9854103343469</v>
      </c>
      <c r="K55" s="68">
        <f t="shared" si="21"/>
        <v>5911.1139101588806</v>
      </c>
      <c r="L55" s="68">
        <f t="shared" si="21"/>
        <v>7924.8076074256787</v>
      </c>
      <c r="M55" s="68">
        <f t="shared" si="21"/>
        <v>5999.6734257114604</v>
      </c>
      <c r="N55" s="68">
        <f t="shared" si="21"/>
        <v>0</v>
      </c>
      <c r="O55" s="76" t="s">
        <v>115</v>
      </c>
    </row>
  </sheetData>
  <phoneticPr fontId="2"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5620-343C-401E-B9F3-0533C9D56B95}">
  <sheetPr codeName="Sheet4"/>
  <dimension ref="A1:O70"/>
  <sheetViews>
    <sheetView zoomScale="90" zoomScaleNormal="90" workbookViewId="0">
      <pane xSplit="1" ySplit="1" topLeftCell="J2" activePane="bottomRight" state="frozen"/>
      <selection pane="topRight" activeCell="B1" sqref="B1"/>
      <selection pane="bottomLeft" activeCell="A2" sqref="A2"/>
      <selection pane="bottomRight" activeCell="M3" sqref="M3"/>
    </sheetView>
  </sheetViews>
  <sheetFormatPr defaultColWidth="8.7265625" defaultRowHeight="13" x14ac:dyDescent="0.35"/>
  <cols>
    <col min="1" max="1" width="32.54296875" style="76" customWidth="1"/>
    <col min="2" max="13" width="11.54296875" style="63" customWidth="1"/>
    <col min="14" max="14" width="12.81640625" style="63" bestFit="1" customWidth="1"/>
    <col min="15" max="15" width="58.81640625" style="76" customWidth="1"/>
    <col min="16" max="16384" width="8.7265625" style="63"/>
  </cols>
  <sheetData>
    <row r="1" spans="1:15" x14ac:dyDescent="0.35">
      <c r="A1" s="67" t="s">
        <v>14</v>
      </c>
      <c r="B1" s="61" t="s">
        <v>144</v>
      </c>
      <c r="C1" s="61" t="s">
        <v>143</v>
      </c>
      <c r="D1" s="61" t="s">
        <v>142</v>
      </c>
      <c r="E1" s="61" t="s">
        <v>21</v>
      </c>
      <c r="F1" s="61" t="s">
        <v>0</v>
      </c>
      <c r="G1" s="61" t="s">
        <v>4</v>
      </c>
      <c r="H1" s="61" t="s">
        <v>5</v>
      </c>
      <c r="I1" s="61" t="s">
        <v>15</v>
      </c>
      <c r="J1" s="61" t="s">
        <v>16</v>
      </c>
      <c r="K1" s="61" t="s">
        <v>17</v>
      </c>
      <c r="L1" s="61" t="s">
        <v>18</v>
      </c>
      <c r="M1" s="61" t="s">
        <v>19</v>
      </c>
      <c r="N1" s="61" t="s">
        <v>100</v>
      </c>
      <c r="O1" s="62" t="s">
        <v>97</v>
      </c>
    </row>
    <row r="2" spans="1:15" x14ac:dyDescent="0.35">
      <c r="A2" s="67"/>
      <c r="B2" s="61"/>
      <c r="C2" s="61"/>
      <c r="D2" s="61"/>
      <c r="E2" s="61"/>
      <c r="F2" s="61"/>
      <c r="G2" s="61"/>
      <c r="H2" s="61"/>
      <c r="I2" s="61"/>
      <c r="J2" s="61"/>
      <c r="K2" s="61"/>
      <c r="L2" s="61"/>
      <c r="M2" s="61"/>
      <c r="N2" s="61"/>
    </row>
    <row r="3" spans="1:15" x14ac:dyDescent="0.35">
      <c r="A3" s="67" t="s">
        <v>28</v>
      </c>
      <c r="B3" s="64">
        <f>B4+B8</f>
        <v>179</v>
      </c>
      <c r="C3" s="64">
        <f>C4+C8</f>
        <v>405</v>
      </c>
      <c r="D3" s="64">
        <f>D4+D8</f>
        <v>406</v>
      </c>
      <c r="E3" s="64">
        <f t="shared" ref="E3:M3" si="0">E4+E8</f>
        <v>623</v>
      </c>
      <c r="F3" s="64">
        <f t="shared" si="0"/>
        <v>475</v>
      </c>
      <c r="G3" s="64">
        <f t="shared" si="0"/>
        <v>111</v>
      </c>
      <c r="H3" s="64">
        <f t="shared" si="0"/>
        <v>31</v>
      </c>
      <c r="I3" s="64">
        <f t="shared" si="0"/>
        <v>30</v>
      </c>
      <c r="J3" s="64">
        <f t="shared" si="0"/>
        <v>95</v>
      </c>
      <c r="K3" s="64">
        <f t="shared" si="0"/>
        <v>3284</v>
      </c>
      <c r="L3" s="64">
        <f t="shared" si="0"/>
        <v>2770</v>
      </c>
      <c r="M3" s="64">
        <f t="shared" si="0"/>
        <v>2602</v>
      </c>
      <c r="N3" s="64">
        <f>SUM(D3:M3)</f>
        <v>10427</v>
      </c>
    </row>
    <row r="4" spans="1:15" s="71" customFormat="1" x14ac:dyDescent="0.35">
      <c r="A4" s="73" t="s">
        <v>23</v>
      </c>
      <c r="B4" s="69">
        <f>SUM(B5:B7)</f>
        <v>160</v>
      </c>
      <c r="C4" s="69">
        <f>SUM(C5:C7)</f>
        <v>348</v>
      </c>
      <c r="D4" s="69">
        <f>SUM(D5:D7)</f>
        <v>378</v>
      </c>
      <c r="E4" s="69">
        <f t="shared" ref="E4:M4" si="1">SUM(E5:E7)</f>
        <v>499</v>
      </c>
      <c r="F4" s="69">
        <f t="shared" si="1"/>
        <v>445</v>
      </c>
      <c r="G4" s="69">
        <f t="shared" si="1"/>
        <v>84</v>
      </c>
      <c r="H4" s="69">
        <f t="shared" si="1"/>
        <v>7</v>
      </c>
      <c r="I4" s="69">
        <f t="shared" si="1"/>
        <v>5</v>
      </c>
      <c r="J4" s="69">
        <f t="shared" si="1"/>
        <v>58</v>
      </c>
      <c r="K4" s="69">
        <f t="shared" si="1"/>
        <v>3213</v>
      </c>
      <c r="L4" s="69">
        <f t="shared" si="1"/>
        <v>2709</v>
      </c>
      <c r="M4" s="69">
        <f t="shared" si="1"/>
        <v>2555</v>
      </c>
      <c r="N4" s="70">
        <f t="shared" ref="N4:N42" si="2">SUM(D4:M4)</f>
        <v>9953</v>
      </c>
      <c r="O4" s="76"/>
    </row>
    <row r="5" spans="1:15" x14ac:dyDescent="0.35">
      <c r="A5" s="74" t="s">
        <v>8</v>
      </c>
      <c r="B5" s="65">
        <v>128</v>
      </c>
      <c r="C5" s="65">
        <v>324</v>
      </c>
      <c r="D5" s="65">
        <v>47</v>
      </c>
      <c r="E5" s="65">
        <v>295</v>
      </c>
      <c r="F5" s="65">
        <v>273</v>
      </c>
      <c r="G5" s="65">
        <v>43</v>
      </c>
      <c r="H5" s="65">
        <v>0</v>
      </c>
      <c r="I5" s="65">
        <v>0</v>
      </c>
      <c r="J5" s="65">
        <v>42</v>
      </c>
      <c r="K5" s="65">
        <v>2383</v>
      </c>
      <c r="L5" s="65">
        <v>1838</v>
      </c>
      <c r="M5" s="65">
        <v>1952</v>
      </c>
      <c r="N5" s="65">
        <f t="shared" si="2"/>
        <v>6873</v>
      </c>
      <c r="O5" s="76" t="s">
        <v>27</v>
      </c>
    </row>
    <row r="6" spans="1:15" x14ac:dyDescent="0.35">
      <c r="A6" s="74" t="s">
        <v>9</v>
      </c>
      <c r="B6" s="65">
        <v>0</v>
      </c>
      <c r="C6" s="65">
        <v>0</v>
      </c>
      <c r="D6" s="65">
        <v>331</v>
      </c>
      <c r="E6" s="65">
        <v>204</v>
      </c>
      <c r="F6" s="65">
        <v>172</v>
      </c>
      <c r="G6" s="65">
        <v>41</v>
      </c>
      <c r="H6" s="65">
        <v>7</v>
      </c>
      <c r="I6" s="65">
        <v>5</v>
      </c>
      <c r="J6" s="65">
        <v>16</v>
      </c>
      <c r="K6" s="65">
        <v>830</v>
      </c>
      <c r="L6" s="65">
        <v>871</v>
      </c>
      <c r="M6" s="65">
        <v>603</v>
      </c>
      <c r="N6" s="65">
        <f t="shared" si="2"/>
        <v>3080</v>
      </c>
    </row>
    <row r="7" spans="1:15" x14ac:dyDescent="0.35">
      <c r="A7" s="74" t="s">
        <v>11</v>
      </c>
      <c r="B7" s="65">
        <v>32</v>
      </c>
      <c r="C7" s="65">
        <v>24</v>
      </c>
      <c r="D7" s="65">
        <v>0</v>
      </c>
      <c r="E7" s="65"/>
      <c r="F7" s="65"/>
      <c r="G7" s="65"/>
      <c r="H7" s="65"/>
      <c r="I7" s="64"/>
      <c r="J7" s="64"/>
      <c r="K7" s="64"/>
      <c r="L7" s="64"/>
      <c r="M7" s="64"/>
      <c r="N7" s="65"/>
    </row>
    <row r="8" spans="1:15" s="71" customFormat="1" x14ac:dyDescent="0.35">
      <c r="A8" s="73" t="s">
        <v>25</v>
      </c>
      <c r="B8" s="69">
        <f>SUM(B9:B11)</f>
        <v>19</v>
      </c>
      <c r="C8" s="69">
        <f>SUM(C9:C11)</f>
        <v>57</v>
      </c>
      <c r="D8" s="69">
        <f>SUM(D9:D11)</f>
        <v>28</v>
      </c>
      <c r="E8" s="69">
        <f t="shared" ref="E8:M8" si="3">SUM(E9:E11)</f>
        <v>124</v>
      </c>
      <c r="F8" s="69">
        <f t="shared" si="3"/>
        <v>30</v>
      </c>
      <c r="G8" s="69">
        <f t="shared" si="3"/>
        <v>27</v>
      </c>
      <c r="H8" s="69">
        <f t="shared" si="3"/>
        <v>24</v>
      </c>
      <c r="I8" s="69">
        <f t="shared" si="3"/>
        <v>25</v>
      </c>
      <c r="J8" s="69">
        <f t="shared" si="3"/>
        <v>37</v>
      </c>
      <c r="K8" s="69">
        <f t="shared" si="3"/>
        <v>71</v>
      </c>
      <c r="L8" s="69">
        <f t="shared" si="3"/>
        <v>61</v>
      </c>
      <c r="M8" s="69">
        <f t="shared" si="3"/>
        <v>47</v>
      </c>
      <c r="N8" s="69">
        <f t="shared" si="2"/>
        <v>474</v>
      </c>
      <c r="O8" s="76"/>
    </row>
    <row r="9" spans="1:15" x14ac:dyDescent="0.35">
      <c r="A9" s="74" t="s">
        <v>8</v>
      </c>
      <c r="B9" s="65">
        <v>2</v>
      </c>
      <c r="C9" s="65">
        <v>40</v>
      </c>
      <c r="D9" s="65">
        <v>5</v>
      </c>
      <c r="E9" s="65">
        <v>15</v>
      </c>
      <c r="F9" s="65">
        <v>18</v>
      </c>
      <c r="G9" s="65">
        <v>17</v>
      </c>
      <c r="H9" s="65">
        <v>14</v>
      </c>
      <c r="I9" s="65">
        <v>20</v>
      </c>
      <c r="J9" s="65">
        <v>22</v>
      </c>
      <c r="K9" s="65">
        <v>50</v>
      </c>
      <c r="L9" s="65">
        <v>46</v>
      </c>
      <c r="M9" s="65">
        <v>39</v>
      </c>
      <c r="N9" s="65">
        <f t="shared" si="2"/>
        <v>246</v>
      </c>
    </row>
    <row r="10" spans="1:15" ht="26" x14ac:dyDescent="0.35">
      <c r="A10" s="74" t="s">
        <v>9</v>
      </c>
      <c r="B10" s="65">
        <v>0</v>
      </c>
      <c r="C10" s="65">
        <v>0</v>
      </c>
      <c r="D10" s="65">
        <v>23</v>
      </c>
      <c r="E10" s="65">
        <f>5+100+4</f>
        <v>109</v>
      </c>
      <c r="F10" s="65">
        <f>8+4</f>
        <v>12</v>
      </c>
      <c r="G10" s="65">
        <f>8+2</f>
        <v>10</v>
      </c>
      <c r="H10" s="65">
        <v>10</v>
      </c>
      <c r="I10" s="65">
        <v>5</v>
      </c>
      <c r="J10" s="65">
        <v>15</v>
      </c>
      <c r="K10" s="65">
        <v>21</v>
      </c>
      <c r="L10" s="65">
        <v>15</v>
      </c>
      <c r="M10" s="65">
        <v>8</v>
      </c>
      <c r="N10" s="65">
        <f t="shared" si="2"/>
        <v>228</v>
      </c>
      <c r="O10" s="76" t="s">
        <v>102</v>
      </c>
    </row>
    <row r="11" spans="1:15" x14ac:dyDescent="0.35">
      <c r="A11" s="74" t="s">
        <v>11</v>
      </c>
      <c r="B11" s="65">
        <v>17</v>
      </c>
      <c r="C11" s="65">
        <v>17</v>
      </c>
      <c r="D11" s="65"/>
      <c r="E11" s="65"/>
      <c r="F11" s="65"/>
      <c r="G11" s="65"/>
      <c r="H11" s="65"/>
      <c r="I11" s="64"/>
      <c r="J11" s="64"/>
      <c r="K11" s="64"/>
      <c r="L11" s="64"/>
      <c r="M11" s="64"/>
      <c r="N11" s="65"/>
    </row>
    <row r="12" spans="1:15" x14ac:dyDescent="0.35">
      <c r="A12" s="74"/>
      <c r="B12" s="65"/>
      <c r="C12" s="65"/>
      <c r="D12" s="65"/>
      <c r="E12" s="65"/>
      <c r="F12" s="65"/>
      <c r="G12" s="65"/>
      <c r="H12" s="65"/>
      <c r="I12" s="64"/>
      <c r="J12" s="64"/>
      <c r="K12" s="64"/>
      <c r="L12" s="64"/>
      <c r="M12" s="64"/>
      <c r="N12" s="65"/>
    </row>
    <row r="13" spans="1:15" s="71" customFormat="1" x14ac:dyDescent="0.35">
      <c r="A13" s="73" t="s">
        <v>24</v>
      </c>
      <c r="B13" s="69">
        <f>SUM(B14:B16)</f>
        <v>12812100</v>
      </c>
      <c r="C13" s="69">
        <f>SUM(C14:C16)</f>
        <v>9999500</v>
      </c>
      <c r="D13" s="69">
        <f>SUM(D14:D16)</f>
        <v>9669000</v>
      </c>
      <c r="E13" s="69">
        <f>SUM(E14:E16)</f>
        <v>12694000</v>
      </c>
      <c r="F13" s="69">
        <f t="shared" ref="F13:M13" si="4">SUM(F14:F16)</f>
        <v>11368500</v>
      </c>
      <c r="G13" s="69">
        <f t="shared" si="4"/>
        <v>2189000</v>
      </c>
      <c r="H13" s="69">
        <f t="shared" si="4"/>
        <v>192500</v>
      </c>
      <c r="I13" s="69">
        <f t="shared" si="4"/>
        <v>137500</v>
      </c>
      <c r="J13" s="69">
        <f t="shared" si="4"/>
        <v>1474000</v>
      </c>
      <c r="K13" s="69">
        <f t="shared" si="4"/>
        <v>83187500</v>
      </c>
      <c r="L13" s="69">
        <f t="shared" si="4"/>
        <v>69883000</v>
      </c>
      <c r="M13" s="69">
        <f t="shared" si="4"/>
        <v>66093500</v>
      </c>
      <c r="N13" s="69">
        <f t="shared" si="2"/>
        <v>256888500</v>
      </c>
      <c r="O13" s="76"/>
    </row>
    <row r="14" spans="1:15" x14ac:dyDescent="0.35">
      <c r="A14" s="74" t="s">
        <v>8</v>
      </c>
      <c r="B14" s="65">
        <v>10871501</v>
      </c>
      <c r="C14" s="65">
        <v>8367000</v>
      </c>
      <c r="D14" s="65">
        <v>1204500</v>
      </c>
      <c r="E14" s="65">
        <v>7518500</v>
      </c>
      <c r="F14" s="65">
        <v>6919000</v>
      </c>
      <c r="G14" s="65">
        <v>1138500</v>
      </c>
      <c r="H14" s="65">
        <v>0</v>
      </c>
      <c r="I14" s="65">
        <v>0</v>
      </c>
      <c r="J14" s="65">
        <v>1061500</v>
      </c>
      <c r="K14" s="65">
        <v>61429500</v>
      </c>
      <c r="L14" s="65">
        <v>47366000</v>
      </c>
      <c r="M14" s="65">
        <v>50506500</v>
      </c>
      <c r="N14" s="65">
        <f t="shared" si="2"/>
        <v>177144000</v>
      </c>
    </row>
    <row r="15" spans="1:15" x14ac:dyDescent="0.35">
      <c r="A15" s="74" t="s">
        <v>9</v>
      </c>
      <c r="B15" s="65">
        <v>0</v>
      </c>
      <c r="C15" s="65">
        <v>0</v>
      </c>
      <c r="D15" s="65">
        <v>8464500</v>
      </c>
      <c r="E15" s="65">
        <v>5175500</v>
      </c>
      <c r="F15" s="65">
        <v>4449500</v>
      </c>
      <c r="G15" s="65">
        <v>1050500</v>
      </c>
      <c r="H15" s="65">
        <v>192500</v>
      </c>
      <c r="I15" s="65">
        <v>137500</v>
      </c>
      <c r="J15" s="65">
        <v>412500</v>
      </c>
      <c r="K15" s="65">
        <v>21758000</v>
      </c>
      <c r="L15" s="65">
        <v>22517000</v>
      </c>
      <c r="M15" s="65">
        <v>15587000</v>
      </c>
      <c r="N15" s="65">
        <f t="shared" si="2"/>
        <v>79744500</v>
      </c>
    </row>
    <row r="16" spans="1:15" x14ac:dyDescent="0.35">
      <c r="A16" s="74" t="s">
        <v>11</v>
      </c>
      <c r="B16" s="65">
        <v>1940599</v>
      </c>
      <c r="C16" s="65">
        <v>1632500</v>
      </c>
      <c r="D16" s="65">
        <v>0</v>
      </c>
      <c r="E16" s="65"/>
      <c r="F16" s="65"/>
      <c r="G16" s="65"/>
      <c r="H16" s="65"/>
      <c r="I16" s="65"/>
      <c r="J16" s="65"/>
      <c r="K16" s="65"/>
      <c r="L16" s="65"/>
      <c r="M16" s="65"/>
      <c r="N16" s="64"/>
    </row>
    <row r="17" spans="1:15" x14ac:dyDescent="0.35">
      <c r="A17" s="74"/>
      <c r="B17" s="65"/>
      <c r="C17" s="65"/>
      <c r="D17" s="65"/>
      <c r="E17" s="65"/>
      <c r="F17" s="65"/>
      <c r="G17" s="65"/>
      <c r="H17" s="65"/>
      <c r="I17" s="65"/>
      <c r="J17" s="65"/>
      <c r="K17" s="65"/>
      <c r="L17" s="65"/>
      <c r="M17" s="65"/>
      <c r="N17" s="64"/>
    </row>
    <row r="18" spans="1:15" s="71" customFormat="1" x14ac:dyDescent="0.35">
      <c r="A18" s="73" t="s">
        <v>1</v>
      </c>
      <c r="B18" s="69">
        <f>SUM(B19:B23)</f>
        <v>12381250</v>
      </c>
      <c r="C18" s="69">
        <f>SUM(C19:C23)</f>
        <v>15843000</v>
      </c>
      <c r="D18" s="69">
        <f>SUM(D19:D23)</f>
        <v>6832500</v>
      </c>
      <c r="E18" s="69">
        <f t="shared" ref="E18:M18" si="5">SUM(E19:E23)</f>
        <v>23207500</v>
      </c>
      <c r="F18" s="69">
        <f t="shared" si="5"/>
        <v>6727000</v>
      </c>
      <c r="G18" s="69">
        <f t="shared" si="5"/>
        <v>5960500</v>
      </c>
      <c r="H18" s="69">
        <f t="shared" si="5"/>
        <v>5438569.4505494507</v>
      </c>
      <c r="I18" s="69">
        <f t="shared" si="5"/>
        <v>5665176.5109890122</v>
      </c>
      <c r="J18" s="69">
        <f t="shared" si="5"/>
        <v>8384461.2362637362</v>
      </c>
      <c r="K18" s="69">
        <f t="shared" si="5"/>
        <v>16089101.291208792</v>
      </c>
      <c r="L18" s="69">
        <f t="shared" si="5"/>
        <v>13823030.686813187</v>
      </c>
      <c r="M18" s="69">
        <f t="shared" si="5"/>
        <v>10650531.840659343</v>
      </c>
      <c r="N18" s="69">
        <f t="shared" si="2"/>
        <v>102778371.01648352</v>
      </c>
      <c r="O18" s="76"/>
    </row>
    <row r="19" spans="1:15" ht="52" x14ac:dyDescent="0.35">
      <c r="A19" s="74" t="s">
        <v>8</v>
      </c>
      <c r="B19" s="65">
        <v>7240000</v>
      </c>
      <c r="C19" s="65">
        <v>10193000</v>
      </c>
      <c r="D19" s="65">
        <v>1212500</v>
      </c>
      <c r="E19" s="65">
        <v>3324000</v>
      </c>
      <c r="F19" s="65">
        <v>3967000</v>
      </c>
      <c r="G19" s="65">
        <v>3680000</v>
      </c>
      <c r="H19" s="65">
        <f t="shared" ref="H19:M20" si="6">AVERAGE($D$54:$G$54)*H9</f>
        <v>3172498.846153846</v>
      </c>
      <c r="I19" s="65">
        <f t="shared" si="6"/>
        <v>4532141.2087912094</v>
      </c>
      <c r="J19" s="65">
        <f t="shared" si="6"/>
        <v>4985355.3296703296</v>
      </c>
      <c r="K19" s="65">
        <f t="shared" si="6"/>
        <v>11330353.021978023</v>
      </c>
      <c r="L19" s="65">
        <f t="shared" si="6"/>
        <v>10423924.78021978</v>
      </c>
      <c r="M19" s="65">
        <f t="shared" si="6"/>
        <v>8837675.3571428582</v>
      </c>
      <c r="N19" s="65">
        <f t="shared" si="2"/>
        <v>55465448.543956041</v>
      </c>
      <c r="O19" s="76" t="s">
        <v>106</v>
      </c>
    </row>
    <row r="20" spans="1:15" ht="52" x14ac:dyDescent="0.35">
      <c r="A20" s="74" t="s">
        <v>9</v>
      </c>
      <c r="B20" s="65">
        <v>0</v>
      </c>
      <c r="C20" s="65">
        <v>0</v>
      </c>
      <c r="D20" s="65">
        <v>5620000</v>
      </c>
      <c r="E20" s="65">
        <v>1053500</v>
      </c>
      <c r="F20" s="65">
        <v>1860000</v>
      </c>
      <c r="G20" s="65">
        <v>1805500</v>
      </c>
      <c r="H20" s="65">
        <f t="shared" si="6"/>
        <v>2266070.6043956047</v>
      </c>
      <c r="I20" s="65">
        <f t="shared" si="6"/>
        <v>1133035.3021978023</v>
      </c>
      <c r="J20" s="65">
        <f t="shared" si="6"/>
        <v>3399105.9065934066</v>
      </c>
      <c r="K20" s="65">
        <f t="shared" si="6"/>
        <v>4758748.269230769</v>
      </c>
      <c r="L20" s="65">
        <f t="shared" si="6"/>
        <v>3399105.9065934066</v>
      </c>
      <c r="M20" s="65">
        <f t="shared" si="6"/>
        <v>1812856.4835164836</v>
      </c>
      <c r="N20" s="65">
        <f t="shared" si="2"/>
        <v>27107922.472527474</v>
      </c>
      <c r="O20" s="76" t="s">
        <v>107</v>
      </c>
    </row>
    <row r="21" spans="1:15" x14ac:dyDescent="0.35">
      <c r="A21" s="74" t="s">
        <v>11</v>
      </c>
      <c r="B21" s="65">
        <v>4890000</v>
      </c>
      <c r="C21" s="65">
        <v>4750000</v>
      </c>
      <c r="D21" s="65">
        <v>0</v>
      </c>
      <c r="E21" s="65">
        <v>0</v>
      </c>
      <c r="F21" s="65">
        <v>0</v>
      </c>
      <c r="G21" s="65">
        <v>0</v>
      </c>
      <c r="H21" s="65">
        <v>0</v>
      </c>
      <c r="I21" s="65">
        <v>0</v>
      </c>
      <c r="J21" s="65">
        <v>0</v>
      </c>
      <c r="K21" s="65">
        <v>0</v>
      </c>
      <c r="L21" s="65">
        <v>0</v>
      </c>
      <c r="M21" s="65">
        <v>0</v>
      </c>
      <c r="N21" s="65">
        <f t="shared" si="2"/>
        <v>0</v>
      </c>
    </row>
    <row r="22" spans="1:15" x14ac:dyDescent="0.35">
      <c r="A22" s="74" t="s">
        <v>20</v>
      </c>
      <c r="B22" s="65"/>
      <c r="C22" s="65">
        <v>900000</v>
      </c>
      <c r="D22" s="65">
        <v>0</v>
      </c>
      <c r="E22" s="65">
        <v>18125000</v>
      </c>
      <c r="F22" s="65">
        <v>900000</v>
      </c>
      <c r="G22" s="65">
        <v>475000</v>
      </c>
      <c r="H22" s="65">
        <v>0</v>
      </c>
      <c r="I22" s="65">
        <v>0</v>
      </c>
      <c r="J22" s="65">
        <v>0</v>
      </c>
      <c r="K22" s="65">
        <v>0</v>
      </c>
      <c r="L22" s="65">
        <v>0</v>
      </c>
      <c r="M22" s="65">
        <v>0</v>
      </c>
      <c r="N22" s="65">
        <f t="shared" si="2"/>
        <v>19500000</v>
      </c>
      <c r="O22" s="76" t="s">
        <v>98</v>
      </c>
    </row>
    <row r="23" spans="1:15" x14ac:dyDescent="0.35">
      <c r="A23" s="74" t="s">
        <v>34</v>
      </c>
      <c r="B23" s="65">
        <v>251250</v>
      </c>
      <c r="C23" s="65">
        <v>0</v>
      </c>
      <c r="D23" s="65">
        <v>0</v>
      </c>
      <c r="E23" s="65">
        <v>705000</v>
      </c>
      <c r="F23" s="65">
        <v>0</v>
      </c>
      <c r="G23" s="65">
        <v>0</v>
      </c>
      <c r="H23" s="65">
        <v>0</v>
      </c>
      <c r="I23" s="65">
        <v>0</v>
      </c>
      <c r="J23" s="65">
        <v>0</v>
      </c>
      <c r="K23" s="65">
        <v>0</v>
      </c>
      <c r="L23" s="65">
        <v>0</v>
      </c>
      <c r="M23" s="65">
        <v>0</v>
      </c>
      <c r="N23" s="65">
        <f t="shared" si="2"/>
        <v>705000</v>
      </c>
      <c r="O23" s="76" t="s">
        <v>99</v>
      </c>
    </row>
    <row r="24" spans="1:15" x14ac:dyDescent="0.35">
      <c r="A24" s="74"/>
      <c r="B24" s="123">
        <f>B25/C25</f>
        <v>0.86148021799725427</v>
      </c>
      <c r="C24" s="123">
        <f>C25/D25</f>
        <v>1.2028401742799189</v>
      </c>
      <c r="D24" s="123">
        <f>D25/E25</f>
        <v>1.057371609677991</v>
      </c>
      <c r="E24" s="65"/>
      <c r="F24" s="65"/>
      <c r="G24" s="65"/>
      <c r="H24" s="65"/>
      <c r="I24" s="65"/>
      <c r="J24" s="65"/>
      <c r="K24" s="65"/>
      <c r="L24" s="65"/>
      <c r="M24" s="65"/>
      <c r="N24" s="65"/>
    </row>
    <row r="25" spans="1:15" s="71" customFormat="1" x14ac:dyDescent="0.35">
      <c r="A25" s="73" t="s">
        <v>12</v>
      </c>
      <c r="B25" s="69">
        <f>SUM(B26:B29)</f>
        <v>531144810</v>
      </c>
      <c r="C25" s="69">
        <f>SUM(C26:C29)</f>
        <v>616549050</v>
      </c>
      <c r="D25" s="69">
        <f>SUM(D26:D28)</f>
        <v>512577700</v>
      </c>
      <c r="E25" s="69">
        <f>SUM(E26:E28)</f>
        <v>484765900</v>
      </c>
      <c r="F25" s="69">
        <f t="shared" ref="F25:M25" si="7">SUM(F26:F28)</f>
        <v>517861880</v>
      </c>
      <c r="G25" s="69">
        <f t="shared" si="7"/>
        <v>531879400</v>
      </c>
      <c r="H25" s="69">
        <f t="shared" si="7"/>
        <v>531810330.54945052</v>
      </c>
      <c r="I25" s="69">
        <f t="shared" si="7"/>
        <v>561954223.48901105</v>
      </c>
      <c r="J25" s="69">
        <f t="shared" si="7"/>
        <v>565332088.76373625</v>
      </c>
      <c r="K25" s="69">
        <f t="shared" si="7"/>
        <v>585486948.70879126</v>
      </c>
      <c r="L25" s="69">
        <f t="shared" si="7"/>
        <v>549712719.31318676</v>
      </c>
      <c r="M25" s="69">
        <f t="shared" si="7"/>
        <v>547056949.15934062</v>
      </c>
      <c r="N25" s="69">
        <f t="shared" si="2"/>
        <v>5388438139.9835167</v>
      </c>
      <c r="O25" s="76"/>
    </row>
    <row r="26" spans="1:15" x14ac:dyDescent="0.35">
      <c r="A26" s="74" t="s">
        <v>10</v>
      </c>
      <c r="B26" s="65">
        <v>405247180</v>
      </c>
      <c r="C26" s="65">
        <v>476894000</v>
      </c>
      <c r="D26" s="65">
        <v>390398100</v>
      </c>
      <c r="E26" s="65">
        <v>384801500</v>
      </c>
      <c r="F26" s="65">
        <v>399076600</v>
      </c>
      <c r="G26" s="65">
        <f>Repayment_weekly!G4</f>
        <v>411477700</v>
      </c>
      <c r="H26" s="65">
        <v>407232500</v>
      </c>
      <c r="I26" s="65">
        <v>429003000</v>
      </c>
      <c r="J26" s="65">
        <v>425377900</v>
      </c>
      <c r="K26" s="65">
        <v>436159300</v>
      </c>
      <c r="L26" s="65">
        <v>398896900</v>
      </c>
      <c r="M26" s="65">
        <v>435863341</v>
      </c>
      <c r="N26" s="65">
        <f t="shared" si="2"/>
        <v>4118286841</v>
      </c>
    </row>
    <row r="27" spans="1:15" x14ac:dyDescent="0.35">
      <c r="A27" s="74" t="s">
        <v>8</v>
      </c>
      <c r="B27" s="65">
        <v>90203340</v>
      </c>
      <c r="C27" s="65">
        <v>104453890</v>
      </c>
      <c r="D27" s="65">
        <v>85173700</v>
      </c>
      <c r="E27" s="65">
        <v>85774750</v>
      </c>
      <c r="F27" s="65">
        <v>86477900</v>
      </c>
      <c r="G27" s="65">
        <f>Repayment_weekly!G8</f>
        <v>87155450</v>
      </c>
      <c r="H27" s="65">
        <f>93140450-H19+Revenue_NG!F18</f>
        <v>90341951.15384616</v>
      </c>
      <c r="I27" s="65">
        <f>100318200-I19+Revenue_NG!G18</f>
        <v>96325058.791208789</v>
      </c>
      <c r="J27" s="65">
        <f>105670850-J19+Revenue_NG!H18</f>
        <v>101279494.67032968</v>
      </c>
      <c r="K27" s="65">
        <f>118890950-K19+Revenue_NG!I18</f>
        <v>108897096.97802198</v>
      </c>
      <c r="L27" s="65">
        <f>94331150-L19+Revenue_NG!J18</f>
        <v>85122725.219780222</v>
      </c>
      <c r="M27" s="65">
        <f>87507150-M19+Revenue_NG!K18</f>
        <v>79697974.642857134</v>
      </c>
      <c r="N27" s="65">
        <f t="shared" si="2"/>
        <v>906246101.45604396</v>
      </c>
      <c r="O27" s="76" t="s">
        <v>104</v>
      </c>
    </row>
    <row r="28" spans="1:15" ht="26" x14ac:dyDescent="0.35">
      <c r="A28" s="74" t="s">
        <v>9</v>
      </c>
      <c r="B28" s="65">
        <v>35381040</v>
      </c>
      <c r="C28" s="65">
        <v>34881410</v>
      </c>
      <c r="D28" s="65">
        <v>37005900</v>
      </c>
      <c r="E28" s="65">
        <f>33019650-E22-E23</f>
        <v>14189650</v>
      </c>
      <c r="F28" s="65">
        <f>33207380-F22</f>
        <v>32307380</v>
      </c>
      <c r="G28" s="65">
        <f>33721250-G22</f>
        <v>33246250</v>
      </c>
      <c r="H28" s="65">
        <f>36232450-H20+Revenue_NG!F19</f>
        <v>34235879.395604394</v>
      </c>
      <c r="I28" s="65">
        <f>37621700-I20+Revenue_NG!G19</f>
        <v>36626164.697802201</v>
      </c>
      <c r="J28" s="65">
        <f>41661300-J20+Revenue_NG!H19</f>
        <v>38674694.093406595</v>
      </c>
      <c r="K28" s="65">
        <f>44622800-K20+Revenue_NG!I19</f>
        <v>40430551.730769232</v>
      </c>
      <c r="L28" s="65">
        <f>68685200-L20+Revenue_NG!J19</f>
        <v>65693094.093406595</v>
      </c>
      <c r="M28" s="65">
        <f>33099490-M20+Revenue_NG!K19</f>
        <v>31495633.516483516</v>
      </c>
      <c r="N28" s="65">
        <f t="shared" si="2"/>
        <v>363905197.52747262</v>
      </c>
      <c r="O28" s="76" t="s">
        <v>105</v>
      </c>
    </row>
    <row r="29" spans="1:15" x14ac:dyDescent="0.35">
      <c r="A29" s="74" t="s">
        <v>11</v>
      </c>
      <c r="B29" s="65">
        <v>313250</v>
      </c>
      <c r="C29" s="65">
        <v>319750</v>
      </c>
      <c r="D29" s="65">
        <v>0</v>
      </c>
      <c r="E29" s="65">
        <v>0</v>
      </c>
      <c r="F29" s="65">
        <v>0</v>
      </c>
      <c r="G29" s="65">
        <v>0</v>
      </c>
      <c r="H29" s="65">
        <v>0</v>
      </c>
      <c r="I29" s="65">
        <v>0</v>
      </c>
      <c r="J29" s="65">
        <v>0</v>
      </c>
      <c r="K29" s="65">
        <v>0</v>
      </c>
      <c r="L29" s="65">
        <v>0</v>
      </c>
      <c r="M29" s="65">
        <v>0</v>
      </c>
      <c r="N29" s="65">
        <f t="shared" si="2"/>
        <v>0</v>
      </c>
      <c r="O29" s="78"/>
    </row>
    <row r="30" spans="1:15" x14ac:dyDescent="0.35">
      <c r="A30" s="74"/>
      <c r="B30" s="65"/>
      <c r="C30" s="65"/>
      <c r="D30" s="65"/>
      <c r="E30" s="65"/>
      <c r="F30" s="65"/>
      <c r="G30" s="65"/>
      <c r="H30" s="65"/>
      <c r="I30" s="65"/>
      <c r="J30" s="65"/>
      <c r="K30" s="65"/>
      <c r="L30" s="65"/>
      <c r="M30" s="65"/>
      <c r="N30" s="64"/>
      <c r="O30" s="78"/>
    </row>
    <row r="31" spans="1:15" ht="13.5" thickBot="1" x14ac:dyDescent="0.4">
      <c r="A31" s="75" t="s">
        <v>7</v>
      </c>
      <c r="B31" s="66">
        <f>B13+B18+B25</f>
        <v>556338160</v>
      </c>
      <c r="C31" s="66">
        <f>C13+C18+C25</f>
        <v>642391550</v>
      </c>
      <c r="D31" s="66">
        <f>D13+D18+D25</f>
        <v>529079200</v>
      </c>
      <c r="E31" s="66">
        <f>E13+E18+E25+E22+E23</f>
        <v>539497400</v>
      </c>
      <c r="F31" s="66">
        <f t="shared" ref="F31:M31" si="8">F13+F18+F25</f>
        <v>535957380</v>
      </c>
      <c r="G31" s="66">
        <f t="shared" si="8"/>
        <v>540028900</v>
      </c>
      <c r="H31" s="66">
        <f t="shared" si="8"/>
        <v>537441400</v>
      </c>
      <c r="I31" s="66">
        <f t="shared" si="8"/>
        <v>567756900.00000012</v>
      </c>
      <c r="J31" s="66">
        <f t="shared" si="8"/>
        <v>575190550</v>
      </c>
      <c r="K31" s="66">
        <f t="shared" si="8"/>
        <v>684763550</v>
      </c>
      <c r="L31" s="66">
        <f t="shared" si="8"/>
        <v>633418750</v>
      </c>
      <c r="M31" s="66">
        <f t="shared" si="8"/>
        <v>623800981</v>
      </c>
      <c r="N31" s="66">
        <f t="shared" si="2"/>
        <v>5766935011</v>
      </c>
      <c r="O31" s="67"/>
    </row>
    <row r="32" spans="1:15" ht="13.5" thickTop="1" x14ac:dyDescent="0.35">
      <c r="B32" s="65"/>
      <c r="C32" s="65"/>
      <c r="D32" s="65"/>
      <c r="E32" s="65"/>
      <c r="F32" s="65"/>
      <c r="G32" s="65"/>
      <c r="H32" s="65"/>
      <c r="I32" s="65"/>
      <c r="J32" s="65"/>
      <c r="K32" s="65"/>
      <c r="L32" s="65"/>
      <c r="M32" s="65"/>
      <c r="N32" s="64"/>
    </row>
    <row r="33" spans="1:15" ht="26" x14ac:dyDescent="0.35">
      <c r="A33" s="67" t="s">
        <v>36</v>
      </c>
      <c r="B33" s="64">
        <f>SUM(B34:B36)</f>
        <v>72410</v>
      </c>
      <c r="C33" s="64">
        <f>SUM(C34:C36)</f>
        <v>81817</v>
      </c>
      <c r="D33" s="64">
        <f>SUM(D34:D36)</f>
        <v>82073</v>
      </c>
      <c r="E33" s="64">
        <f>SUM(E34:E36)</f>
        <v>81998</v>
      </c>
      <c r="F33" s="64">
        <f>SUM(F34:F36)</f>
        <v>83807</v>
      </c>
      <c r="G33" s="64">
        <f t="shared" ref="G33:M33" si="9">SUM(G34:G36)</f>
        <v>84857</v>
      </c>
      <c r="H33" s="64">
        <f t="shared" si="9"/>
        <v>85638</v>
      </c>
      <c r="I33" s="64">
        <f t="shared" si="9"/>
        <v>88254</v>
      </c>
      <c r="J33" s="64">
        <f t="shared" si="9"/>
        <v>88444</v>
      </c>
      <c r="K33" s="64">
        <f t="shared" si="9"/>
        <v>90759</v>
      </c>
      <c r="L33" s="64">
        <f t="shared" si="9"/>
        <v>86980</v>
      </c>
      <c r="M33" s="64">
        <f t="shared" si="9"/>
        <v>88854</v>
      </c>
      <c r="N33" s="64"/>
      <c r="O33" s="76" t="s">
        <v>109</v>
      </c>
    </row>
    <row r="34" spans="1:15" x14ac:dyDescent="0.35">
      <c r="A34" s="74" t="s">
        <v>2</v>
      </c>
      <c r="B34" s="65">
        <v>60106</v>
      </c>
      <c r="C34" s="65">
        <v>67575</v>
      </c>
      <c r="D34" s="65">
        <v>68027</v>
      </c>
      <c r="E34" s="65">
        <v>68212</v>
      </c>
      <c r="F34" s="65">
        <v>70020</v>
      </c>
      <c r="G34" s="65">
        <v>70542</v>
      </c>
      <c r="H34" s="65">
        <v>70955</v>
      </c>
      <c r="I34" s="65">
        <v>72931</v>
      </c>
      <c r="J34" s="65">
        <v>73096</v>
      </c>
      <c r="K34" s="65">
        <v>74076</v>
      </c>
      <c r="L34" s="65">
        <v>73008</v>
      </c>
      <c r="M34" s="65">
        <v>76248</v>
      </c>
      <c r="N34" s="64"/>
    </row>
    <row r="35" spans="1:15" x14ac:dyDescent="0.35">
      <c r="A35" s="74" t="s">
        <v>3</v>
      </c>
      <c r="B35" s="65">
        <v>8910</v>
      </c>
      <c r="C35" s="65">
        <v>10560</v>
      </c>
      <c r="D35" s="65">
        <v>10124</v>
      </c>
      <c r="E35" s="65">
        <v>10124</v>
      </c>
      <c r="F35" s="65">
        <v>10096</v>
      </c>
      <c r="G35" s="65">
        <v>10534</v>
      </c>
      <c r="H35" s="65">
        <v>10753</v>
      </c>
      <c r="I35" s="65">
        <v>11188</v>
      </c>
      <c r="J35" s="65">
        <v>11161</v>
      </c>
      <c r="K35" s="65">
        <v>12222</v>
      </c>
      <c r="L35" s="65">
        <f>82863-L34</f>
        <v>9855</v>
      </c>
      <c r="M35" s="65">
        <f>85427-M34</f>
        <v>9179</v>
      </c>
      <c r="N35" s="65"/>
    </row>
    <row r="36" spans="1:15" x14ac:dyDescent="0.35">
      <c r="A36" s="74" t="s">
        <v>6</v>
      </c>
      <c r="B36" s="65">
        <f>3420-B37</f>
        <v>3394</v>
      </c>
      <c r="C36" s="65">
        <v>3682</v>
      </c>
      <c r="D36" s="65">
        <v>3922</v>
      </c>
      <c r="E36" s="65">
        <v>3662</v>
      </c>
      <c r="F36" s="65">
        <v>3691</v>
      </c>
      <c r="G36" s="65">
        <v>3781</v>
      </c>
      <c r="H36" s="65">
        <v>3930</v>
      </c>
      <c r="I36" s="65">
        <f>88254-I34-I35</f>
        <v>4135</v>
      </c>
      <c r="J36" s="65">
        <v>4187</v>
      </c>
      <c r="K36" s="65">
        <v>4461</v>
      </c>
      <c r="L36" s="65">
        <v>4117</v>
      </c>
      <c r="M36" s="65">
        <v>3427</v>
      </c>
      <c r="N36" s="65"/>
    </row>
    <row r="37" spans="1:15" x14ac:dyDescent="0.35">
      <c r="A37" s="74" t="s">
        <v>11</v>
      </c>
      <c r="B37" s="65">
        <v>26</v>
      </c>
      <c r="C37" s="65">
        <v>24</v>
      </c>
      <c r="D37" s="65"/>
      <c r="E37" s="65"/>
      <c r="F37" s="65"/>
      <c r="G37" s="65"/>
      <c r="H37" s="65"/>
      <c r="I37" s="65"/>
      <c r="J37" s="65"/>
      <c r="K37" s="65"/>
      <c r="L37" s="65"/>
      <c r="M37" s="65"/>
      <c r="N37" s="64"/>
    </row>
    <row r="38" spans="1:15" x14ac:dyDescent="0.35">
      <c r="B38" s="65"/>
      <c r="C38" s="65"/>
      <c r="D38" s="65"/>
      <c r="E38" s="65"/>
      <c r="F38" s="65"/>
      <c r="G38" s="65"/>
      <c r="H38" s="65"/>
      <c r="I38" s="65"/>
      <c r="J38" s="65"/>
      <c r="K38" s="65"/>
      <c r="L38" s="65"/>
      <c r="M38" s="65"/>
      <c r="N38" s="64"/>
    </row>
    <row r="39" spans="1:15" x14ac:dyDescent="0.35">
      <c r="A39" s="67" t="s">
        <v>13</v>
      </c>
      <c r="B39" s="64">
        <f t="shared" ref="B39:C43" si="10">B25/B33</f>
        <v>7335.2411269161721</v>
      </c>
      <c r="C39" s="64">
        <f t="shared" si="10"/>
        <v>7535.7083491205985</v>
      </c>
      <c r="D39" s="64">
        <f t="shared" ref="D39:M39" si="11">D25/D33</f>
        <v>6245.3876427083205</v>
      </c>
      <c r="E39" s="64">
        <f t="shared" si="11"/>
        <v>5911.9234615478426</v>
      </c>
      <c r="F39" s="64">
        <f t="shared" si="11"/>
        <v>6179.2198742348492</v>
      </c>
      <c r="G39" s="64">
        <f t="shared" si="11"/>
        <v>6267.949609342777</v>
      </c>
      <c r="H39" s="64">
        <f t="shared" si="11"/>
        <v>6209.9807392682051</v>
      </c>
      <c r="I39" s="64">
        <f t="shared" si="11"/>
        <v>6367.4646303738191</v>
      </c>
      <c r="J39" s="64">
        <f t="shared" si="11"/>
        <v>6391.9778477198706</v>
      </c>
      <c r="K39" s="64">
        <f t="shared" si="11"/>
        <v>6451.0070484336675</v>
      </c>
      <c r="L39" s="64">
        <f t="shared" si="11"/>
        <v>6319.9898748354426</v>
      </c>
      <c r="M39" s="64">
        <f t="shared" si="11"/>
        <v>6156.8072248783465</v>
      </c>
      <c r="N39" s="64">
        <f t="shared" si="2"/>
        <v>62501.707953343139</v>
      </c>
    </row>
    <row r="40" spans="1:15" x14ac:dyDescent="0.35">
      <c r="A40" s="74" t="s">
        <v>10</v>
      </c>
      <c r="B40" s="65">
        <f t="shared" si="10"/>
        <v>6742.2084317705385</v>
      </c>
      <c r="C40" s="65">
        <f t="shared" si="10"/>
        <v>7057.2549019607841</v>
      </c>
      <c r="D40" s="65">
        <f t="shared" ref="D40:M40" si="12">D26/D34</f>
        <v>5738.8698604965675</v>
      </c>
      <c r="E40" s="65">
        <f t="shared" si="12"/>
        <v>5641.2581363982881</v>
      </c>
      <c r="F40" s="65">
        <f t="shared" si="12"/>
        <v>5699.4658668951724</v>
      </c>
      <c r="G40" s="65">
        <f t="shared" si="12"/>
        <v>5833.0880893652011</v>
      </c>
      <c r="H40" s="65">
        <f t="shared" si="12"/>
        <v>5739.306602776408</v>
      </c>
      <c r="I40" s="65">
        <f t="shared" si="12"/>
        <v>5882.3134195335315</v>
      </c>
      <c r="J40" s="65">
        <f t="shared" si="12"/>
        <v>5819.4415563095108</v>
      </c>
      <c r="K40" s="65">
        <f t="shared" si="12"/>
        <v>5887.9974620659859</v>
      </c>
      <c r="L40" s="65">
        <f t="shared" si="12"/>
        <v>5463.7423296077141</v>
      </c>
      <c r="M40" s="65">
        <f t="shared" si="12"/>
        <v>5716.3904758157587</v>
      </c>
      <c r="N40" s="65">
        <f t="shared" si="2"/>
        <v>57421.873799264125</v>
      </c>
    </row>
    <row r="41" spans="1:15" x14ac:dyDescent="0.35">
      <c r="A41" s="74" t="s">
        <v>8</v>
      </c>
      <c r="B41" s="65">
        <f t="shared" si="10"/>
        <v>10123.831649831649</v>
      </c>
      <c r="C41" s="65">
        <f t="shared" si="10"/>
        <v>9891.466856060606</v>
      </c>
      <c r="D41" s="65">
        <f t="shared" ref="D41:M41" si="13">D27/D35</f>
        <v>8413.0482022915839</v>
      </c>
      <c r="E41" s="65">
        <f t="shared" si="13"/>
        <v>8472.4170288423556</v>
      </c>
      <c r="F41" s="65">
        <f t="shared" si="13"/>
        <v>8565.5606180665618</v>
      </c>
      <c r="G41" s="65">
        <f t="shared" si="13"/>
        <v>8273.7279286121138</v>
      </c>
      <c r="H41" s="65">
        <f t="shared" si="13"/>
        <v>8401.557812131141</v>
      </c>
      <c r="I41" s="65">
        <f t="shared" si="13"/>
        <v>8609.6763309982834</v>
      </c>
      <c r="J41" s="65">
        <f t="shared" si="13"/>
        <v>9074.4104175548491</v>
      </c>
      <c r="K41" s="65">
        <f t="shared" si="13"/>
        <v>8909.9244786468644</v>
      </c>
      <c r="L41" s="65">
        <f t="shared" si="13"/>
        <v>8637.5165113932235</v>
      </c>
      <c r="M41" s="65">
        <f t="shared" si="13"/>
        <v>8682.6424058020621</v>
      </c>
      <c r="N41" s="65">
        <f t="shared" si="2"/>
        <v>86040.481734339031</v>
      </c>
    </row>
    <row r="42" spans="1:15" x14ac:dyDescent="0.35">
      <c r="A42" s="74" t="s">
        <v>6</v>
      </c>
      <c r="B42" s="65">
        <f t="shared" si="10"/>
        <v>10424.584560989982</v>
      </c>
      <c r="C42" s="65">
        <f t="shared" si="10"/>
        <v>9473.4953829440528</v>
      </c>
      <c r="D42" s="65">
        <f t="shared" ref="D42:M42" si="14">D28/D36</f>
        <v>9435.4665986741456</v>
      </c>
      <c r="E42" s="65">
        <f t="shared" si="14"/>
        <v>3874.8361551064991</v>
      </c>
      <c r="F42" s="65">
        <f t="shared" si="14"/>
        <v>8753.0154429693848</v>
      </c>
      <c r="G42" s="65">
        <f t="shared" si="14"/>
        <v>8792.9780481354137</v>
      </c>
      <c r="H42" s="65">
        <f t="shared" si="14"/>
        <v>8711.4196935380132</v>
      </c>
      <c r="I42" s="65">
        <f t="shared" si="14"/>
        <v>8857.5972666994439</v>
      </c>
      <c r="J42" s="65">
        <f t="shared" si="14"/>
        <v>9236.8507507539034</v>
      </c>
      <c r="K42" s="65">
        <f t="shared" si="14"/>
        <v>9063.1140396254723</v>
      </c>
      <c r="L42" s="65">
        <f t="shared" si="14"/>
        <v>15956.544593977798</v>
      </c>
      <c r="M42" s="65">
        <f t="shared" si="14"/>
        <v>9190.4387267241073</v>
      </c>
      <c r="N42" s="65">
        <f t="shared" si="2"/>
        <v>91872.261316204182</v>
      </c>
    </row>
    <row r="43" spans="1:15" x14ac:dyDescent="0.35">
      <c r="A43" s="74" t="s">
        <v>11</v>
      </c>
      <c r="B43" s="65">
        <f t="shared" si="10"/>
        <v>12048.076923076924</v>
      </c>
      <c r="C43" s="65">
        <f t="shared" si="10"/>
        <v>13322.916666666666</v>
      </c>
      <c r="D43" s="68"/>
      <c r="E43" s="68"/>
      <c r="F43" s="68"/>
      <c r="G43" s="68"/>
      <c r="H43" s="68"/>
      <c r="I43" s="68"/>
      <c r="J43" s="68"/>
      <c r="K43" s="68"/>
      <c r="L43" s="68"/>
      <c r="M43" s="68"/>
      <c r="N43" s="68"/>
    </row>
    <row r="45" spans="1:15" x14ac:dyDescent="0.35">
      <c r="A45" s="76" t="s">
        <v>65</v>
      </c>
      <c r="B45" s="127" t="s">
        <v>141</v>
      </c>
      <c r="C45" s="127" t="s">
        <v>141</v>
      </c>
      <c r="D45" s="127" t="s">
        <v>141</v>
      </c>
      <c r="E45" s="68">
        <v>104413</v>
      </c>
      <c r="F45" s="68">
        <v>104775</v>
      </c>
      <c r="G45" s="68">
        <v>108127</v>
      </c>
      <c r="H45" s="68">
        <v>112753</v>
      </c>
      <c r="I45" s="68">
        <v>110515</v>
      </c>
      <c r="J45" s="68">
        <v>114304</v>
      </c>
      <c r="K45" s="68">
        <v>113651</v>
      </c>
      <c r="L45" s="68">
        <v>115636</v>
      </c>
      <c r="M45" s="68">
        <v>114504</v>
      </c>
      <c r="N45" s="68"/>
    </row>
    <row r="46" spans="1:15" ht="26" x14ac:dyDescent="0.35">
      <c r="A46" s="76" t="s">
        <v>110</v>
      </c>
      <c r="B46" s="127">
        <v>98585</v>
      </c>
      <c r="C46" s="127">
        <v>100147</v>
      </c>
      <c r="D46" s="127">
        <v>104413</v>
      </c>
      <c r="E46" s="68">
        <v>104775</v>
      </c>
      <c r="F46" s="68">
        <v>108127</v>
      </c>
      <c r="G46" s="68">
        <f>G45-3000</f>
        <v>105127</v>
      </c>
      <c r="H46" s="68">
        <f>H45-6000</f>
        <v>106753</v>
      </c>
      <c r="I46" s="68">
        <f>I45-2000</f>
        <v>108515</v>
      </c>
      <c r="J46" s="68">
        <f>J45-3000</f>
        <v>111304</v>
      </c>
      <c r="K46" s="68">
        <v>113651</v>
      </c>
      <c r="L46" s="68">
        <v>115636</v>
      </c>
      <c r="M46" s="68">
        <v>114504</v>
      </c>
      <c r="N46" s="68"/>
      <c r="O46" s="76" t="s">
        <v>111</v>
      </c>
    </row>
    <row r="47" spans="1:15" x14ac:dyDescent="0.35">
      <c r="B47" s="129">
        <f t="shared" ref="B47:G47" si="15">B31/B46</f>
        <v>5643.2333519298072</v>
      </c>
      <c r="C47" s="129">
        <f t="shared" si="15"/>
        <v>6414.486205278241</v>
      </c>
      <c r="D47" s="129">
        <f t="shared" si="15"/>
        <v>5067.1774587455584</v>
      </c>
      <c r="E47" s="129">
        <f t="shared" si="15"/>
        <v>5149.1042710570273</v>
      </c>
      <c r="F47" s="129">
        <f t="shared" si="15"/>
        <v>4956.7395747593109</v>
      </c>
      <c r="G47" s="129">
        <f t="shared" si="15"/>
        <v>5136.919154926898</v>
      </c>
    </row>
    <row r="48" spans="1:15" x14ac:dyDescent="0.35">
      <c r="A48" s="77"/>
      <c r="B48" s="130">
        <f>B25/B46</f>
        <v>5387.6838261398789</v>
      </c>
      <c r="C48" s="130">
        <f>C25/C46</f>
        <v>6156.4405324173467</v>
      </c>
      <c r="D48" s="130">
        <f>D25/D46</f>
        <v>4909.1367933111778</v>
      </c>
      <c r="E48" s="72"/>
      <c r="F48" s="72"/>
      <c r="G48" s="72"/>
      <c r="H48" s="72"/>
      <c r="I48" s="72"/>
      <c r="J48" s="72"/>
      <c r="K48" s="72"/>
      <c r="L48" s="72"/>
      <c r="M48" s="72"/>
      <c r="N48" s="72"/>
      <c r="O48" s="77"/>
    </row>
    <row r="50" spans="1:15" ht="15.5" x14ac:dyDescent="0.35">
      <c r="A50" s="79" t="s">
        <v>117</v>
      </c>
    </row>
    <row r="51" spans="1:15" x14ac:dyDescent="0.35">
      <c r="A51" s="76" t="s">
        <v>90</v>
      </c>
      <c r="B51" s="68">
        <f>B13/B4</f>
        <v>80075.625</v>
      </c>
      <c r="C51" s="68">
        <f>C13/C4</f>
        <v>28734.19540229885</v>
      </c>
      <c r="D51" s="68">
        <f>D13/D4</f>
        <v>25579.365079365078</v>
      </c>
      <c r="E51" s="68">
        <f t="shared" ref="E51:N51" si="16">E13/E4</f>
        <v>25438.877755511021</v>
      </c>
      <c r="F51" s="68">
        <f t="shared" si="16"/>
        <v>25547.191011235955</v>
      </c>
      <c r="G51" s="68">
        <f t="shared" si="16"/>
        <v>26059.523809523809</v>
      </c>
      <c r="H51" s="68">
        <f t="shared" si="16"/>
        <v>27500</v>
      </c>
      <c r="I51" s="68">
        <f t="shared" si="16"/>
        <v>27500</v>
      </c>
      <c r="J51" s="68">
        <f t="shared" si="16"/>
        <v>25413.793103448275</v>
      </c>
      <c r="K51" s="68">
        <f t="shared" si="16"/>
        <v>25890.911920323684</v>
      </c>
      <c r="L51" s="68">
        <f t="shared" si="16"/>
        <v>25796.603912882983</v>
      </c>
      <c r="M51" s="68">
        <f t="shared" si="16"/>
        <v>25868.297455968688</v>
      </c>
      <c r="N51" s="68">
        <f t="shared" si="16"/>
        <v>25810.157741384508</v>
      </c>
      <c r="O51" s="76" t="s">
        <v>101</v>
      </c>
    </row>
    <row r="52" spans="1:15" x14ac:dyDescent="0.35">
      <c r="A52" s="76" t="s">
        <v>92</v>
      </c>
      <c r="B52" s="68">
        <f>B18/B8</f>
        <v>651644.73684210528</v>
      </c>
      <c r="C52" s="68">
        <f>C18/C8</f>
        <v>277947.36842105264</v>
      </c>
      <c r="D52" s="68">
        <f>D18/D8</f>
        <v>244017.85714285713</v>
      </c>
      <c r="E52" s="68">
        <f>E18/E8</f>
        <v>187157.25806451612</v>
      </c>
      <c r="F52" s="68">
        <f t="shared" ref="F52:N52" si="17">F18/F8</f>
        <v>224233.33333333334</v>
      </c>
      <c r="G52" s="68">
        <f t="shared" si="17"/>
        <v>220759.25925925927</v>
      </c>
      <c r="H52" s="68">
        <f t="shared" si="17"/>
        <v>226607.06043956045</v>
      </c>
      <c r="I52" s="68">
        <f t="shared" si="17"/>
        <v>226607.06043956048</v>
      </c>
      <c r="J52" s="68">
        <f t="shared" si="17"/>
        <v>226607.06043956045</v>
      </c>
      <c r="K52" s="68">
        <f t="shared" si="17"/>
        <v>226607.06043956045</v>
      </c>
      <c r="L52" s="68">
        <f t="shared" si="17"/>
        <v>226607.06043956045</v>
      </c>
      <c r="M52" s="68">
        <f t="shared" si="17"/>
        <v>226607.06043956048</v>
      </c>
      <c r="N52" s="68">
        <f t="shared" si="17"/>
        <v>216832.00636388926</v>
      </c>
      <c r="O52" s="76" t="s">
        <v>108</v>
      </c>
    </row>
    <row r="54" spans="1:15" ht="26" x14ac:dyDescent="0.35">
      <c r="A54" s="76" t="s">
        <v>103</v>
      </c>
      <c r="B54" s="68">
        <f>(B19+B20)/(B9+B10)</f>
        <v>3620000</v>
      </c>
      <c r="C54" s="68">
        <f>(C19+C20)/(C9+C10)</f>
        <v>254825</v>
      </c>
      <c r="D54" s="68">
        <f>(D19+D20)/(D9+D10)</f>
        <v>244017.85714285713</v>
      </c>
      <c r="E54" s="68">
        <f>(E19+E20)/(E9+E10-100-4)</f>
        <v>218875</v>
      </c>
      <c r="F54" s="68">
        <f>(F19+F20)/(F9+F10-4)</f>
        <v>224115.38461538462</v>
      </c>
      <c r="G54" s="68">
        <f>(G19+G20)/(G9+G10-2)</f>
        <v>219420</v>
      </c>
    </row>
    <row r="57" spans="1:15" ht="26" x14ac:dyDescent="0.35">
      <c r="A57" s="119" t="s">
        <v>134</v>
      </c>
    </row>
    <row r="58" spans="1:15" x14ac:dyDescent="0.35">
      <c r="A58" s="119" t="s">
        <v>63</v>
      </c>
      <c r="B58" s="120">
        <f>8000*75%+6000*25%</f>
        <v>7500</v>
      </c>
      <c r="C58" s="120">
        <f>8000*75%+6000*25%</f>
        <v>7500</v>
      </c>
      <c r="D58" s="120">
        <f>8000*75%+6000*25%</f>
        <v>7500</v>
      </c>
    </row>
    <row r="59" spans="1:15" x14ac:dyDescent="0.35">
      <c r="A59" s="119" t="s">
        <v>135</v>
      </c>
      <c r="B59" s="120">
        <f>B4*$D$58</f>
        <v>1200000</v>
      </c>
      <c r="C59" s="120">
        <f>C4*$D$58</f>
        <v>2610000</v>
      </c>
      <c r="D59" s="120">
        <f>D4*$D$58</f>
        <v>2835000</v>
      </c>
      <c r="E59" s="120">
        <f t="shared" ref="E59:M59" si="18">E4*$D$58</f>
        <v>3742500</v>
      </c>
      <c r="F59" s="120">
        <f>F4*$D$58</f>
        <v>3337500</v>
      </c>
      <c r="G59" s="120">
        <f t="shared" si="18"/>
        <v>630000</v>
      </c>
      <c r="H59" s="120">
        <f>H4*$D$58</f>
        <v>52500</v>
      </c>
      <c r="I59" s="120">
        <f t="shared" si="18"/>
        <v>37500</v>
      </c>
      <c r="J59" s="120">
        <f t="shared" si="18"/>
        <v>435000</v>
      </c>
      <c r="K59" s="120">
        <f t="shared" si="18"/>
        <v>24097500</v>
      </c>
      <c r="L59" s="120">
        <f t="shared" si="18"/>
        <v>20317500</v>
      </c>
      <c r="M59" s="120">
        <f t="shared" si="18"/>
        <v>19162500</v>
      </c>
      <c r="N59" s="120">
        <f>SUM(D59:M59)</f>
        <v>74647500</v>
      </c>
    </row>
    <row r="61" spans="1:15" ht="26" x14ac:dyDescent="0.35">
      <c r="A61" s="117" t="s">
        <v>136</v>
      </c>
      <c r="B61" s="118">
        <f>B25-B59</f>
        <v>529944810</v>
      </c>
      <c r="C61" s="118">
        <f>C25-C59</f>
        <v>613939050</v>
      </c>
      <c r="D61" s="118">
        <f>D25-D59</f>
        <v>509742700</v>
      </c>
      <c r="E61" s="118">
        <f>E25-E59</f>
        <v>481023400</v>
      </c>
      <c r="F61" s="118">
        <f t="shared" ref="F61:M61" si="19">F25-F59</f>
        <v>514524380</v>
      </c>
      <c r="G61" s="118">
        <f t="shared" si="19"/>
        <v>531249400</v>
      </c>
      <c r="H61" s="118">
        <f t="shared" si="19"/>
        <v>531757830.54945052</v>
      </c>
      <c r="I61" s="118">
        <f t="shared" si="19"/>
        <v>561916723.48901105</v>
      </c>
      <c r="J61" s="118">
        <f t="shared" si="19"/>
        <v>564897088.76373625</v>
      </c>
      <c r="K61" s="118">
        <f t="shared" si="19"/>
        <v>561389448.70879126</v>
      </c>
      <c r="L61" s="118">
        <f t="shared" si="19"/>
        <v>529395219.31318676</v>
      </c>
      <c r="M61" s="118">
        <f t="shared" si="19"/>
        <v>527894449.15934062</v>
      </c>
      <c r="N61" s="121">
        <f>SUM(E61:M61)</f>
        <v>4804047939.9835167</v>
      </c>
    </row>
    <row r="62" spans="1:15" x14ac:dyDescent="0.35">
      <c r="A62" s="76" t="s">
        <v>112</v>
      </c>
      <c r="B62" s="68">
        <f>B46</f>
        <v>98585</v>
      </c>
      <c r="C62" s="68">
        <f>C46</f>
        <v>100147</v>
      </c>
      <c r="D62" s="68">
        <f>D46</f>
        <v>104413</v>
      </c>
      <c r="E62" s="68">
        <f t="shared" ref="E62:M62" si="20">E46</f>
        <v>104775</v>
      </c>
      <c r="F62" s="68">
        <f t="shared" si="20"/>
        <v>108127</v>
      </c>
      <c r="G62" s="68">
        <f t="shared" si="20"/>
        <v>105127</v>
      </c>
      <c r="H62" s="68">
        <f t="shared" si="20"/>
        <v>106753</v>
      </c>
      <c r="I62" s="68">
        <f t="shared" si="20"/>
        <v>108515</v>
      </c>
      <c r="J62" s="68">
        <f t="shared" si="20"/>
        <v>111304</v>
      </c>
      <c r="K62" s="68">
        <f t="shared" si="20"/>
        <v>113651</v>
      </c>
      <c r="L62" s="68">
        <f t="shared" si="20"/>
        <v>115636</v>
      </c>
      <c r="M62" s="68">
        <f t="shared" si="20"/>
        <v>114504</v>
      </c>
      <c r="N62" s="68">
        <f>AVERAGE(E62:M62)</f>
        <v>109821.33333333333</v>
      </c>
      <c r="O62" s="76" t="s">
        <v>116</v>
      </c>
    </row>
    <row r="63" spans="1:15" x14ac:dyDescent="0.35">
      <c r="A63" s="76" t="s">
        <v>66</v>
      </c>
      <c r="B63" s="63">
        <v>31</v>
      </c>
      <c r="C63" s="63">
        <v>30</v>
      </c>
      <c r="D63" s="63">
        <v>31</v>
      </c>
      <c r="E63" s="63">
        <v>30</v>
      </c>
      <c r="F63" s="63">
        <v>31</v>
      </c>
      <c r="G63" s="63">
        <v>31</v>
      </c>
      <c r="H63" s="63">
        <v>30</v>
      </c>
      <c r="I63" s="63">
        <v>31</v>
      </c>
      <c r="J63" s="63">
        <v>30</v>
      </c>
      <c r="K63" s="63">
        <v>31</v>
      </c>
      <c r="L63" s="63">
        <v>28</v>
      </c>
      <c r="M63" s="63">
        <v>31</v>
      </c>
      <c r="N63" s="63">
        <f>SUM(E63:M63)</f>
        <v>273</v>
      </c>
    </row>
    <row r="64" spans="1:15" x14ac:dyDescent="0.35">
      <c r="A64" s="76" t="s">
        <v>67</v>
      </c>
      <c r="B64" s="68">
        <f>B61/B63</f>
        <v>17094993.870967742</v>
      </c>
      <c r="C64" s="68">
        <f>C61/C63</f>
        <v>20464635</v>
      </c>
      <c r="D64" s="68">
        <f>D61/D63</f>
        <v>16443312.903225806</v>
      </c>
      <c r="E64" s="68">
        <f>E61/E63</f>
        <v>16034113.333333334</v>
      </c>
      <c r="F64" s="68">
        <f t="shared" ref="F64:N64" si="21">F61/F63</f>
        <v>16597560.64516129</v>
      </c>
      <c r="G64" s="68">
        <f t="shared" si="21"/>
        <v>17137077.419354837</v>
      </c>
      <c r="H64" s="68">
        <f t="shared" si="21"/>
        <v>17725261.018315017</v>
      </c>
      <c r="I64" s="68">
        <f t="shared" si="21"/>
        <v>18126345.919000357</v>
      </c>
      <c r="J64" s="68">
        <f t="shared" si="21"/>
        <v>18829902.958791208</v>
      </c>
      <c r="K64" s="68">
        <f>K61/K63</f>
        <v>18109337.055122297</v>
      </c>
      <c r="L64" s="68">
        <f t="shared" si="21"/>
        <v>18906972.118328098</v>
      </c>
      <c r="M64" s="68">
        <f t="shared" si="21"/>
        <v>17028853.198688406</v>
      </c>
      <c r="N64" s="68">
        <f t="shared" si="21"/>
        <v>17597245.201404825</v>
      </c>
      <c r="O64" s="76" t="s">
        <v>113</v>
      </c>
    </row>
    <row r="65" spans="1:15" ht="26" x14ac:dyDescent="0.35">
      <c r="A65" s="76" t="s">
        <v>69</v>
      </c>
      <c r="B65" s="68">
        <f t="shared" ref="B65:G65" si="22">B64/B62</f>
        <v>173.4035996446492</v>
      </c>
      <c r="C65" s="68">
        <f t="shared" si="22"/>
        <v>204.34596143668807</v>
      </c>
      <c r="D65" s="68">
        <f t="shared" si="22"/>
        <v>157.48338715701883</v>
      </c>
      <c r="E65" s="68">
        <f t="shared" si="22"/>
        <v>153.03377077865267</v>
      </c>
      <c r="F65" s="68">
        <f t="shared" si="22"/>
        <v>153.50061173584109</v>
      </c>
      <c r="G65" s="68">
        <f t="shared" si="22"/>
        <v>163.01309291956241</v>
      </c>
      <c r="H65" s="68">
        <f t="shared" ref="H65:M65" si="23">H64/H62</f>
        <v>166.03993347554652</v>
      </c>
      <c r="I65" s="68">
        <f t="shared" si="23"/>
        <v>167.04000293968906</v>
      </c>
      <c r="J65" s="68">
        <f t="shared" si="23"/>
        <v>169.17543806863372</v>
      </c>
      <c r="K65" s="68">
        <f>K64/K62</f>
        <v>159.34164288147309</v>
      </c>
      <c r="L65" s="68">
        <f t="shared" si="23"/>
        <v>163.50420386668597</v>
      </c>
      <c r="M65" s="68">
        <f t="shared" si="23"/>
        <v>148.71841331908411</v>
      </c>
      <c r="N65" s="68">
        <f>N64/N62</f>
        <v>160.23521721406428</v>
      </c>
      <c r="O65" s="76" t="s">
        <v>114</v>
      </c>
    </row>
    <row r="66" spans="1:15" ht="26" x14ac:dyDescent="0.35">
      <c r="A66" s="76" t="s">
        <v>72</v>
      </c>
      <c r="B66" s="68">
        <f>B61/B62</f>
        <v>5375.5115889841254</v>
      </c>
      <c r="C66" s="68">
        <f>C61/C62</f>
        <v>6130.3788431006424</v>
      </c>
      <c r="D66" s="68">
        <f>D61/D62</f>
        <v>4881.9850018675834</v>
      </c>
      <c r="E66" s="68">
        <f>E61/E62</f>
        <v>4591.0131233595803</v>
      </c>
      <c r="F66" s="68">
        <f t="shared" ref="F66:N66" si="24">F61/F62</f>
        <v>4758.5189638110742</v>
      </c>
      <c r="G66" s="68">
        <f t="shared" si="24"/>
        <v>5053.4058805064351</v>
      </c>
      <c r="H66" s="68">
        <f t="shared" si="24"/>
        <v>4981.1980042663954</v>
      </c>
      <c r="I66" s="68">
        <f t="shared" si="24"/>
        <v>5178.2400911303603</v>
      </c>
      <c r="J66" s="68">
        <f t="shared" si="24"/>
        <v>5075.2631420590114</v>
      </c>
      <c r="K66" s="68">
        <f t="shared" si="24"/>
        <v>4939.5909293256655</v>
      </c>
      <c r="L66" s="68">
        <f t="shared" si="24"/>
        <v>4578.1177082672075</v>
      </c>
      <c r="M66" s="68">
        <f t="shared" si="24"/>
        <v>4610.2708128916074</v>
      </c>
      <c r="N66" s="68">
        <f t="shared" si="24"/>
        <v>43744.214299439547</v>
      </c>
      <c r="O66" s="76" t="s">
        <v>115</v>
      </c>
    </row>
    <row r="70" spans="1:15" x14ac:dyDescent="0.35">
      <c r="B70" s="68">
        <f>(B31-B61)/1000000</f>
        <v>26.393350000000002</v>
      </c>
      <c r="C70" s="68">
        <f>(C31-C61)/1000000</f>
        <v>28.452500000000001</v>
      </c>
      <c r="D70" s="68">
        <f t="shared" ref="D70:N70" si="25">(D31-D61)/1000000</f>
        <v>19.336500000000001</v>
      </c>
      <c r="E70" s="68">
        <f t="shared" si="25"/>
        <v>58.473999999999997</v>
      </c>
      <c r="F70" s="68">
        <f t="shared" si="25"/>
        <v>21.433</v>
      </c>
      <c r="G70" s="68">
        <f t="shared" si="25"/>
        <v>8.7795000000000005</v>
      </c>
      <c r="H70" s="68">
        <f t="shared" si="25"/>
        <v>5.6835694505494834</v>
      </c>
      <c r="I70" s="68">
        <f t="shared" si="25"/>
        <v>5.8401765109890702</v>
      </c>
      <c r="J70" s="68">
        <f t="shared" si="25"/>
        <v>10.293461236263752</v>
      </c>
      <c r="K70" s="68">
        <f t="shared" si="25"/>
        <v>123.37410129120875</v>
      </c>
      <c r="L70" s="68">
        <f t="shared" si="25"/>
        <v>104.02353068681323</v>
      </c>
      <c r="M70" s="68">
        <f t="shared" si="25"/>
        <v>95.906531840659383</v>
      </c>
      <c r="N70" s="68">
        <f t="shared" si="25"/>
        <v>962.88707101648333</v>
      </c>
      <c r="O70" s="67"/>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DDAB-1651-4435-8C9B-764E6074C534}">
  <sheetPr codeName="Sheet5"/>
  <dimension ref="A1:G25"/>
  <sheetViews>
    <sheetView showGridLines="0" zoomScale="80" zoomScaleNormal="80" workbookViewId="0">
      <pane ySplit="1" topLeftCell="A3" activePane="bottomLeft" state="frozen"/>
      <selection pane="bottomLeft" activeCell="B21" sqref="B21"/>
    </sheetView>
  </sheetViews>
  <sheetFormatPr defaultRowHeight="14.5" x14ac:dyDescent="0.35"/>
  <cols>
    <col min="1" max="1" width="33.54296875" bestFit="1" customWidth="1"/>
    <col min="2" max="9" width="14.1796875" customWidth="1"/>
  </cols>
  <sheetData>
    <row r="1" spans="1:7" x14ac:dyDescent="0.35">
      <c r="A1" s="1" t="s">
        <v>14</v>
      </c>
      <c r="B1" s="2" t="s">
        <v>143</v>
      </c>
      <c r="C1" s="2" t="s">
        <v>143</v>
      </c>
      <c r="D1" s="2" t="s">
        <v>142</v>
      </c>
      <c r="E1" s="2" t="s">
        <v>21</v>
      </c>
      <c r="F1" s="2" t="s">
        <v>0</v>
      </c>
      <c r="G1" s="2" t="s">
        <v>4</v>
      </c>
    </row>
    <row r="2" spans="1:7" x14ac:dyDescent="0.35">
      <c r="A2" s="1"/>
      <c r="B2" s="2"/>
      <c r="C2" s="2"/>
      <c r="D2" s="2"/>
      <c r="E2" s="2"/>
      <c r="F2" s="2"/>
      <c r="G2" s="2"/>
    </row>
    <row r="3" spans="1:7" ht="18.5" x14ac:dyDescent="0.45">
      <c r="A3" s="24" t="s">
        <v>35</v>
      </c>
      <c r="B3" s="2"/>
      <c r="C3" s="2"/>
      <c r="D3" s="2"/>
      <c r="E3" s="2"/>
      <c r="F3" s="2"/>
      <c r="G3" s="2"/>
    </row>
    <row r="4" spans="1:7" s="18" customFormat="1" ht="15.5" x14ac:dyDescent="0.35">
      <c r="A4" s="17" t="s">
        <v>10</v>
      </c>
      <c r="B4" s="124">
        <f t="shared" ref="B4:G4" si="0">SUM(B5:B7)</f>
        <v>405247180</v>
      </c>
      <c r="C4" s="124">
        <f t="shared" si="0"/>
        <v>476894000</v>
      </c>
      <c r="D4" s="124">
        <f t="shared" si="0"/>
        <v>390398100</v>
      </c>
      <c r="E4" s="15">
        <f t="shared" si="0"/>
        <v>384801500</v>
      </c>
      <c r="F4" s="15">
        <f t="shared" si="0"/>
        <v>399076600</v>
      </c>
      <c r="G4" s="15">
        <f t="shared" si="0"/>
        <v>411477700</v>
      </c>
    </row>
    <row r="5" spans="1:7" s="21" customFormat="1" x14ac:dyDescent="0.35">
      <c r="A5" s="19" t="s">
        <v>29</v>
      </c>
      <c r="B5" s="36">
        <v>96961400</v>
      </c>
      <c r="C5" s="36">
        <v>102103600</v>
      </c>
      <c r="D5" s="36">
        <v>105064100</v>
      </c>
      <c r="E5" s="20">
        <v>90261800</v>
      </c>
      <c r="F5" s="20">
        <v>102985900</v>
      </c>
      <c r="G5" s="20">
        <v>110854600</v>
      </c>
    </row>
    <row r="6" spans="1:7" s="21" customFormat="1" x14ac:dyDescent="0.35">
      <c r="A6" s="19" t="s">
        <v>30</v>
      </c>
      <c r="B6" s="36">
        <v>215502860</v>
      </c>
      <c r="C6" s="36">
        <v>193625700</v>
      </c>
      <c r="D6" s="36">
        <v>197911200</v>
      </c>
      <c r="E6" s="20">
        <v>205580900</v>
      </c>
      <c r="F6" s="20">
        <v>203127000</v>
      </c>
      <c r="G6" s="20">
        <v>207713500</v>
      </c>
    </row>
    <row r="7" spans="1:7" s="21" customFormat="1" x14ac:dyDescent="0.35">
      <c r="A7" s="19" t="s">
        <v>31</v>
      </c>
      <c r="B7" s="36">
        <v>92782920</v>
      </c>
      <c r="C7" s="36">
        <v>181164700</v>
      </c>
      <c r="D7" s="36">
        <v>87422800</v>
      </c>
      <c r="E7" s="20">
        <v>88958800</v>
      </c>
      <c r="F7" s="20">
        <v>92963700</v>
      </c>
      <c r="G7" s="20">
        <v>92909600</v>
      </c>
    </row>
    <row r="8" spans="1:7" s="18" customFormat="1" ht="15.5" x14ac:dyDescent="0.35">
      <c r="A8" s="17" t="s">
        <v>8</v>
      </c>
      <c r="B8" s="124">
        <f t="shared" ref="B8:G8" si="1">SUM(B9:B11)</f>
        <v>90203340</v>
      </c>
      <c r="C8" s="124">
        <f t="shared" si="1"/>
        <v>104453890</v>
      </c>
      <c r="D8" s="124">
        <f t="shared" si="1"/>
        <v>85173700</v>
      </c>
      <c r="E8" s="15">
        <f t="shared" si="1"/>
        <v>85774750</v>
      </c>
      <c r="F8" s="15">
        <f t="shared" si="1"/>
        <v>86477900</v>
      </c>
      <c r="G8" s="15">
        <f t="shared" si="1"/>
        <v>87155450</v>
      </c>
    </row>
    <row r="9" spans="1:7" s="21" customFormat="1" x14ac:dyDescent="0.35">
      <c r="A9" s="19" t="s">
        <v>29</v>
      </c>
      <c r="B9" s="36">
        <v>22811040</v>
      </c>
      <c r="C9" s="36">
        <v>24100300</v>
      </c>
      <c r="D9" s="36">
        <v>22409750</v>
      </c>
      <c r="E9" s="20">
        <v>18728700</v>
      </c>
      <c r="F9" s="20">
        <v>21252500</v>
      </c>
      <c r="G9" s="20">
        <v>24028200</v>
      </c>
    </row>
    <row r="10" spans="1:7" s="21" customFormat="1" x14ac:dyDescent="0.35">
      <c r="A10" s="19" t="s">
        <v>30</v>
      </c>
      <c r="B10" s="36">
        <v>49381860</v>
      </c>
      <c r="C10" s="36">
        <v>46672750</v>
      </c>
      <c r="D10" s="36">
        <v>45272550</v>
      </c>
      <c r="E10" s="20">
        <v>49872000</v>
      </c>
      <c r="F10" s="20">
        <v>47781200</v>
      </c>
      <c r="G10" s="20">
        <v>45296300</v>
      </c>
    </row>
    <row r="11" spans="1:7" s="21" customFormat="1" x14ac:dyDescent="0.35">
      <c r="A11" s="19" t="s">
        <v>31</v>
      </c>
      <c r="B11" s="36">
        <v>18010440</v>
      </c>
      <c r="C11" s="36">
        <v>33680840</v>
      </c>
      <c r="D11" s="36">
        <v>17491400</v>
      </c>
      <c r="E11" s="20">
        <v>17174050</v>
      </c>
      <c r="F11" s="20">
        <v>17444200</v>
      </c>
      <c r="G11" s="20">
        <v>17830950</v>
      </c>
    </row>
    <row r="12" spans="1:7" s="18" customFormat="1" ht="15.5" x14ac:dyDescent="0.35">
      <c r="A12" s="17" t="s">
        <v>9</v>
      </c>
      <c r="B12" s="124">
        <f t="shared" ref="B12:G12" si="2">SUM(B13:B15)</f>
        <v>35694290</v>
      </c>
      <c r="C12" s="124">
        <f t="shared" si="2"/>
        <v>35201160</v>
      </c>
      <c r="D12" s="124">
        <f t="shared" si="2"/>
        <v>37005900</v>
      </c>
      <c r="E12" s="15">
        <f t="shared" si="2"/>
        <v>33019650</v>
      </c>
      <c r="F12" s="15">
        <f t="shared" si="2"/>
        <v>33207380</v>
      </c>
      <c r="G12" s="15">
        <f t="shared" si="2"/>
        <v>33721250</v>
      </c>
    </row>
    <row r="13" spans="1:7" s="21" customFormat="1" x14ac:dyDescent="0.35">
      <c r="A13" s="19" t="s">
        <v>29</v>
      </c>
      <c r="B13" s="36">
        <v>8063600</v>
      </c>
      <c r="C13" s="36">
        <v>8058750</v>
      </c>
      <c r="D13" s="36">
        <v>8704250</v>
      </c>
      <c r="E13" s="20">
        <v>6025550</v>
      </c>
      <c r="F13" s="20">
        <v>7837230</v>
      </c>
      <c r="G13" s="20">
        <v>8751000</v>
      </c>
    </row>
    <row r="14" spans="1:7" s="21" customFormat="1" x14ac:dyDescent="0.35">
      <c r="A14" s="19" t="s">
        <v>30</v>
      </c>
      <c r="B14" s="36">
        <v>20231270</v>
      </c>
      <c r="C14" s="36">
        <v>16456950</v>
      </c>
      <c r="D14" s="36">
        <v>20404500</v>
      </c>
      <c r="E14" s="20">
        <v>18541150</v>
      </c>
      <c r="F14" s="20">
        <v>18416550</v>
      </c>
      <c r="G14" s="20">
        <v>17612550</v>
      </c>
    </row>
    <row r="15" spans="1:7" s="21" customFormat="1" x14ac:dyDescent="0.35">
      <c r="A15" s="19" t="s">
        <v>31</v>
      </c>
      <c r="B15" s="36">
        <v>7399420</v>
      </c>
      <c r="C15" s="36">
        <v>10685460</v>
      </c>
      <c r="D15" s="36">
        <v>7897150</v>
      </c>
      <c r="E15" s="20">
        <v>8452950</v>
      </c>
      <c r="F15" s="20">
        <v>6953600</v>
      </c>
      <c r="G15" s="20">
        <v>7357700</v>
      </c>
    </row>
    <row r="16" spans="1:7" s="18" customFormat="1" ht="15.5" x14ac:dyDescent="0.35">
      <c r="A16" s="17" t="s">
        <v>11</v>
      </c>
      <c r="B16" s="124">
        <f t="shared" ref="B16:G16" si="3">SUM(B17:B19)</f>
        <v>0</v>
      </c>
      <c r="C16" s="124">
        <f t="shared" si="3"/>
        <v>0</v>
      </c>
      <c r="D16" s="124">
        <f t="shared" si="3"/>
        <v>0</v>
      </c>
      <c r="E16" s="15">
        <f t="shared" si="3"/>
        <v>0</v>
      </c>
      <c r="F16" s="15">
        <f t="shared" si="3"/>
        <v>0</v>
      </c>
      <c r="G16" s="15">
        <f t="shared" si="3"/>
        <v>0</v>
      </c>
    </row>
    <row r="17" spans="1:7" s="23" customFormat="1" ht="15.5" x14ac:dyDescent="0.35">
      <c r="A17" s="19" t="s">
        <v>29</v>
      </c>
      <c r="B17" s="125"/>
      <c r="C17" s="125"/>
      <c r="D17" s="125"/>
      <c r="E17" s="22"/>
      <c r="F17" s="22"/>
      <c r="G17" s="22"/>
    </row>
    <row r="18" spans="1:7" s="23" customFormat="1" ht="15.5" x14ac:dyDescent="0.35">
      <c r="A18" s="19" t="s">
        <v>30</v>
      </c>
      <c r="B18" s="125"/>
      <c r="C18" s="125"/>
      <c r="D18" s="125"/>
      <c r="E18" s="22"/>
      <c r="F18" s="22"/>
      <c r="G18" s="22"/>
    </row>
    <row r="19" spans="1:7" s="23" customFormat="1" ht="15.5" x14ac:dyDescent="0.35">
      <c r="A19" s="19" t="s">
        <v>31</v>
      </c>
      <c r="B19" s="125"/>
      <c r="C19" s="125"/>
      <c r="D19" s="125"/>
      <c r="E19" s="22"/>
      <c r="F19" s="22"/>
      <c r="G19" s="22"/>
    </row>
    <row r="20" spans="1:7" s="23" customFormat="1" ht="15.5" x14ac:dyDescent="0.35">
      <c r="A20" s="19"/>
      <c r="B20" s="125"/>
      <c r="C20" s="125"/>
      <c r="D20" s="125"/>
      <c r="E20" s="22"/>
      <c r="F20" s="22"/>
      <c r="G20" s="22"/>
    </row>
    <row r="21" spans="1:7" s="23" customFormat="1" ht="15.5" x14ac:dyDescent="0.35">
      <c r="A21" s="19" t="s">
        <v>32</v>
      </c>
      <c r="B21" s="126">
        <v>12130000</v>
      </c>
      <c r="C21" s="126">
        <v>14943000</v>
      </c>
      <c r="D21" s="126">
        <v>6832500</v>
      </c>
      <c r="E21" s="22">
        <v>4377500</v>
      </c>
      <c r="F21" s="22">
        <v>5827000</v>
      </c>
      <c r="G21" s="22">
        <v>5485500</v>
      </c>
    </row>
    <row r="22" spans="1:7" s="18" customFormat="1" ht="15.5" x14ac:dyDescent="0.35">
      <c r="A22" s="4" t="s">
        <v>33</v>
      </c>
      <c r="B22" s="124">
        <v>0</v>
      </c>
      <c r="C22" s="124">
        <v>900000</v>
      </c>
      <c r="D22" s="124">
        <v>0</v>
      </c>
      <c r="E22" s="15">
        <v>18125000</v>
      </c>
      <c r="F22" s="15">
        <v>900000</v>
      </c>
      <c r="G22" s="15">
        <v>475000</v>
      </c>
    </row>
    <row r="23" spans="1:7" s="18" customFormat="1" ht="15.5" x14ac:dyDescent="0.35">
      <c r="A23" s="4" t="s">
        <v>34</v>
      </c>
      <c r="B23" s="124">
        <v>251250</v>
      </c>
      <c r="C23" s="124">
        <v>0</v>
      </c>
      <c r="D23" s="124">
        <v>0</v>
      </c>
      <c r="E23" s="15">
        <v>705000</v>
      </c>
      <c r="F23" s="15">
        <v>0</v>
      </c>
      <c r="G23" s="15"/>
    </row>
    <row r="24" spans="1:7" s="9" customFormat="1" ht="15" thickBot="1" x14ac:dyDescent="0.4">
      <c r="A24" s="8" t="s">
        <v>7</v>
      </c>
      <c r="B24" s="12">
        <f t="shared" ref="B24:G24" si="4">B4+B8+B12+B16+B21+B22+B23</f>
        <v>543526060</v>
      </c>
      <c r="C24" s="12">
        <f t="shared" si="4"/>
        <v>632392050</v>
      </c>
      <c r="D24" s="12">
        <f t="shared" si="4"/>
        <v>519410200</v>
      </c>
      <c r="E24" s="12">
        <f t="shared" si="4"/>
        <v>526803400</v>
      </c>
      <c r="F24" s="12">
        <f t="shared" si="4"/>
        <v>525488880</v>
      </c>
      <c r="G24" s="12">
        <f t="shared" si="4"/>
        <v>538314900</v>
      </c>
    </row>
    <row r="25" spans="1:7" ht="15" thickTop="1" x14ac:dyDescent="0.35"/>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0844F-BF66-49A8-8804-2BF441C95A22}">
  <sheetPr codeName="Sheet6"/>
  <dimension ref="A1:P95"/>
  <sheetViews>
    <sheetView zoomScale="80" zoomScaleNormal="80" workbookViewId="0">
      <pane xSplit="1" ySplit="1" topLeftCell="B50" activePane="bottomRight" state="frozen"/>
      <selection pane="topRight" activeCell="B1" sqref="B1"/>
      <selection pane="bottomLeft" activeCell="A2" sqref="A2"/>
      <selection pane="bottomRight" activeCell="M93" sqref="M93"/>
    </sheetView>
  </sheetViews>
  <sheetFormatPr defaultColWidth="9.1796875" defaultRowHeight="14.5" x14ac:dyDescent="0.35"/>
  <cols>
    <col min="1" max="1" width="28.453125" style="80" bestFit="1" customWidth="1"/>
    <col min="2" max="2" width="16.26953125" style="59" bestFit="1" customWidth="1"/>
    <col min="3" max="13" width="12" style="59" bestFit="1" customWidth="1"/>
    <col min="14" max="14" width="13.54296875" style="59" bestFit="1" customWidth="1"/>
    <col min="15" max="15" width="13.81640625" style="59" bestFit="1" customWidth="1"/>
    <col min="16" max="23" width="11.1796875" style="59" bestFit="1" customWidth="1"/>
    <col min="24" max="24" width="12.7265625" style="59" bestFit="1" customWidth="1"/>
    <col min="25" max="25" width="10.1796875" style="59" bestFit="1" customWidth="1"/>
    <col min="26" max="26" width="12.7265625" style="59" bestFit="1" customWidth="1"/>
    <col min="27" max="27" width="7.54296875" style="59" bestFit="1" customWidth="1"/>
    <col min="28" max="28" width="9.7265625" style="59" bestFit="1" customWidth="1"/>
    <col min="29" max="29" width="9.81640625" style="59" bestFit="1" customWidth="1"/>
    <col min="30" max="30" width="9.1796875" style="59" bestFit="1"/>
    <col min="31" max="31" width="9.7265625" style="59" bestFit="1" customWidth="1"/>
    <col min="32" max="32" width="7.54296875" style="59" bestFit="1" customWidth="1"/>
    <col min="33" max="33" width="6.54296875" style="59" bestFit="1" customWidth="1"/>
    <col min="34" max="34" width="9.1796875" style="59" bestFit="1"/>
    <col min="35" max="35" width="9.7265625" style="59" bestFit="1" customWidth="1"/>
    <col min="36" max="36" width="9.1796875" style="59" bestFit="1"/>
    <col min="37" max="37" width="9.7265625" style="59" bestFit="1" customWidth="1"/>
    <col min="38" max="38" width="9.81640625" style="59" bestFit="1" customWidth="1"/>
    <col min="39" max="39" width="9.1796875" style="59" bestFit="1"/>
    <col min="40" max="40" width="9.7265625" style="59" bestFit="1" customWidth="1"/>
    <col min="41" max="43" width="9.1796875" style="59" bestFit="1"/>
    <col min="44" max="44" width="9.7265625" style="59" bestFit="1" customWidth="1"/>
    <col min="45" max="45" width="9.1796875" style="59" bestFit="1"/>
    <col min="46" max="46" width="7.54296875" style="59" bestFit="1" customWidth="1"/>
    <col min="47" max="47" width="9.7265625" style="59" bestFit="1" customWidth="1"/>
    <col min="48" max="49" width="7.54296875" style="59" bestFit="1" customWidth="1"/>
    <col min="50" max="50" width="9.1796875" style="59" bestFit="1"/>
    <col min="51" max="51" width="9.7265625" style="59" bestFit="1" customWidth="1"/>
    <col min="52" max="52" width="10.1796875" style="59" bestFit="1" customWidth="1"/>
    <col min="53" max="53" width="9.1796875" style="59" bestFit="1"/>
    <col min="54" max="54" width="9.7265625" style="59" bestFit="1" customWidth="1"/>
    <col min="55" max="56" width="7.54296875" style="59" bestFit="1" customWidth="1"/>
    <col min="57" max="57" width="9.7265625" style="59" bestFit="1" customWidth="1"/>
    <col min="58" max="58" width="7.54296875" style="59" bestFit="1" customWidth="1"/>
    <col min="59" max="59" width="9.1796875" style="59" bestFit="1"/>
    <col min="60" max="60" width="9.7265625" style="59" bestFit="1" customWidth="1"/>
    <col min="61" max="61" width="6.7265625" style="59" bestFit="1" customWidth="1"/>
    <col min="62" max="62" width="9.7265625" style="59" bestFit="1" customWidth="1"/>
    <col min="63" max="63" width="9.81640625" style="59" bestFit="1" customWidth="1"/>
    <col min="64" max="64" width="7.54296875" style="59" bestFit="1" customWidth="1"/>
    <col min="65" max="66" width="9.1796875" style="59" bestFit="1"/>
    <col min="67" max="67" width="9.7265625" style="59" bestFit="1" customWidth="1"/>
    <col min="68" max="68" width="7.54296875" style="59" bestFit="1" customWidth="1"/>
    <col min="69" max="69" width="9.7265625" style="59" bestFit="1" customWidth="1"/>
    <col min="70" max="71" width="7.54296875" style="59" bestFit="1" customWidth="1"/>
    <col min="72" max="72" width="9.7265625" style="59" bestFit="1" customWidth="1"/>
    <col min="73" max="73" width="9.81640625" style="59" bestFit="1" customWidth="1"/>
    <col min="74" max="74" width="9.1796875" style="59" bestFit="1"/>
    <col min="75" max="75" width="10.1796875" style="59" bestFit="1" customWidth="1"/>
    <col min="76" max="76" width="9.1796875" style="59" bestFit="1"/>
    <col min="77" max="77" width="10.1796875" style="59" bestFit="1" customWidth="1"/>
    <col min="78" max="78" width="7.54296875" style="59" bestFit="1" customWidth="1"/>
    <col min="79" max="80" width="9.1796875" style="59" bestFit="1"/>
    <col min="81" max="81" width="9.7265625" style="59" bestFit="1" customWidth="1"/>
    <col min="82" max="82" width="7.54296875" style="59" bestFit="1" customWidth="1"/>
    <col min="83" max="83" width="9.7265625" style="59" bestFit="1" customWidth="1"/>
    <col min="84" max="84" width="10.1796875" style="59" bestFit="1" customWidth="1"/>
    <col min="85" max="86" width="7.54296875" style="59" bestFit="1" customWidth="1"/>
    <col min="87" max="87" width="9.1796875" style="59" bestFit="1"/>
    <col min="88" max="88" width="9.7265625" style="59" bestFit="1" customWidth="1"/>
    <col min="89" max="89" width="6.7265625" style="59" bestFit="1" customWidth="1"/>
    <col min="90" max="90" width="7.54296875" style="59" bestFit="1" customWidth="1"/>
    <col min="91" max="91" width="9.7265625" style="59" bestFit="1" customWidth="1"/>
    <col min="92" max="92" width="7.54296875" style="59" bestFit="1" customWidth="1"/>
    <col min="93" max="93" width="9.7265625" style="59" bestFit="1" customWidth="1"/>
    <col min="94" max="94" width="9.81640625" style="59" bestFit="1" customWidth="1"/>
    <col min="95" max="95" width="7.54296875" style="59" bestFit="1" customWidth="1"/>
    <col min="96" max="96" width="9.7265625" style="59" bestFit="1" customWidth="1"/>
    <col min="97" max="97" width="9.81640625" style="59" bestFit="1" customWidth="1"/>
    <col min="98" max="98" width="12.7265625" style="59" bestFit="1" customWidth="1"/>
    <col min="99" max="116" width="10.7265625" style="59" bestFit="1" customWidth="1"/>
    <col min="117" max="117" width="12.7265625" style="59" bestFit="1" customWidth="1"/>
    <col min="118" max="121" width="9.7265625" style="59" bestFit="1" customWidth="1"/>
    <col min="122" max="124" width="10.7265625" style="59" bestFit="1" customWidth="1"/>
    <col min="125" max="128" width="9.7265625" style="59" bestFit="1" customWidth="1"/>
    <col min="129" max="129" width="10.7265625" style="59" bestFit="1" customWidth="1"/>
    <col min="130" max="137" width="9.7265625" style="59" bestFit="1" customWidth="1"/>
    <col min="138" max="140" width="10.7265625" style="59" bestFit="1" customWidth="1"/>
    <col min="141" max="145" width="9.7265625" style="59" bestFit="1" customWidth="1"/>
    <col min="146" max="146" width="10.7265625" style="59" bestFit="1" customWidth="1"/>
    <col min="147" max="150" width="9.7265625" style="59" bestFit="1" customWidth="1"/>
    <col min="151" max="152" width="10.7265625" style="59" bestFit="1" customWidth="1"/>
    <col min="153" max="160" width="9.7265625" style="59" bestFit="1" customWidth="1"/>
    <col min="161" max="161" width="10.7265625" style="59" bestFit="1" customWidth="1"/>
    <col min="162" max="166" width="9.7265625" style="59" bestFit="1" customWidth="1"/>
    <col min="167" max="167" width="10.7265625" style="59" bestFit="1" customWidth="1"/>
    <col min="168" max="168" width="9.7265625" style="59" bestFit="1" customWidth="1"/>
    <col min="169" max="169" width="12.7265625" style="59" bestFit="1" customWidth="1"/>
    <col min="170" max="16384" width="9.1796875" style="59"/>
  </cols>
  <sheetData>
    <row r="1" spans="1:15" x14ac:dyDescent="0.35">
      <c r="B1" s="81">
        <v>44166</v>
      </c>
      <c r="C1" s="81">
        <v>44136</v>
      </c>
      <c r="D1" s="81">
        <v>44105</v>
      </c>
      <c r="E1" s="81">
        <v>44075</v>
      </c>
      <c r="F1" s="81">
        <v>44044</v>
      </c>
      <c r="G1" s="81">
        <v>44013</v>
      </c>
      <c r="H1" s="81">
        <v>43983</v>
      </c>
      <c r="I1" s="81">
        <v>43952</v>
      </c>
      <c r="J1" s="81">
        <v>43922</v>
      </c>
      <c r="K1" s="81">
        <v>43891</v>
      </c>
      <c r="L1" s="81">
        <v>43862</v>
      </c>
      <c r="M1" s="81">
        <v>43831</v>
      </c>
      <c r="N1" s="82" t="s">
        <v>100</v>
      </c>
      <c r="O1" s="59" t="s">
        <v>120</v>
      </c>
    </row>
    <row r="2" spans="1:15" x14ac:dyDescent="0.35">
      <c r="A2" s="80" t="s">
        <v>49</v>
      </c>
      <c r="B2" s="83">
        <f>B4+B8</f>
        <v>694342109.16720581</v>
      </c>
      <c r="C2" s="83">
        <f t="shared" ref="C2:M2" si="0">C4+C8</f>
        <v>538652944.91559243</v>
      </c>
      <c r="D2" s="83">
        <f t="shared" si="0"/>
        <v>531764246.06331354</v>
      </c>
      <c r="E2" s="83">
        <f t="shared" si="0"/>
        <v>488061922.60461652</v>
      </c>
      <c r="F2" s="83">
        <f t="shared" si="0"/>
        <v>480414149.35301101</v>
      </c>
      <c r="G2" s="83">
        <f t="shared" si="0"/>
        <v>502750844.44563484</v>
      </c>
      <c r="H2" s="83">
        <f t="shared" si="0"/>
        <v>470935146.90608752</v>
      </c>
      <c r="I2" s="83">
        <f t="shared" si="0"/>
        <v>453317941.87115389</v>
      </c>
      <c r="J2" s="83">
        <f t="shared" si="0"/>
        <v>445882276.98171294</v>
      </c>
      <c r="K2" s="83">
        <f t="shared" si="0"/>
        <v>540472076.8080883</v>
      </c>
      <c r="L2" s="83">
        <f t="shared" si="0"/>
        <v>471843566.30587929</v>
      </c>
      <c r="M2" s="83">
        <f t="shared" si="0"/>
        <v>485191712.4553569</v>
      </c>
      <c r="N2" s="84">
        <f>SUM(B2:M2)</f>
        <v>6103628937.8776531</v>
      </c>
    </row>
    <row r="4" spans="1:15" x14ac:dyDescent="0.35">
      <c r="A4" s="80" t="s">
        <v>50</v>
      </c>
      <c r="B4" s="83">
        <f>SUM(B5:B6)</f>
        <v>636789609.34439325</v>
      </c>
      <c r="C4" s="83">
        <f t="shared" ref="C4:M4" si="1">SUM(C5:C6)</f>
        <v>498062445.01090491</v>
      </c>
      <c r="D4" s="83">
        <f t="shared" si="1"/>
        <v>502739216.06275105</v>
      </c>
      <c r="E4" s="83">
        <f t="shared" si="1"/>
        <v>467373266.15617901</v>
      </c>
      <c r="F4" s="83">
        <f t="shared" si="1"/>
        <v>458535229.44538599</v>
      </c>
      <c r="G4" s="83">
        <f t="shared" si="1"/>
        <v>457652954.37457234</v>
      </c>
      <c r="H4" s="83">
        <f t="shared" si="1"/>
        <v>436256068.932275</v>
      </c>
      <c r="I4" s="83">
        <f t="shared" si="1"/>
        <v>439280742.04392862</v>
      </c>
      <c r="J4" s="83">
        <f t="shared" si="1"/>
        <v>423244207.12036681</v>
      </c>
      <c r="K4" s="83">
        <f t="shared" si="1"/>
        <v>475116058.45936024</v>
      </c>
      <c r="L4" s="83">
        <f t="shared" si="1"/>
        <v>411400668.73826391</v>
      </c>
      <c r="M4" s="83">
        <f t="shared" si="1"/>
        <v>443081612.18535691</v>
      </c>
    </row>
    <row r="5" spans="1:15" x14ac:dyDescent="0.35">
      <c r="A5" s="80" t="s">
        <v>51</v>
      </c>
      <c r="B5" s="85">
        <f t="shared" ref="B5:M5" si="2">B40/B47*(B45+1)</f>
        <v>604029822.65089321</v>
      </c>
      <c r="C5" s="85">
        <f t="shared" si="2"/>
        <v>476983365.0019049</v>
      </c>
      <c r="D5" s="85">
        <f t="shared" si="2"/>
        <v>485033056.00000107</v>
      </c>
      <c r="E5" s="85">
        <f t="shared" si="2"/>
        <v>454214716.003429</v>
      </c>
      <c r="F5" s="85">
        <f t="shared" si="2"/>
        <v>447034939.000386</v>
      </c>
      <c r="G5" s="85">
        <f t="shared" si="2"/>
        <v>449613076.00807232</v>
      </c>
      <c r="H5" s="85">
        <f t="shared" si="2"/>
        <v>428536068.65152502</v>
      </c>
      <c r="I5" s="85">
        <f t="shared" si="2"/>
        <v>432077791.87692863</v>
      </c>
      <c r="J5" s="85">
        <f t="shared" si="2"/>
        <v>419472756.99286681</v>
      </c>
      <c r="K5" s="85">
        <f t="shared" si="2"/>
        <v>473086008.56111026</v>
      </c>
      <c r="L5" s="85">
        <f t="shared" si="2"/>
        <v>409534061.99276388</v>
      </c>
      <c r="M5" s="85">
        <f t="shared" si="2"/>
        <v>441971662.21485692</v>
      </c>
    </row>
    <row r="6" spans="1:15" x14ac:dyDescent="0.35">
      <c r="A6" s="80" t="s">
        <v>52</v>
      </c>
      <c r="B6" s="86">
        <f t="shared" ref="B6:M6" si="3">B43*(1+B45)</f>
        <v>32759786.693499986</v>
      </c>
      <c r="C6" s="86">
        <f t="shared" si="3"/>
        <v>21079080.008999992</v>
      </c>
      <c r="D6" s="86">
        <f t="shared" si="3"/>
        <v>17706160.062749997</v>
      </c>
      <c r="E6" s="86">
        <f t="shared" si="3"/>
        <v>13158550.15275</v>
      </c>
      <c r="F6" s="86">
        <f t="shared" si="3"/>
        <v>11500290.444999993</v>
      </c>
      <c r="G6" s="86">
        <f t="shared" si="3"/>
        <v>8039878.3665000005</v>
      </c>
      <c r="H6" s="86">
        <f t="shared" si="3"/>
        <v>7720000.280749999</v>
      </c>
      <c r="I6" s="86">
        <f t="shared" si="3"/>
        <v>7202950.1669999994</v>
      </c>
      <c r="J6" s="86">
        <f t="shared" si="3"/>
        <v>3771450.127499999</v>
      </c>
      <c r="K6" s="86">
        <f t="shared" si="3"/>
        <v>2030049.8982499987</v>
      </c>
      <c r="L6" s="86">
        <f t="shared" si="3"/>
        <v>1866606.7455</v>
      </c>
      <c r="M6" s="86">
        <f t="shared" si="3"/>
        <v>1109949.9705000001</v>
      </c>
    </row>
    <row r="8" spans="1:15" x14ac:dyDescent="0.35">
      <c r="A8" s="80" t="s">
        <v>53</v>
      </c>
      <c r="B8" s="83">
        <f>SUM(B9:B10)</f>
        <v>57552499.822812505</v>
      </c>
      <c r="C8" s="83">
        <f t="shared" ref="C8:M8" si="4">SUM(C9:C10)</f>
        <v>40590499.904687501</v>
      </c>
      <c r="D8" s="83">
        <f t="shared" si="4"/>
        <v>29025030.000562496</v>
      </c>
      <c r="E8" s="83">
        <f t="shared" si="4"/>
        <v>20688656.448437482</v>
      </c>
      <c r="F8" s="83">
        <f t="shared" si="4"/>
        <v>21878919.907624997</v>
      </c>
      <c r="G8" s="83">
        <f t="shared" si="4"/>
        <v>45097890.071062505</v>
      </c>
      <c r="H8" s="83">
        <f t="shared" si="4"/>
        <v>34679077.973812498</v>
      </c>
      <c r="I8" s="83">
        <f t="shared" si="4"/>
        <v>14037199.827225273</v>
      </c>
      <c r="J8" s="83">
        <f t="shared" si="4"/>
        <v>22638069.861346155</v>
      </c>
      <c r="K8" s="83">
        <f t="shared" si="4"/>
        <v>65356018.348728031</v>
      </c>
      <c r="L8" s="83">
        <f t="shared" si="4"/>
        <v>60442897.567615375</v>
      </c>
      <c r="M8" s="83">
        <f t="shared" si="4"/>
        <v>42110100.270000003</v>
      </c>
    </row>
    <row r="9" spans="1:15" x14ac:dyDescent="0.35">
      <c r="A9" s="80" t="s">
        <v>54</v>
      </c>
      <c r="B9" s="85">
        <f t="shared" ref="B9:M9" si="5">B41/B46*(B45+1)</f>
        <v>39591999.995312497</v>
      </c>
      <c r="C9" s="85">
        <f t="shared" si="5"/>
        <v>26944499.999687497</v>
      </c>
      <c r="D9" s="85">
        <f t="shared" si="5"/>
        <v>19871530.001562499</v>
      </c>
      <c r="E9" s="85">
        <f t="shared" si="5"/>
        <v>4049907.4984374992</v>
      </c>
      <c r="F9" s="85">
        <f t="shared" si="5"/>
        <v>14802420.001874998</v>
      </c>
      <c r="G9" s="85">
        <f t="shared" si="5"/>
        <v>29996339.994062502</v>
      </c>
      <c r="H9" s="85">
        <f t="shared" si="5"/>
        <v>26268628.122812495</v>
      </c>
      <c r="I9" s="85">
        <f t="shared" si="5"/>
        <v>8050049.9997252738</v>
      </c>
      <c r="J9" s="85">
        <f t="shared" si="5"/>
        <v>20966520.003846154</v>
      </c>
      <c r="K9" s="85">
        <f t="shared" si="5"/>
        <v>58226519.99697803</v>
      </c>
      <c r="L9" s="85">
        <f t="shared" si="5"/>
        <v>52256853.484615378</v>
      </c>
      <c r="M9" s="85">
        <f t="shared" si="5"/>
        <v>37223550</v>
      </c>
    </row>
    <row r="10" spans="1:15" x14ac:dyDescent="0.35">
      <c r="A10" s="80" t="s">
        <v>55</v>
      </c>
      <c r="B10" s="86">
        <f t="shared" ref="B10:M10" si="6">B42*(1+B45)</f>
        <v>17960499.827500008</v>
      </c>
      <c r="C10" s="86">
        <f t="shared" si="6"/>
        <v>13645999.905000005</v>
      </c>
      <c r="D10" s="86">
        <f t="shared" si="6"/>
        <v>9153499.9989999998</v>
      </c>
      <c r="E10" s="86">
        <f t="shared" si="6"/>
        <v>16638748.949999982</v>
      </c>
      <c r="F10" s="86">
        <f t="shared" si="6"/>
        <v>7076499.9057499999</v>
      </c>
      <c r="G10" s="86">
        <f t="shared" si="6"/>
        <v>15101550.077</v>
      </c>
      <c r="H10" s="86">
        <f t="shared" si="6"/>
        <v>8410449.8510000017</v>
      </c>
      <c r="I10" s="86">
        <f t="shared" si="6"/>
        <v>5987149.8274999997</v>
      </c>
      <c r="J10" s="86">
        <f t="shared" si="6"/>
        <v>1671549.8574999999</v>
      </c>
      <c r="K10" s="86">
        <f t="shared" si="6"/>
        <v>7129498.3517500004</v>
      </c>
      <c r="L10" s="86">
        <f t="shared" si="6"/>
        <v>8186044.0829999996</v>
      </c>
      <c r="M10" s="86">
        <f t="shared" si="6"/>
        <v>4886550.2700000005</v>
      </c>
    </row>
    <row r="12" spans="1:15" x14ac:dyDescent="0.35">
      <c r="A12" s="80" t="s">
        <v>57</v>
      </c>
      <c r="B12" s="87">
        <v>8.0000000000000002E-3</v>
      </c>
      <c r="C12" s="87">
        <v>0.01</v>
      </c>
      <c r="D12" s="87">
        <v>0.01</v>
      </c>
      <c r="E12" s="87">
        <v>1.2999999999999999E-2</v>
      </c>
      <c r="F12" s="87">
        <v>1.0999999999999999E-2</v>
      </c>
      <c r="G12" s="87">
        <v>0.01</v>
      </c>
      <c r="H12" s="87">
        <v>1.6E-2</v>
      </c>
      <c r="I12" s="87">
        <v>1.2E-2</v>
      </c>
      <c r="J12" s="87">
        <v>1.2999999999999999E-2</v>
      </c>
      <c r="K12" s="87">
        <v>1.4999999999999999E-2</v>
      </c>
      <c r="L12" s="87">
        <v>1.0999999999999999E-2</v>
      </c>
      <c r="M12" s="87">
        <v>0.01</v>
      </c>
    </row>
    <row r="13" spans="1:15" x14ac:dyDescent="0.35">
      <c r="A13" s="80" t="s">
        <v>56</v>
      </c>
      <c r="B13" s="60">
        <v>110006</v>
      </c>
      <c r="C13" s="60">
        <v>107293</v>
      </c>
      <c r="D13" s="60">
        <v>106384</v>
      </c>
      <c r="E13" s="60">
        <v>103992</v>
      </c>
      <c r="F13" s="60">
        <v>102410</v>
      </c>
      <c r="G13" s="60">
        <v>100845</v>
      </c>
      <c r="H13" s="60">
        <v>101207</v>
      </c>
      <c r="I13" s="60">
        <v>99817</v>
      </c>
      <c r="J13" s="60">
        <v>99220</v>
      </c>
      <c r="K13" s="60">
        <v>97546</v>
      </c>
      <c r="L13" s="60">
        <v>96067</v>
      </c>
      <c r="M13" s="60">
        <v>94273</v>
      </c>
    </row>
    <row r="14" spans="1:15" x14ac:dyDescent="0.35">
      <c r="A14" s="80" t="s">
        <v>58</v>
      </c>
      <c r="B14" s="60">
        <v>114504</v>
      </c>
      <c r="C14" s="60">
        <v>110006</v>
      </c>
      <c r="D14" s="60">
        <v>107293</v>
      </c>
      <c r="E14" s="60">
        <v>105384</v>
      </c>
      <c r="F14" s="60">
        <v>103992</v>
      </c>
      <c r="G14" s="60">
        <v>102410</v>
      </c>
      <c r="H14" s="60">
        <v>100845</v>
      </c>
      <c r="I14" s="60">
        <v>101371</v>
      </c>
      <c r="J14" s="60">
        <v>99819</v>
      </c>
      <c r="K14" s="60">
        <v>99221</v>
      </c>
      <c r="L14" s="60">
        <v>97546</v>
      </c>
      <c r="M14" s="60">
        <v>96067</v>
      </c>
    </row>
    <row r="15" spans="1:15" x14ac:dyDescent="0.35">
      <c r="B15" s="60"/>
      <c r="C15" s="60"/>
      <c r="D15" s="60"/>
      <c r="E15" s="60"/>
      <c r="F15" s="60"/>
      <c r="G15" s="60"/>
      <c r="H15" s="60"/>
      <c r="I15" s="60"/>
      <c r="J15" s="60"/>
      <c r="K15" s="60"/>
      <c r="L15" s="60"/>
      <c r="M15" s="60"/>
    </row>
    <row r="16" spans="1:15" s="91" customFormat="1" x14ac:dyDescent="0.35">
      <c r="A16" s="88" t="s">
        <v>59</v>
      </c>
      <c r="B16" s="89">
        <v>5384</v>
      </c>
      <c r="C16" s="89">
        <v>3783</v>
      </c>
      <c r="D16" s="89">
        <v>2927</v>
      </c>
      <c r="E16" s="89">
        <v>2751</v>
      </c>
      <c r="F16" s="89">
        <v>2727</v>
      </c>
      <c r="G16" s="89">
        <v>2533</v>
      </c>
      <c r="H16" s="89">
        <v>2557</v>
      </c>
      <c r="I16" s="90">
        <v>2728</v>
      </c>
      <c r="J16" s="89">
        <v>1865</v>
      </c>
      <c r="K16" s="89">
        <v>3114</v>
      </c>
      <c r="L16" s="89">
        <v>2563</v>
      </c>
      <c r="M16" s="89">
        <v>2796</v>
      </c>
      <c r="O16" s="128"/>
    </row>
    <row r="17" spans="1:13" x14ac:dyDescent="0.35">
      <c r="A17" s="80" t="s">
        <v>60</v>
      </c>
      <c r="B17" s="92">
        <v>3893</v>
      </c>
      <c r="C17" s="92">
        <v>2852</v>
      </c>
      <c r="D17" s="92">
        <v>2303</v>
      </c>
      <c r="E17" s="92">
        <v>2231</v>
      </c>
      <c r="F17" s="92">
        <v>2333</v>
      </c>
      <c r="G17" s="92">
        <v>2206</v>
      </c>
      <c r="H17" s="92">
        <v>2268</v>
      </c>
      <c r="I17" s="92">
        <v>2415</v>
      </c>
      <c r="J17" s="92">
        <v>1678</v>
      </c>
      <c r="K17" s="92">
        <v>2933</v>
      </c>
      <c r="L17" s="92">
        <v>2459</v>
      </c>
      <c r="M17" s="92">
        <v>2699</v>
      </c>
    </row>
    <row r="18" spans="1:13" x14ac:dyDescent="0.35">
      <c r="A18" s="80" t="s">
        <v>61</v>
      </c>
      <c r="B18" s="92">
        <v>1491</v>
      </c>
      <c r="C18" s="92">
        <v>931</v>
      </c>
      <c r="D18" s="92">
        <v>624</v>
      </c>
      <c r="E18" s="92">
        <v>520</v>
      </c>
      <c r="F18" s="92">
        <v>394</v>
      </c>
      <c r="G18" s="92">
        <v>327</v>
      </c>
      <c r="H18" s="92">
        <v>289</v>
      </c>
      <c r="I18" s="92">
        <v>323</v>
      </c>
      <c r="J18" s="92">
        <v>187</v>
      </c>
      <c r="K18" s="92">
        <v>181</v>
      </c>
      <c r="L18" s="92">
        <v>104</v>
      </c>
      <c r="M18" s="92">
        <v>97</v>
      </c>
    </row>
    <row r="19" spans="1:13" x14ac:dyDescent="0.35">
      <c r="B19" s="60"/>
      <c r="C19" s="60"/>
      <c r="D19" s="60"/>
      <c r="E19" s="60"/>
      <c r="F19" s="60"/>
      <c r="G19" s="60"/>
      <c r="H19" s="60"/>
      <c r="I19" s="60"/>
      <c r="J19" s="60"/>
      <c r="K19" s="60"/>
      <c r="L19" s="60"/>
      <c r="M19" s="60"/>
    </row>
    <row r="20" spans="1:13" x14ac:dyDescent="0.35">
      <c r="A20" s="93" t="s">
        <v>87</v>
      </c>
      <c r="B20" s="94">
        <f>B8/B16</f>
        <v>10689.543057728921</v>
      </c>
      <c r="C20" s="94">
        <f t="shared" ref="C20:M20" si="7">C8/C16</f>
        <v>10729.711843692176</v>
      </c>
      <c r="D20" s="94">
        <f t="shared" si="7"/>
        <v>9916.3067989622468</v>
      </c>
      <c r="E20" s="94">
        <f t="shared" si="7"/>
        <v>7520.4131037577181</v>
      </c>
      <c r="F20" s="95">
        <f t="shared" si="7"/>
        <v>8023.0729400898417</v>
      </c>
      <c r="G20" s="60">
        <f t="shared" si="7"/>
        <v>17804.141362440783</v>
      </c>
      <c r="H20" s="60">
        <f t="shared" si="7"/>
        <v>13562.408280724481</v>
      </c>
      <c r="I20" s="95">
        <f t="shared" si="7"/>
        <v>5145.6011096866841</v>
      </c>
      <c r="J20" s="95">
        <f t="shared" si="7"/>
        <v>12138.375260775418</v>
      </c>
      <c r="K20" s="60">
        <f t="shared" si="7"/>
        <v>20987.802937934499</v>
      </c>
      <c r="L20" s="60">
        <f t="shared" si="7"/>
        <v>23582.870685764876</v>
      </c>
      <c r="M20" s="60">
        <f t="shared" si="7"/>
        <v>15060.837006437769</v>
      </c>
    </row>
    <row r="21" spans="1:13" x14ac:dyDescent="0.35">
      <c r="B21" s="59" t="s">
        <v>88</v>
      </c>
    </row>
    <row r="22" spans="1:13" x14ac:dyDescent="0.35">
      <c r="A22" s="93" t="s">
        <v>35</v>
      </c>
    </row>
    <row r="23" spans="1:13" x14ac:dyDescent="0.35">
      <c r="A23" s="93" t="s">
        <v>62</v>
      </c>
      <c r="B23" s="60">
        <f>4965</f>
        <v>4965</v>
      </c>
    </row>
    <row r="24" spans="1:13" x14ac:dyDescent="0.35">
      <c r="A24" s="93" t="s">
        <v>63</v>
      </c>
      <c r="B24" s="82">
        <f>75%*7300+25%*5500</f>
        <v>6850</v>
      </c>
    </row>
    <row r="25" spans="1:13" x14ac:dyDescent="0.35">
      <c r="A25" s="93" t="s">
        <v>64</v>
      </c>
      <c r="B25" s="86">
        <f>B16*$B$24</f>
        <v>36880400</v>
      </c>
      <c r="C25" s="86">
        <f>C16*$B$24</f>
        <v>25913550</v>
      </c>
      <c r="D25" s="86">
        <f>D16*$B$24</f>
        <v>20049950</v>
      </c>
      <c r="E25" s="86">
        <f>E16*$B$24</f>
        <v>18844350</v>
      </c>
      <c r="F25" s="86">
        <f>F16*$B$23</f>
        <v>13539555</v>
      </c>
      <c r="G25" s="86">
        <f t="shared" ref="G25:L25" si="8">G16*$B$23</f>
        <v>12576345</v>
      </c>
      <c r="H25" s="86">
        <f t="shared" si="8"/>
        <v>12695505</v>
      </c>
      <c r="I25" s="86">
        <f t="shared" si="8"/>
        <v>13544520</v>
      </c>
      <c r="J25" s="86">
        <f t="shared" si="8"/>
        <v>9259725</v>
      </c>
      <c r="K25" s="86">
        <f t="shared" si="8"/>
        <v>15461010</v>
      </c>
      <c r="L25" s="86">
        <f t="shared" si="8"/>
        <v>12725295</v>
      </c>
      <c r="M25" s="86">
        <f>M16*$B$23</f>
        <v>13882140</v>
      </c>
    </row>
    <row r="26" spans="1:13" x14ac:dyDescent="0.35">
      <c r="A26" s="93"/>
    </row>
    <row r="27" spans="1:13" s="91" customFormat="1" ht="29" x14ac:dyDescent="0.35">
      <c r="A27" s="96" t="s">
        <v>68</v>
      </c>
      <c r="B27" s="83">
        <f>B4-B25</f>
        <v>599909209.34439325</v>
      </c>
      <c r="C27" s="83">
        <f t="shared" ref="C27:M27" si="9">C4-C25</f>
        <v>472148895.01090491</v>
      </c>
      <c r="D27" s="83">
        <f t="shared" si="9"/>
        <v>482689266.06275105</v>
      </c>
      <c r="E27" s="83">
        <f t="shared" si="9"/>
        <v>448528916.15617901</v>
      </c>
      <c r="F27" s="83">
        <f t="shared" si="9"/>
        <v>444995674.44538599</v>
      </c>
      <c r="G27" s="83">
        <f t="shared" si="9"/>
        <v>445076609.37457234</v>
      </c>
      <c r="H27" s="83">
        <f t="shared" si="9"/>
        <v>423560563.932275</v>
      </c>
      <c r="I27" s="83">
        <f t="shared" si="9"/>
        <v>425736222.04392862</v>
      </c>
      <c r="J27" s="83">
        <f t="shared" si="9"/>
        <v>413984482.12036681</v>
      </c>
      <c r="K27" s="83">
        <f t="shared" si="9"/>
        <v>459655048.45936024</v>
      </c>
      <c r="L27" s="83">
        <f t="shared" si="9"/>
        <v>398675373.73826391</v>
      </c>
      <c r="M27" s="83">
        <f t="shared" si="9"/>
        <v>429199472.18535691</v>
      </c>
    </row>
    <row r="28" spans="1:13" x14ac:dyDescent="0.35">
      <c r="A28" s="93" t="s">
        <v>65</v>
      </c>
      <c r="B28" s="84">
        <f>B13</f>
        <v>110006</v>
      </c>
      <c r="C28" s="84">
        <f t="shared" ref="C28:M28" si="10">C13</f>
        <v>107293</v>
      </c>
      <c r="D28" s="84">
        <f t="shared" si="10"/>
        <v>106384</v>
      </c>
      <c r="E28" s="84">
        <f t="shared" si="10"/>
        <v>103992</v>
      </c>
      <c r="F28" s="84">
        <f t="shared" si="10"/>
        <v>102410</v>
      </c>
      <c r="G28" s="84">
        <f t="shared" si="10"/>
        <v>100845</v>
      </c>
      <c r="H28" s="84">
        <f t="shared" si="10"/>
        <v>101207</v>
      </c>
      <c r="I28" s="84">
        <f t="shared" si="10"/>
        <v>99817</v>
      </c>
      <c r="J28" s="84">
        <f t="shared" si="10"/>
        <v>99220</v>
      </c>
      <c r="K28" s="84">
        <f t="shared" si="10"/>
        <v>97546</v>
      </c>
      <c r="L28" s="84">
        <f t="shared" si="10"/>
        <v>96067</v>
      </c>
      <c r="M28" s="84">
        <f t="shared" si="10"/>
        <v>94273</v>
      </c>
    </row>
    <row r="29" spans="1:13" x14ac:dyDescent="0.35">
      <c r="A29" s="93" t="s">
        <v>66</v>
      </c>
      <c r="B29" s="59">
        <v>31</v>
      </c>
      <c r="C29" s="59">
        <v>30</v>
      </c>
      <c r="D29" s="59">
        <v>31</v>
      </c>
      <c r="E29" s="59">
        <v>30</v>
      </c>
      <c r="F29" s="59">
        <v>31</v>
      </c>
      <c r="G29" s="59">
        <v>31</v>
      </c>
      <c r="H29" s="59">
        <v>30</v>
      </c>
      <c r="I29" s="59">
        <v>31</v>
      </c>
      <c r="J29" s="59">
        <v>30</v>
      </c>
      <c r="K29" s="59">
        <v>31</v>
      </c>
      <c r="L29" s="59">
        <v>29</v>
      </c>
      <c r="M29" s="59">
        <v>31</v>
      </c>
    </row>
    <row r="30" spans="1:13" x14ac:dyDescent="0.35">
      <c r="A30" s="93" t="s">
        <v>71</v>
      </c>
      <c r="B30" s="84">
        <f>B27/B29</f>
        <v>19351909.978851397</v>
      </c>
      <c r="C30" s="84">
        <f t="shared" ref="C30:M30" si="11">C27/C29</f>
        <v>15738296.500363497</v>
      </c>
      <c r="D30" s="84">
        <f t="shared" si="11"/>
        <v>15570621.485895196</v>
      </c>
      <c r="E30" s="84">
        <f t="shared" si="11"/>
        <v>14950963.871872634</v>
      </c>
      <c r="F30" s="84">
        <f t="shared" si="11"/>
        <v>14354699.175657613</v>
      </c>
      <c r="G30" s="84">
        <f t="shared" si="11"/>
        <v>14357309.979824914</v>
      </c>
      <c r="H30" s="84">
        <f t="shared" si="11"/>
        <v>14118685.464409167</v>
      </c>
      <c r="I30" s="84">
        <f t="shared" si="11"/>
        <v>13733426.517546084</v>
      </c>
      <c r="J30" s="84">
        <f t="shared" si="11"/>
        <v>13799482.73734556</v>
      </c>
      <c r="K30" s="84">
        <f t="shared" si="11"/>
        <v>14827582.208366459</v>
      </c>
      <c r="L30" s="84">
        <f t="shared" si="11"/>
        <v>13747426.68062979</v>
      </c>
      <c r="M30" s="84">
        <f t="shared" si="11"/>
        <v>13845144.264043771</v>
      </c>
    </row>
    <row r="31" spans="1:13" ht="29" x14ac:dyDescent="0.35">
      <c r="A31" s="93" t="s">
        <v>70</v>
      </c>
      <c r="B31" s="97">
        <f>B30/B28</f>
        <v>175.91685888816426</v>
      </c>
      <c r="C31" s="97">
        <f t="shared" ref="C31:M31" si="12">C30/C28</f>
        <v>146.6852124590001</v>
      </c>
      <c r="D31" s="97">
        <f t="shared" si="12"/>
        <v>146.36243688802071</v>
      </c>
      <c r="E31" s="97">
        <f t="shared" si="12"/>
        <v>143.77032725471798</v>
      </c>
      <c r="F31" s="97">
        <f t="shared" si="12"/>
        <v>140.16892076611282</v>
      </c>
      <c r="G31" s="97">
        <f t="shared" si="12"/>
        <v>142.37007268406876</v>
      </c>
      <c r="H31" s="97">
        <f t="shared" si="12"/>
        <v>139.50305279683388</v>
      </c>
      <c r="I31" s="97">
        <f t="shared" si="12"/>
        <v>137.58604764264689</v>
      </c>
      <c r="J31" s="97">
        <f t="shared" si="12"/>
        <v>139.07964863279136</v>
      </c>
      <c r="K31" s="97">
        <f t="shared" si="12"/>
        <v>152.00605056451786</v>
      </c>
      <c r="L31" s="97">
        <f t="shared" si="12"/>
        <v>143.10248764539114</v>
      </c>
      <c r="M31" s="97">
        <f t="shared" si="12"/>
        <v>146.86224331509308</v>
      </c>
    </row>
    <row r="32" spans="1:13" ht="29" x14ac:dyDescent="0.35">
      <c r="A32" s="93" t="s">
        <v>72</v>
      </c>
      <c r="B32" s="84">
        <f>B27/B28</f>
        <v>5453.4226255330914</v>
      </c>
      <c r="C32" s="84">
        <f t="shared" ref="C32:M32" si="13">C27/C28</f>
        <v>4400.5563737700031</v>
      </c>
      <c r="D32" s="84">
        <f t="shared" si="13"/>
        <v>4537.2355435286418</v>
      </c>
      <c r="E32" s="84">
        <f t="shared" si="13"/>
        <v>4313.1098176415398</v>
      </c>
      <c r="F32" s="84">
        <f t="shared" si="13"/>
        <v>4345.2365437494973</v>
      </c>
      <c r="G32" s="84">
        <f t="shared" si="13"/>
        <v>4413.4722532061314</v>
      </c>
      <c r="H32" s="84">
        <f t="shared" si="13"/>
        <v>4185.0915839050167</v>
      </c>
      <c r="I32" s="84">
        <f t="shared" si="13"/>
        <v>4265.1674769220535</v>
      </c>
      <c r="J32" s="84">
        <f t="shared" si="13"/>
        <v>4172.389458983741</v>
      </c>
      <c r="K32" s="84">
        <f t="shared" si="13"/>
        <v>4712.1875675000538</v>
      </c>
      <c r="L32" s="84">
        <f t="shared" si="13"/>
        <v>4149.9721417163428</v>
      </c>
      <c r="M32" s="84">
        <f t="shared" si="13"/>
        <v>4552.7295427678864</v>
      </c>
    </row>
    <row r="38" spans="1:14" x14ac:dyDescent="0.35">
      <c r="A38" s="98" t="s">
        <v>38</v>
      </c>
      <c r="B38" s="99" t="s">
        <v>39</v>
      </c>
    </row>
    <row r="39" spans="1:14" x14ac:dyDescent="0.35">
      <c r="A39" s="98" t="s">
        <v>40</v>
      </c>
      <c r="B39" s="100">
        <v>12</v>
      </c>
      <c r="C39" s="100">
        <v>11</v>
      </c>
      <c r="D39" s="100">
        <v>10</v>
      </c>
      <c r="E39" s="100">
        <v>9</v>
      </c>
      <c r="F39" s="100">
        <v>8</v>
      </c>
      <c r="G39" s="100">
        <v>7</v>
      </c>
      <c r="H39" s="100">
        <v>6</v>
      </c>
      <c r="I39" s="100">
        <v>5</v>
      </c>
      <c r="J39" s="100">
        <v>4</v>
      </c>
      <c r="K39" s="100">
        <v>3</v>
      </c>
      <c r="L39" s="100">
        <v>2</v>
      </c>
      <c r="M39" s="100">
        <v>1</v>
      </c>
      <c r="N39" s="100" t="s">
        <v>41</v>
      </c>
    </row>
    <row r="40" spans="1:14" x14ac:dyDescent="0.35">
      <c r="A40" s="101" t="s">
        <v>42</v>
      </c>
      <c r="B40" s="84">
        <v>379001691.69</v>
      </c>
      <c r="C40" s="84">
        <v>291340506.26999998</v>
      </c>
      <c r="D40" s="84">
        <v>294999638.83999997</v>
      </c>
      <c r="E40" s="84">
        <v>277351247.23000002</v>
      </c>
      <c r="F40" s="84">
        <v>270160361.70999998</v>
      </c>
      <c r="G40" s="84">
        <v>272045764.99000001</v>
      </c>
      <c r="H40" s="84">
        <v>259449991.66</v>
      </c>
      <c r="I40" s="84">
        <v>265953297.77999997</v>
      </c>
      <c r="J40" s="84">
        <v>259874668.47</v>
      </c>
      <c r="K40" s="84">
        <v>295392023.93000001</v>
      </c>
      <c r="L40" s="84">
        <v>263261742.75999999</v>
      </c>
      <c r="M40" s="84">
        <v>291395779.05000001</v>
      </c>
      <c r="N40" s="84">
        <v>3420226714.3800001</v>
      </c>
    </row>
    <row r="41" spans="1:14" x14ac:dyDescent="0.35">
      <c r="A41" s="101" t="s">
        <v>43</v>
      </c>
      <c r="B41" s="84">
        <v>29463813.949999999</v>
      </c>
      <c r="C41" s="84">
        <v>20051720.93</v>
      </c>
      <c r="D41" s="84">
        <v>14788115.35</v>
      </c>
      <c r="E41" s="84">
        <v>3013884.65</v>
      </c>
      <c r="F41" s="84">
        <v>11015754.42</v>
      </c>
      <c r="G41" s="84">
        <v>22322857.670000002</v>
      </c>
      <c r="H41" s="84">
        <v>19548746.509999998</v>
      </c>
      <c r="I41" s="84">
        <v>6814460.9299999997</v>
      </c>
      <c r="J41" s="84">
        <v>17748402.98</v>
      </c>
      <c r="K41" s="84">
        <v>49289426.230000004</v>
      </c>
      <c r="L41" s="84">
        <v>45289273.019999996</v>
      </c>
      <c r="M41" s="84">
        <v>32260410</v>
      </c>
      <c r="N41" s="84">
        <v>271606866.63999999</v>
      </c>
    </row>
    <row r="42" spans="1:14" x14ac:dyDescent="0.35">
      <c r="A42" s="101" t="s">
        <v>44</v>
      </c>
      <c r="B42" s="84">
        <v>16707441.700000007</v>
      </c>
      <c r="C42" s="84">
        <v>12693953.400000006</v>
      </c>
      <c r="D42" s="84">
        <v>8514883.7200000007</v>
      </c>
      <c r="E42" s="84">
        <v>15477905.999999985</v>
      </c>
      <c r="F42" s="84">
        <v>6582790.6100000003</v>
      </c>
      <c r="G42" s="84">
        <v>14047953.560000001</v>
      </c>
      <c r="H42" s="84">
        <v>7823674.2800000021</v>
      </c>
      <c r="I42" s="84">
        <v>5569441.7000000002</v>
      </c>
      <c r="J42" s="84">
        <v>1554930.1</v>
      </c>
      <c r="K42" s="84">
        <v>6632091.4900000002</v>
      </c>
      <c r="L42" s="84">
        <v>7796232.459999999</v>
      </c>
      <c r="M42" s="84">
        <v>4653857.4000000004</v>
      </c>
      <c r="N42" s="84">
        <v>108055156.41999999</v>
      </c>
    </row>
    <row r="43" spans="1:14" x14ac:dyDescent="0.35">
      <c r="A43" s="101" t="s">
        <v>45</v>
      </c>
      <c r="B43" s="84">
        <v>30474220.179999989</v>
      </c>
      <c r="C43" s="84">
        <v>19608446.519999992</v>
      </c>
      <c r="D43" s="84">
        <v>16470846.569999998</v>
      </c>
      <c r="E43" s="84">
        <v>12240511.770000001</v>
      </c>
      <c r="F43" s="84">
        <v>10697944.599999994</v>
      </c>
      <c r="G43" s="84">
        <v>7478956.620000001</v>
      </c>
      <c r="H43" s="84">
        <v>7181395.6099999994</v>
      </c>
      <c r="I43" s="84">
        <v>6700418.7599999998</v>
      </c>
      <c r="J43" s="84">
        <v>3508325.6999999993</v>
      </c>
      <c r="K43" s="84">
        <v>1888418.5099999988</v>
      </c>
      <c r="L43" s="84">
        <v>1777720.71</v>
      </c>
      <c r="M43" s="84">
        <v>1057095.21</v>
      </c>
      <c r="N43" s="84">
        <v>119084300.75999998</v>
      </c>
    </row>
    <row r="44" spans="1:14" x14ac:dyDescent="0.35">
      <c r="A44" s="101" t="s">
        <v>41</v>
      </c>
      <c r="B44" s="84">
        <v>455647167.51999998</v>
      </c>
      <c r="C44" s="84">
        <v>343694627.12</v>
      </c>
      <c r="D44" s="84">
        <v>334773484.48000002</v>
      </c>
      <c r="E44" s="84">
        <v>308083549.64999998</v>
      </c>
      <c r="F44" s="84">
        <v>298456851.34000003</v>
      </c>
      <c r="G44" s="84">
        <v>315895532.84000003</v>
      </c>
      <c r="H44" s="84">
        <v>294003808.06000006</v>
      </c>
      <c r="I44" s="84">
        <v>285037619.16999996</v>
      </c>
      <c r="J44" s="84">
        <v>282686327.25</v>
      </c>
      <c r="K44" s="84">
        <v>353201960.16000003</v>
      </c>
      <c r="L44" s="84">
        <v>318124968.94999993</v>
      </c>
      <c r="M44" s="84">
        <v>329367141.65999997</v>
      </c>
      <c r="N44" s="84">
        <v>3918973038.1999998</v>
      </c>
    </row>
    <row r="45" spans="1:14" x14ac:dyDescent="0.35">
      <c r="A45" s="101" t="s">
        <v>46</v>
      </c>
      <c r="B45" s="102">
        <v>7.4999999999999997E-2</v>
      </c>
      <c r="C45" s="102">
        <v>7.4999999999999997E-2</v>
      </c>
      <c r="D45" s="102">
        <v>7.4999999999999997E-2</v>
      </c>
      <c r="E45" s="102">
        <v>7.4999999999999997E-2</v>
      </c>
      <c r="F45" s="102">
        <v>7.4999999999999997E-2</v>
      </c>
      <c r="G45" s="102">
        <v>7.4999999999999997E-2</v>
      </c>
      <c r="H45" s="102">
        <v>7.4999999999999997E-2</v>
      </c>
      <c r="I45" s="102">
        <v>7.4999999999999997E-2</v>
      </c>
      <c r="J45" s="102">
        <v>7.4999999999999997E-2</v>
      </c>
      <c r="K45" s="102">
        <v>7.4999999999999997E-2</v>
      </c>
      <c r="L45" s="102">
        <v>0.05</v>
      </c>
      <c r="M45" s="102">
        <v>0.05</v>
      </c>
    </row>
    <row r="46" spans="1:14" x14ac:dyDescent="0.35">
      <c r="A46" s="101" t="s">
        <v>47</v>
      </c>
      <c r="B46" s="103">
        <v>0.8</v>
      </c>
      <c r="C46" s="103">
        <v>0.8</v>
      </c>
      <c r="D46" s="103">
        <v>0.8</v>
      </c>
      <c r="E46" s="103">
        <v>0.8</v>
      </c>
      <c r="F46" s="103">
        <v>0.8</v>
      </c>
      <c r="G46" s="103">
        <v>0.8</v>
      </c>
      <c r="H46" s="103">
        <v>0.8</v>
      </c>
      <c r="I46" s="103">
        <v>0.91</v>
      </c>
      <c r="J46" s="103">
        <v>0.91</v>
      </c>
      <c r="K46" s="103">
        <v>0.91</v>
      </c>
      <c r="L46" s="103">
        <v>0.91</v>
      </c>
      <c r="M46" s="103">
        <v>0.91</v>
      </c>
    </row>
    <row r="47" spans="1:14" x14ac:dyDescent="0.35">
      <c r="A47" s="101" t="s">
        <v>48</v>
      </c>
      <c r="B47" s="104">
        <v>0.67451440854142641</v>
      </c>
      <c r="C47" s="104">
        <v>0.65660789708882028</v>
      </c>
      <c r="D47" s="104">
        <v>0.65382061661586888</v>
      </c>
      <c r="E47" s="104">
        <v>0.65641332230635863</v>
      </c>
      <c r="F47" s="104">
        <v>0.64966373654744514</v>
      </c>
      <c r="G47" s="104">
        <v>0.6504463792752313</v>
      </c>
      <c r="H47" s="104">
        <v>0.65084076099391697</v>
      </c>
      <c r="I47" s="104">
        <v>0.66168592898876533</v>
      </c>
      <c r="J47" s="104">
        <v>0.66599144747319228</v>
      </c>
      <c r="K47" s="104">
        <v>0.67122345615455115</v>
      </c>
      <c r="L47" s="104">
        <v>0.67497396566462931</v>
      </c>
      <c r="M47" s="104">
        <v>0.69227417538312697</v>
      </c>
    </row>
    <row r="48" spans="1:14" x14ac:dyDescent="0.35">
      <c r="B48" s="104"/>
      <c r="C48" s="104"/>
      <c r="D48" s="104"/>
      <c r="E48" s="104"/>
      <c r="F48" s="104"/>
      <c r="G48" s="104"/>
      <c r="H48" s="104"/>
      <c r="I48" s="104"/>
      <c r="J48" s="104"/>
      <c r="K48" s="104"/>
      <c r="L48" s="104"/>
      <c r="M48" s="104"/>
    </row>
    <row r="49" spans="1:16" s="107" customFormat="1" x14ac:dyDescent="0.35">
      <c r="A49" s="105"/>
      <c r="B49" s="106"/>
      <c r="C49" s="106"/>
      <c r="D49" s="106"/>
      <c r="E49" s="106"/>
      <c r="F49" s="106"/>
      <c r="G49" s="106"/>
      <c r="H49" s="106"/>
      <c r="I49" s="106"/>
      <c r="J49" s="106"/>
      <c r="K49" s="106"/>
      <c r="L49" s="106"/>
      <c r="M49" s="106"/>
    </row>
    <row r="50" spans="1:16" x14ac:dyDescent="0.35">
      <c r="B50" s="104"/>
      <c r="C50" s="104"/>
      <c r="D50" s="104"/>
      <c r="E50" s="104"/>
      <c r="F50" s="104"/>
      <c r="G50" s="104"/>
      <c r="H50" s="104"/>
      <c r="I50" s="104"/>
      <c r="J50" s="104"/>
      <c r="K50" s="104"/>
      <c r="L50" s="104"/>
      <c r="M50" s="104"/>
    </row>
    <row r="51" spans="1:16" ht="29" x14ac:dyDescent="0.35">
      <c r="A51" s="108" t="s">
        <v>133</v>
      </c>
      <c r="B51" s="104"/>
      <c r="C51" s="104"/>
      <c r="D51" s="104"/>
      <c r="E51" s="104"/>
      <c r="F51" s="104"/>
      <c r="G51" s="104"/>
      <c r="H51" s="104"/>
      <c r="I51" s="104"/>
      <c r="J51" s="104"/>
      <c r="K51" s="104"/>
      <c r="L51" s="104"/>
      <c r="M51" s="104"/>
    </row>
    <row r="52" spans="1:16" x14ac:dyDescent="0.35">
      <c r="B52" s="104"/>
      <c r="C52" s="104"/>
      <c r="D52" s="104"/>
      <c r="E52" s="104"/>
      <c r="F52" s="104"/>
      <c r="G52" s="104"/>
      <c r="H52" s="104"/>
      <c r="I52" s="104"/>
      <c r="J52" s="104"/>
      <c r="K52" s="104"/>
      <c r="L52" s="104"/>
      <c r="M52" s="104"/>
    </row>
    <row r="53" spans="1:16" x14ac:dyDescent="0.35">
      <c r="A53" s="80" t="s">
        <v>118</v>
      </c>
      <c r="B53" s="109">
        <v>119</v>
      </c>
      <c r="C53" s="109">
        <v>114</v>
      </c>
      <c r="D53" s="109">
        <v>98</v>
      </c>
      <c r="E53" s="109">
        <v>77</v>
      </c>
      <c r="F53" s="109">
        <v>32</v>
      </c>
      <c r="G53" s="109">
        <v>13</v>
      </c>
      <c r="H53" s="109">
        <v>15</v>
      </c>
      <c r="I53" s="109">
        <v>3</v>
      </c>
      <c r="J53" s="109">
        <v>9</v>
      </c>
      <c r="K53" s="109">
        <v>3</v>
      </c>
      <c r="L53" s="109">
        <v>2</v>
      </c>
      <c r="M53" s="109">
        <v>1</v>
      </c>
      <c r="N53" s="84">
        <f>SUM(B53:M53)</f>
        <v>486</v>
      </c>
    </row>
    <row r="55" spans="1:16" x14ac:dyDescent="0.35">
      <c r="A55" s="80" t="s">
        <v>119</v>
      </c>
      <c r="B55" s="84">
        <f>AVERAGE(Revenue_NG_LK_2021!D54:G54)/1.1</f>
        <v>206006.41858141858</v>
      </c>
      <c r="C55" s="84">
        <f>B55</f>
        <v>206006.41858141858</v>
      </c>
      <c r="D55" s="84">
        <f t="shared" ref="D55:M55" si="14">C55</f>
        <v>206006.41858141858</v>
      </c>
      <c r="E55" s="84">
        <f t="shared" si="14"/>
        <v>206006.41858141858</v>
      </c>
      <c r="F55" s="84">
        <f t="shared" si="14"/>
        <v>206006.41858141858</v>
      </c>
      <c r="G55" s="84">
        <f t="shared" si="14"/>
        <v>206006.41858141858</v>
      </c>
      <c r="H55" s="84">
        <f t="shared" si="14"/>
        <v>206006.41858141858</v>
      </c>
      <c r="I55" s="84">
        <f t="shared" si="14"/>
        <v>206006.41858141858</v>
      </c>
      <c r="J55" s="84">
        <f t="shared" si="14"/>
        <v>206006.41858141858</v>
      </c>
      <c r="K55" s="84">
        <f t="shared" si="14"/>
        <v>206006.41858141858</v>
      </c>
      <c r="L55" s="84">
        <f t="shared" si="14"/>
        <v>206006.41858141858</v>
      </c>
      <c r="M55" s="84">
        <f t="shared" si="14"/>
        <v>206006.41858141858</v>
      </c>
      <c r="P55" s="59" t="s">
        <v>121</v>
      </c>
    </row>
    <row r="57" spans="1:16" x14ac:dyDescent="0.35">
      <c r="A57" s="80" t="s">
        <v>122</v>
      </c>
      <c r="B57" s="84">
        <f>B55*B53</f>
        <v>24514763.81118881</v>
      </c>
      <c r="C57" s="84">
        <f t="shared" ref="C57:M57" si="15">C55*C53</f>
        <v>23484731.718281716</v>
      </c>
      <c r="D57" s="84">
        <f t="shared" si="15"/>
        <v>20188629.020979021</v>
      </c>
      <c r="E57" s="84">
        <f t="shared" si="15"/>
        <v>15862494.23076923</v>
      </c>
      <c r="F57" s="84">
        <f t="shared" si="15"/>
        <v>6592205.3946053945</v>
      </c>
      <c r="G57" s="84">
        <f t="shared" si="15"/>
        <v>2678083.4415584416</v>
      </c>
      <c r="H57" s="84">
        <f t="shared" si="15"/>
        <v>3090096.2787212785</v>
      </c>
      <c r="I57" s="84">
        <f t="shared" si="15"/>
        <v>618019.25574425573</v>
      </c>
      <c r="J57" s="84">
        <f t="shared" si="15"/>
        <v>1854057.7672327673</v>
      </c>
      <c r="K57" s="84">
        <f t="shared" si="15"/>
        <v>618019.25574425573</v>
      </c>
      <c r="L57" s="84">
        <f t="shared" si="15"/>
        <v>412012.83716283715</v>
      </c>
      <c r="M57" s="84">
        <f t="shared" si="15"/>
        <v>206006.41858141858</v>
      </c>
      <c r="N57" s="84">
        <f>SUM(B57:M57)</f>
        <v>100119119.4305694</v>
      </c>
    </row>
    <row r="59" spans="1:16" x14ac:dyDescent="0.35">
      <c r="A59" s="80" t="s">
        <v>123</v>
      </c>
      <c r="B59" s="84">
        <f t="shared" ref="B59:M59" si="16">B53*B20</f>
        <v>1272055.6238697416</v>
      </c>
      <c r="C59" s="84">
        <f t="shared" si="16"/>
        <v>1223187.1501809079</v>
      </c>
      <c r="D59" s="84">
        <f t="shared" si="16"/>
        <v>971798.06629830017</v>
      </c>
      <c r="E59" s="84">
        <f t="shared" si="16"/>
        <v>579071.80898934428</v>
      </c>
      <c r="F59" s="84">
        <f t="shared" si="16"/>
        <v>256738.33408287494</v>
      </c>
      <c r="G59" s="84">
        <f t="shared" si="16"/>
        <v>231453.83771173019</v>
      </c>
      <c r="H59" s="84">
        <f t="shared" si="16"/>
        <v>203436.12421086722</v>
      </c>
      <c r="I59" s="84">
        <f t="shared" si="16"/>
        <v>15436.803329060052</v>
      </c>
      <c r="J59" s="84">
        <f t="shared" si="16"/>
        <v>109245.37734697876</v>
      </c>
      <c r="K59" s="84">
        <f t="shared" si="16"/>
        <v>62963.4088138035</v>
      </c>
      <c r="L59" s="84">
        <f t="shared" si="16"/>
        <v>47165.741371529752</v>
      </c>
      <c r="M59" s="84">
        <f t="shared" si="16"/>
        <v>15060.837006437769</v>
      </c>
      <c r="N59" s="84">
        <f>SUM(B59:M59)</f>
        <v>4987613.1132115759</v>
      </c>
      <c r="P59" s="59" t="s">
        <v>124</v>
      </c>
    </row>
    <row r="61" spans="1:16" ht="29" x14ac:dyDescent="0.35">
      <c r="A61" s="80" t="s">
        <v>125</v>
      </c>
      <c r="B61" s="84">
        <f>B57-B59</f>
        <v>23242708.187319066</v>
      </c>
      <c r="C61" s="84">
        <f t="shared" ref="C61:N61" si="17">C57-C59</f>
        <v>22261544.56810081</v>
      </c>
      <c r="D61" s="84">
        <f t="shared" si="17"/>
        <v>19216830.954680722</v>
      </c>
      <c r="E61" s="84">
        <f t="shared" si="17"/>
        <v>15283422.421779886</v>
      </c>
      <c r="F61" s="84">
        <f t="shared" si="17"/>
        <v>6335467.0605225191</v>
      </c>
      <c r="G61" s="84">
        <f t="shared" si="17"/>
        <v>2446629.6038467116</v>
      </c>
      <c r="H61" s="84">
        <f t="shared" si="17"/>
        <v>2886660.1545104114</v>
      </c>
      <c r="I61" s="84">
        <f t="shared" si="17"/>
        <v>602582.45241519564</v>
      </c>
      <c r="J61" s="84">
        <f t="shared" si="17"/>
        <v>1744812.3898857886</v>
      </c>
      <c r="K61" s="84">
        <f t="shared" si="17"/>
        <v>555055.84693045227</v>
      </c>
      <c r="L61" s="84">
        <f t="shared" si="17"/>
        <v>364847.09579130739</v>
      </c>
      <c r="M61" s="84">
        <f t="shared" si="17"/>
        <v>190945.58157498081</v>
      </c>
      <c r="N61" s="84">
        <f t="shared" si="17"/>
        <v>95131506.317357823</v>
      </c>
    </row>
    <row r="63" spans="1:16" x14ac:dyDescent="0.35">
      <c r="A63" s="80" t="s">
        <v>126</v>
      </c>
      <c r="B63" s="84">
        <f t="shared" ref="B63:N63" si="18">B4-B61</f>
        <v>613546901.15707421</v>
      </c>
      <c r="C63" s="84">
        <f t="shared" si="18"/>
        <v>475800900.4428041</v>
      </c>
      <c r="D63" s="84">
        <f t="shared" si="18"/>
        <v>483522385.10807031</v>
      </c>
      <c r="E63" s="84">
        <f t="shared" si="18"/>
        <v>452089843.73439914</v>
      </c>
      <c r="F63" s="84">
        <f t="shared" si="18"/>
        <v>452199762.3848635</v>
      </c>
      <c r="G63" s="84">
        <f t="shared" si="18"/>
        <v>455206324.77072561</v>
      </c>
      <c r="H63" s="84">
        <f t="shared" si="18"/>
        <v>433369408.77776456</v>
      </c>
      <c r="I63" s="84">
        <f t="shared" si="18"/>
        <v>438678159.59151345</v>
      </c>
      <c r="J63" s="84">
        <f t="shared" si="18"/>
        <v>421499394.73048103</v>
      </c>
      <c r="K63" s="84">
        <f t="shared" si="18"/>
        <v>474561002.6124298</v>
      </c>
      <c r="L63" s="84">
        <f t="shared" si="18"/>
        <v>411035821.64247262</v>
      </c>
      <c r="M63" s="84">
        <f t="shared" si="18"/>
        <v>442890666.60378194</v>
      </c>
      <c r="N63" s="84">
        <f t="shared" si="18"/>
        <v>-95131506.317357823</v>
      </c>
    </row>
    <row r="65" spans="1:14" x14ac:dyDescent="0.35">
      <c r="A65" s="80" t="s">
        <v>112</v>
      </c>
      <c r="B65" s="84">
        <v>110006</v>
      </c>
      <c r="C65" s="84">
        <v>107293</v>
      </c>
      <c r="D65" s="84">
        <v>106384</v>
      </c>
      <c r="E65" s="84">
        <v>103992</v>
      </c>
      <c r="F65" s="84">
        <v>102410</v>
      </c>
      <c r="G65" s="84">
        <v>100845</v>
      </c>
      <c r="H65" s="84">
        <v>101207</v>
      </c>
      <c r="I65" s="84">
        <v>99817</v>
      </c>
      <c r="J65" s="84">
        <v>99220</v>
      </c>
      <c r="K65" s="84">
        <v>97546</v>
      </c>
      <c r="L65" s="84">
        <v>96067</v>
      </c>
      <c r="M65" s="84">
        <v>94273</v>
      </c>
    </row>
    <row r="66" spans="1:14" x14ac:dyDescent="0.35">
      <c r="A66" s="80" t="s">
        <v>66</v>
      </c>
      <c r="B66" s="59">
        <v>31</v>
      </c>
      <c r="C66" s="59">
        <v>30</v>
      </c>
      <c r="D66" s="59">
        <v>31</v>
      </c>
      <c r="E66" s="59">
        <v>30</v>
      </c>
      <c r="F66" s="59">
        <v>31</v>
      </c>
      <c r="G66" s="59">
        <v>31</v>
      </c>
      <c r="H66" s="59">
        <v>30</v>
      </c>
      <c r="I66" s="59">
        <v>31</v>
      </c>
      <c r="J66" s="59">
        <v>30</v>
      </c>
      <c r="K66" s="59">
        <v>31</v>
      </c>
      <c r="L66" s="59">
        <v>29</v>
      </c>
      <c r="M66" s="59">
        <v>31</v>
      </c>
    </row>
    <row r="67" spans="1:14" x14ac:dyDescent="0.35">
      <c r="A67" s="80" t="s">
        <v>67</v>
      </c>
      <c r="B67" s="84">
        <f>B63/B66</f>
        <v>19791835.521195941</v>
      </c>
      <c r="C67" s="84">
        <f t="shared" ref="C67:M67" si="19">C63/C66</f>
        <v>15860030.014760137</v>
      </c>
      <c r="D67" s="84">
        <f t="shared" si="19"/>
        <v>15597496.293808719</v>
      </c>
      <c r="E67" s="84">
        <f t="shared" si="19"/>
        <v>15069661.457813304</v>
      </c>
      <c r="F67" s="84">
        <f t="shared" si="19"/>
        <v>14587089.109189145</v>
      </c>
      <c r="G67" s="84">
        <f t="shared" si="19"/>
        <v>14684074.992604053</v>
      </c>
      <c r="H67" s="84">
        <f t="shared" si="19"/>
        <v>14445646.959258819</v>
      </c>
      <c r="I67" s="84">
        <f t="shared" si="19"/>
        <v>14150908.373919789</v>
      </c>
      <c r="J67" s="84">
        <f t="shared" si="19"/>
        <v>14049979.824349368</v>
      </c>
      <c r="K67" s="84">
        <f t="shared" si="19"/>
        <v>15308419.439110639</v>
      </c>
      <c r="L67" s="84">
        <f t="shared" si="19"/>
        <v>14173649.022154229</v>
      </c>
      <c r="M67" s="84">
        <f t="shared" si="19"/>
        <v>14286795.696896192</v>
      </c>
    </row>
    <row r="68" spans="1:14" ht="29" x14ac:dyDescent="0.35">
      <c r="A68" s="80" t="s">
        <v>69</v>
      </c>
      <c r="B68" s="110">
        <f>B67/B65</f>
        <v>179.91596386738851</v>
      </c>
      <c r="C68" s="110">
        <f t="shared" ref="C68:M68" si="20">C67/C65</f>
        <v>147.81980198857462</v>
      </c>
      <c r="D68" s="110">
        <f t="shared" si="20"/>
        <v>146.61505765724846</v>
      </c>
      <c r="E68" s="110">
        <f t="shared" si="20"/>
        <v>144.91173799728156</v>
      </c>
      <c r="F68" s="110">
        <f t="shared" si="20"/>
        <v>142.43813210808656</v>
      </c>
      <c r="G68" s="110">
        <f t="shared" si="20"/>
        <v>145.61034253164809</v>
      </c>
      <c r="H68" s="110">
        <f t="shared" si="20"/>
        <v>142.73367414565018</v>
      </c>
      <c r="I68" s="110">
        <f t="shared" si="20"/>
        <v>141.76852013103769</v>
      </c>
      <c r="J68" s="110">
        <f t="shared" si="20"/>
        <v>141.60431187612747</v>
      </c>
      <c r="K68" s="110">
        <f t="shared" si="20"/>
        <v>156.93538883306991</v>
      </c>
      <c r="L68" s="110">
        <f t="shared" si="20"/>
        <v>147.53920724238529</v>
      </c>
      <c r="M68" s="110">
        <f t="shared" si="20"/>
        <v>151.5470569186956</v>
      </c>
    </row>
    <row r="69" spans="1:14" ht="29" x14ac:dyDescent="0.35">
      <c r="A69" s="80" t="s">
        <v>72</v>
      </c>
      <c r="B69" s="84">
        <f>B63/B65</f>
        <v>5577.3948798890442</v>
      </c>
      <c r="C69" s="84">
        <f t="shared" ref="C69:M69" si="21">C63/C65</f>
        <v>4434.5940596572382</v>
      </c>
      <c r="D69" s="84">
        <f t="shared" si="21"/>
        <v>4545.0667873747025</v>
      </c>
      <c r="E69" s="84">
        <f t="shared" si="21"/>
        <v>4347.3521399184474</v>
      </c>
      <c r="F69" s="84">
        <f t="shared" si="21"/>
        <v>4415.5820953506836</v>
      </c>
      <c r="G69" s="84">
        <f t="shared" si="21"/>
        <v>4513.920618481091</v>
      </c>
      <c r="H69" s="84">
        <f t="shared" si="21"/>
        <v>4282.0102243695055</v>
      </c>
      <c r="I69" s="84">
        <f t="shared" si="21"/>
        <v>4394.8241240621683</v>
      </c>
      <c r="J69" s="84">
        <f t="shared" si="21"/>
        <v>4248.1293562838246</v>
      </c>
      <c r="K69" s="84">
        <f t="shared" si="21"/>
        <v>4864.9970538251673</v>
      </c>
      <c r="L69" s="84">
        <f t="shared" si="21"/>
        <v>4278.6370100291733</v>
      </c>
      <c r="M69" s="84">
        <f t="shared" si="21"/>
        <v>4697.9587644795638</v>
      </c>
    </row>
    <row r="72" spans="1:14" ht="43.5" x14ac:dyDescent="0.35">
      <c r="A72" s="108" t="s">
        <v>131</v>
      </c>
    </row>
    <row r="74" spans="1:14" x14ac:dyDescent="0.35">
      <c r="A74" s="80" t="s">
        <v>127</v>
      </c>
      <c r="B74" s="84">
        <f>B2</f>
        <v>694342109.16720581</v>
      </c>
      <c r="C74" s="84">
        <f t="shared" ref="C74:M74" si="22">C2</f>
        <v>538652944.91559243</v>
      </c>
      <c r="D74" s="84">
        <f t="shared" si="22"/>
        <v>531764246.06331354</v>
      </c>
      <c r="E74" s="84">
        <f t="shared" si="22"/>
        <v>488061922.60461652</v>
      </c>
      <c r="F74" s="84">
        <f t="shared" si="22"/>
        <v>480414149.35301101</v>
      </c>
      <c r="G74" s="84">
        <f t="shared" si="22"/>
        <v>502750844.44563484</v>
      </c>
      <c r="H74" s="84">
        <f t="shared" si="22"/>
        <v>470935146.90608752</v>
      </c>
      <c r="I74" s="84">
        <f t="shared" si="22"/>
        <v>453317941.87115389</v>
      </c>
      <c r="J74" s="84">
        <f t="shared" si="22"/>
        <v>445882276.98171294</v>
      </c>
      <c r="K74" s="84">
        <f t="shared" si="22"/>
        <v>540472076.8080883</v>
      </c>
      <c r="L74" s="84">
        <f t="shared" si="22"/>
        <v>471843566.30587929</v>
      </c>
      <c r="M74" s="84">
        <f t="shared" si="22"/>
        <v>485191712.4553569</v>
      </c>
      <c r="N74" s="84">
        <f>SUM(B74:M74)</f>
        <v>6103628937.8776531</v>
      </c>
    </row>
    <row r="76" spans="1:14" x14ac:dyDescent="0.35">
      <c r="A76" s="80" t="s">
        <v>128</v>
      </c>
      <c r="B76" s="84">
        <f>0.75*25000+0.25*20000</f>
        <v>23750</v>
      </c>
      <c r="C76" s="84">
        <f>0.75*25000+0.25*20000</f>
        <v>23750</v>
      </c>
      <c r="D76" s="84">
        <f>0.75*25000+0.25*20000</f>
        <v>23750</v>
      </c>
      <c r="E76" s="84">
        <f>0.75*25000+0.25*20000</f>
        <v>23750</v>
      </c>
      <c r="F76" s="84">
        <v>15510</v>
      </c>
      <c r="G76" s="84">
        <f>F76</f>
        <v>15510</v>
      </c>
      <c r="H76" s="84">
        <f t="shared" ref="H76:M76" si="23">G76</f>
        <v>15510</v>
      </c>
      <c r="I76" s="84">
        <f t="shared" si="23"/>
        <v>15510</v>
      </c>
      <c r="J76" s="84">
        <f t="shared" si="23"/>
        <v>15510</v>
      </c>
      <c r="K76" s="84">
        <f t="shared" si="23"/>
        <v>15510</v>
      </c>
      <c r="L76" s="84">
        <f t="shared" si="23"/>
        <v>15510</v>
      </c>
      <c r="M76" s="84">
        <f t="shared" si="23"/>
        <v>15510</v>
      </c>
    </row>
    <row r="78" spans="1:14" x14ac:dyDescent="0.35">
      <c r="A78" s="80" t="s">
        <v>129</v>
      </c>
      <c r="B78" s="84">
        <f>B16*B76</f>
        <v>127870000</v>
      </c>
      <c r="C78" s="84">
        <f t="shared" ref="C78:M78" si="24">C16*C76</f>
        <v>89846250</v>
      </c>
      <c r="D78" s="84">
        <f t="shared" si="24"/>
        <v>69516250</v>
      </c>
      <c r="E78" s="84">
        <f t="shared" si="24"/>
        <v>65336250</v>
      </c>
      <c r="F78" s="84">
        <f t="shared" si="24"/>
        <v>42295770</v>
      </c>
      <c r="G78" s="84">
        <f t="shared" si="24"/>
        <v>39286830</v>
      </c>
      <c r="H78" s="84">
        <f t="shared" si="24"/>
        <v>39659070</v>
      </c>
      <c r="I78" s="84">
        <f t="shared" si="24"/>
        <v>42311280</v>
      </c>
      <c r="J78" s="84">
        <f t="shared" si="24"/>
        <v>28926150</v>
      </c>
      <c r="K78" s="84">
        <f t="shared" si="24"/>
        <v>48298140</v>
      </c>
      <c r="L78" s="84">
        <f t="shared" si="24"/>
        <v>39752130</v>
      </c>
      <c r="M78" s="84">
        <f t="shared" si="24"/>
        <v>43365960</v>
      </c>
    </row>
    <row r="80" spans="1:14" x14ac:dyDescent="0.35">
      <c r="A80" s="80" t="s">
        <v>122</v>
      </c>
      <c r="B80" s="84">
        <f>B57</f>
        <v>24514763.81118881</v>
      </c>
      <c r="C80" s="84">
        <f t="shared" ref="C80:M80" si="25">C57</f>
        <v>23484731.718281716</v>
      </c>
      <c r="D80" s="84">
        <f t="shared" si="25"/>
        <v>20188629.020979021</v>
      </c>
      <c r="E80" s="84">
        <f t="shared" si="25"/>
        <v>15862494.23076923</v>
      </c>
      <c r="F80" s="84">
        <f t="shared" si="25"/>
        <v>6592205.3946053945</v>
      </c>
      <c r="G80" s="84">
        <f t="shared" si="25"/>
        <v>2678083.4415584416</v>
      </c>
      <c r="H80" s="84">
        <f t="shared" si="25"/>
        <v>3090096.2787212785</v>
      </c>
      <c r="I80" s="84">
        <f t="shared" si="25"/>
        <v>618019.25574425573</v>
      </c>
      <c r="J80" s="84">
        <f t="shared" si="25"/>
        <v>1854057.7672327673</v>
      </c>
      <c r="K80" s="84">
        <f t="shared" si="25"/>
        <v>618019.25574425573</v>
      </c>
      <c r="L80" s="84">
        <f t="shared" si="25"/>
        <v>412012.83716283715</v>
      </c>
      <c r="M80" s="84">
        <f t="shared" si="25"/>
        <v>206006.41858141858</v>
      </c>
    </row>
    <row r="81" spans="1:14" x14ac:dyDescent="0.35">
      <c r="A81" s="80" t="s">
        <v>132</v>
      </c>
      <c r="B81" s="84">
        <f>B53*B76</f>
        <v>2826250</v>
      </c>
      <c r="C81" s="84">
        <f t="shared" ref="C81:M81" si="26">C53*C76</f>
        <v>2707500</v>
      </c>
      <c r="D81" s="84">
        <f t="shared" si="26"/>
        <v>2327500</v>
      </c>
      <c r="E81" s="84">
        <f t="shared" si="26"/>
        <v>1828750</v>
      </c>
      <c r="F81" s="84">
        <f t="shared" si="26"/>
        <v>496320</v>
      </c>
      <c r="G81" s="84">
        <f t="shared" si="26"/>
        <v>201630</v>
      </c>
      <c r="H81" s="84">
        <f t="shared" si="26"/>
        <v>232650</v>
      </c>
      <c r="I81" s="84">
        <f t="shared" si="26"/>
        <v>46530</v>
      </c>
      <c r="J81" s="84">
        <f t="shared" si="26"/>
        <v>139590</v>
      </c>
      <c r="K81" s="84">
        <f t="shared" si="26"/>
        <v>46530</v>
      </c>
      <c r="L81" s="84">
        <f t="shared" si="26"/>
        <v>31020</v>
      </c>
      <c r="M81" s="84">
        <f t="shared" si="26"/>
        <v>15510</v>
      </c>
    </row>
    <row r="82" spans="1:14" x14ac:dyDescent="0.35">
      <c r="A82" s="80" t="s">
        <v>130</v>
      </c>
      <c r="B82" s="84">
        <f>B80-B81</f>
        <v>21688513.81118881</v>
      </c>
      <c r="C82" s="84">
        <f t="shared" ref="C82:M82" si="27">C80-C81</f>
        <v>20777231.718281716</v>
      </c>
      <c r="D82" s="84">
        <f t="shared" si="27"/>
        <v>17861129.020979021</v>
      </c>
      <c r="E82" s="84">
        <f t="shared" si="27"/>
        <v>14033744.23076923</v>
      </c>
      <c r="F82" s="84">
        <f t="shared" si="27"/>
        <v>6095885.3946053945</v>
      </c>
      <c r="G82" s="84">
        <f t="shared" si="27"/>
        <v>2476453.4415584416</v>
      </c>
      <c r="H82" s="84">
        <f t="shared" si="27"/>
        <v>2857446.2787212785</v>
      </c>
      <c r="I82" s="84">
        <f t="shared" si="27"/>
        <v>571489.25574425573</v>
      </c>
      <c r="J82" s="84">
        <f t="shared" si="27"/>
        <v>1714467.7672327673</v>
      </c>
      <c r="K82" s="84">
        <f t="shared" si="27"/>
        <v>571489.25574425573</v>
      </c>
      <c r="L82" s="84">
        <f t="shared" si="27"/>
        <v>380992.83716283715</v>
      </c>
      <c r="M82" s="84">
        <f t="shared" si="27"/>
        <v>190496.41858141858</v>
      </c>
    </row>
    <row r="84" spans="1:14" ht="39" x14ac:dyDescent="0.35">
      <c r="A84" s="119" t="s">
        <v>134</v>
      </c>
    </row>
    <row r="85" spans="1:14" x14ac:dyDescent="0.35">
      <c r="A85" s="50" t="s">
        <v>62</v>
      </c>
      <c r="B85" s="38">
        <f>4965</f>
        <v>4965</v>
      </c>
    </row>
    <row r="86" spans="1:14" x14ac:dyDescent="0.35">
      <c r="A86" s="50" t="s">
        <v>63</v>
      </c>
      <c r="B86" s="42">
        <f>75%*7300+25%*5500</f>
        <v>6850</v>
      </c>
    </row>
    <row r="87" spans="1:14" ht="26" x14ac:dyDescent="0.35">
      <c r="A87" s="119" t="s">
        <v>135</v>
      </c>
      <c r="B87" s="84">
        <f>B16*$B$86</f>
        <v>36880400</v>
      </c>
      <c r="C87" s="84">
        <f>C16*$B$86</f>
        <v>25913550</v>
      </c>
      <c r="D87" s="84">
        <f>D16*$B$86</f>
        <v>20049950</v>
      </c>
      <c r="E87" s="84">
        <f>E16*$B$86</f>
        <v>18844350</v>
      </c>
      <c r="F87" s="84">
        <f>F16*$B$85</f>
        <v>13539555</v>
      </c>
      <c r="G87" s="84">
        <f t="shared" ref="G87:M87" si="28">G16*$B$85</f>
        <v>12576345</v>
      </c>
      <c r="H87" s="84">
        <f t="shared" si="28"/>
        <v>12695505</v>
      </c>
      <c r="I87" s="84">
        <f t="shared" si="28"/>
        <v>13544520</v>
      </c>
      <c r="J87" s="84">
        <f t="shared" si="28"/>
        <v>9259725</v>
      </c>
      <c r="K87" s="84">
        <f t="shared" si="28"/>
        <v>15461010</v>
      </c>
      <c r="L87" s="84">
        <f t="shared" si="28"/>
        <v>12725295</v>
      </c>
      <c r="M87" s="84">
        <f t="shared" si="28"/>
        <v>13882140</v>
      </c>
    </row>
    <row r="89" spans="1:14" ht="26" x14ac:dyDescent="0.35">
      <c r="A89" s="117" t="s">
        <v>136</v>
      </c>
      <c r="B89" s="122">
        <f>B74-B78-B82-B87</f>
        <v>507903195.35601699</v>
      </c>
      <c r="C89" s="122">
        <f t="shared" ref="C89:M89" si="29">C74-C78-C82-C87</f>
        <v>402115913.19731069</v>
      </c>
      <c r="D89" s="122">
        <f t="shared" si="29"/>
        <v>424336917.0423345</v>
      </c>
      <c r="E89" s="122">
        <f t="shared" si="29"/>
        <v>389847578.37384731</v>
      </c>
      <c r="F89" s="122">
        <f t="shared" si="29"/>
        <v>418482938.95840561</v>
      </c>
      <c r="G89" s="122">
        <f t="shared" si="29"/>
        <v>448411216.00407642</v>
      </c>
      <c r="H89" s="122">
        <f t="shared" si="29"/>
        <v>415723125.62736624</v>
      </c>
      <c r="I89" s="122">
        <f t="shared" si="29"/>
        <v>396890652.61540961</v>
      </c>
      <c r="J89" s="122">
        <f t="shared" si="29"/>
        <v>405981934.21448016</v>
      </c>
      <c r="K89" s="122">
        <f t="shared" si="29"/>
        <v>476141437.55234402</v>
      </c>
      <c r="L89" s="122">
        <f t="shared" si="29"/>
        <v>418985148.46871644</v>
      </c>
      <c r="M89" s="122">
        <f t="shared" si="29"/>
        <v>427753116.03677547</v>
      </c>
      <c r="N89" s="84">
        <f>SUM(B89:M89)</f>
        <v>5132573173.4470835</v>
      </c>
    </row>
    <row r="91" spans="1:14" x14ac:dyDescent="0.35">
      <c r="A91" s="80" t="s">
        <v>112</v>
      </c>
      <c r="B91" s="84">
        <v>110006</v>
      </c>
      <c r="C91" s="84">
        <v>107293</v>
      </c>
      <c r="D91" s="84">
        <v>106384</v>
      </c>
      <c r="E91" s="84">
        <v>103992</v>
      </c>
      <c r="F91" s="84">
        <v>102410</v>
      </c>
      <c r="G91" s="84">
        <v>100845</v>
      </c>
      <c r="H91" s="84">
        <v>101207</v>
      </c>
      <c r="I91" s="84">
        <v>99817</v>
      </c>
      <c r="J91" s="84">
        <v>99220</v>
      </c>
      <c r="K91" s="84">
        <v>97546</v>
      </c>
      <c r="L91" s="84">
        <v>96067</v>
      </c>
      <c r="M91" s="84">
        <v>94273</v>
      </c>
    </row>
    <row r="92" spans="1:14" x14ac:dyDescent="0.35">
      <c r="A92" s="80" t="s">
        <v>66</v>
      </c>
      <c r="B92" s="59">
        <v>31</v>
      </c>
      <c r="C92" s="59">
        <v>30</v>
      </c>
      <c r="D92" s="59">
        <v>31</v>
      </c>
      <c r="E92" s="59">
        <v>30</v>
      </c>
      <c r="F92" s="59">
        <v>31</v>
      </c>
      <c r="G92" s="59">
        <v>31</v>
      </c>
      <c r="H92" s="59">
        <v>30</v>
      </c>
      <c r="I92" s="59">
        <v>31</v>
      </c>
      <c r="J92" s="59">
        <v>30</v>
      </c>
      <c r="K92" s="59">
        <v>31</v>
      </c>
      <c r="L92" s="59">
        <v>29</v>
      </c>
      <c r="M92" s="59">
        <v>31</v>
      </c>
    </row>
    <row r="93" spans="1:14" x14ac:dyDescent="0.35">
      <c r="A93" s="80" t="s">
        <v>67</v>
      </c>
      <c r="B93" s="84">
        <f t="shared" ref="B93:M93" si="30">B89/B92</f>
        <v>16383974.043742483</v>
      </c>
      <c r="C93" s="84">
        <f t="shared" si="30"/>
        <v>13403863.77324369</v>
      </c>
      <c r="D93" s="84">
        <f t="shared" si="30"/>
        <v>13688287.64652692</v>
      </c>
      <c r="E93" s="84">
        <f t="shared" si="30"/>
        <v>12994919.279128244</v>
      </c>
      <c r="F93" s="84">
        <f t="shared" si="30"/>
        <v>13499449.643819535</v>
      </c>
      <c r="G93" s="84">
        <f t="shared" si="30"/>
        <v>14464877.935615368</v>
      </c>
      <c r="H93" s="84">
        <f t="shared" si="30"/>
        <v>13857437.520912208</v>
      </c>
      <c r="I93" s="84">
        <f t="shared" si="30"/>
        <v>12802924.277916439</v>
      </c>
      <c r="J93" s="84">
        <f t="shared" si="30"/>
        <v>13532731.140482672</v>
      </c>
      <c r="K93" s="84">
        <f t="shared" si="30"/>
        <v>15359401.211365936</v>
      </c>
      <c r="L93" s="84">
        <f t="shared" si="30"/>
        <v>14447763.740300568</v>
      </c>
      <c r="M93" s="84">
        <f t="shared" si="30"/>
        <v>13798487.614089532</v>
      </c>
    </row>
    <row r="94" spans="1:14" ht="29" x14ac:dyDescent="0.35">
      <c r="A94" s="80" t="s">
        <v>69</v>
      </c>
      <c r="B94" s="110">
        <f t="shared" ref="B94:M94" si="31">B93/B91</f>
        <v>148.93709473794596</v>
      </c>
      <c r="C94" s="110">
        <f t="shared" si="31"/>
        <v>124.92766325150467</v>
      </c>
      <c r="D94" s="110">
        <f t="shared" si="31"/>
        <v>128.66866865813392</v>
      </c>
      <c r="E94" s="110">
        <f t="shared" si="31"/>
        <v>124.96075928079318</v>
      </c>
      <c r="F94" s="110">
        <f t="shared" si="31"/>
        <v>131.81769010662566</v>
      </c>
      <c r="G94" s="110">
        <f t="shared" si="31"/>
        <v>143.43673891234437</v>
      </c>
      <c r="H94" s="110">
        <f t="shared" si="31"/>
        <v>136.9217299288805</v>
      </c>
      <c r="I94" s="110">
        <f t="shared" si="31"/>
        <v>128.26396583664544</v>
      </c>
      <c r="J94" s="110">
        <f t="shared" si="31"/>
        <v>136.39116247210916</v>
      </c>
      <c r="K94" s="110">
        <f t="shared" si="31"/>
        <v>157.45803222444729</v>
      </c>
      <c r="L94" s="110">
        <f t="shared" si="31"/>
        <v>150.3925774751014</v>
      </c>
      <c r="M94" s="110">
        <f t="shared" si="31"/>
        <v>146.36733332013972</v>
      </c>
    </row>
    <row r="95" spans="1:14" ht="29" x14ac:dyDescent="0.35">
      <c r="A95" s="80" t="s">
        <v>72</v>
      </c>
      <c r="B95" s="84">
        <f>B89/B91</f>
        <v>4617.0499368763249</v>
      </c>
      <c r="C95" s="84">
        <f t="shared" ref="C95:M95" si="32">C89/C91</f>
        <v>3747.8298975451398</v>
      </c>
      <c r="D95" s="84">
        <f t="shared" si="32"/>
        <v>3988.7287284021518</v>
      </c>
      <c r="E95" s="84">
        <f t="shared" si="32"/>
        <v>3748.8227784237952</v>
      </c>
      <c r="F95" s="84">
        <f t="shared" si="32"/>
        <v>4086.3483933053963</v>
      </c>
      <c r="G95" s="84">
        <f t="shared" si="32"/>
        <v>4446.5389062826753</v>
      </c>
      <c r="H95" s="84">
        <f t="shared" si="32"/>
        <v>4107.6518978664144</v>
      </c>
      <c r="I95" s="84">
        <f t="shared" si="32"/>
        <v>3976.1829409360089</v>
      </c>
      <c r="J95" s="84">
        <f t="shared" si="32"/>
        <v>4091.734874163275</v>
      </c>
      <c r="K95" s="84">
        <f t="shared" si="32"/>
        <v>4881.198998957866</v>
      </c>
      <c r="L95" s="84">
        <f t="shared" si="32"/>
        <v>4361.3847467779406</v>
      </c>
      <c r="M95" s="84">
        <f t="shared" si="32"/>
        <v>4537.3873329243315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65BE-75A1-47BF-B4F3-D3FFD13CA24C}">
  <sheetPr codeName="Sheet7"/>
  <dimension ref="A1:N63"/>
  <sheetViews>
    <sheetView zoomScale="80" zoomScaleNormal="80" workbookViewId="0">
      <pane xSplit="1" ySplit="1" topLeftCell="B45" activePane="bottomRight" state="frozen"/>
      <selection pane="topRight" activeCell="B1" sqref="B1"/>
      <selection pane="bottomLeft" activeCell="A2" sqref="A2"/>
      <selection pane="bottomRight" activeCell="L56" sqref="L56"/>
    </sheetView>
  </sheetViews>
  <sheetFormatPr defaultRowHeight="14.5" x14ac:dyDescent="0.35"/>
  <cols>
    <col min="1" max="1" width="33.54296875" bestFit="1" customWidth="1"/>
    <col min="2" max="14" width="14.1796875" customWidth="1"/>
  </cols>
  <sheetData>
    <row r="1" spans="1:13" x14ac:dyDescent="0.35">
      <c r="A1" s="1" t="s">
        <v>14</v>
      </c>
      <c r="B1" s="2" t="s">
        <v>26</v>
      </c>
      <c r="C1" s="2" t="s">
        <v>21</v>
      </c>
      <c r="D1" s="2" t="s">
        <v>0</v>
      </c>
      <c r="E1" s="2" t="s">
        <v>4</v>
      </c>
      <c r="F1" s="2" t="s">
        <v>5</v>
      </c>
      <c r="G1" s="2" t="s">
        <v>15</v>
      </c>
      <c r="H1" s="2" t="s">
        <v>16</v>
      </c>
      <c r="I1" s="2" t="s">
        <v>17</v>
      </c>
      <c r="J1" s="2" t="s">
        <v>18</v>
      </c>
      <c r="K1" s="2" t="s">
        <v>19</v>
      </c>
      <c r="L1" s="2"/>
    </row>
    <row r="2" spans="1:13" x14ac:dyDescent="0.35">
      <c r="A2" s="1"/>
      <c r="B2" s="2"/>
      <c r="C2" s="2"/>
      <c r="D2" s="2"/>
      <c r="E2" s="2"/>
      <c r="F2" s="2"/>
      <c r="G2" s="2"/>
      <c r="H2" s="2"/>
      <c r="I2" s="2"/>
      <c r="J2" s="2"/>
      <c r="K2" s="2"/>
      <c r="L2" s="2"/>
    </row>
    <row r="3" spans="1:13" s="16" customFormat="1" ht="15.5" x14ac:dyDescent="0.35">
      <c r="A3" s="14" t="s">
        <v>28</v>
      </c>
      <c r="B3" s="15">
        <f>B4+B8</f>
        <v>406</v>
      </c>
      <c r="C3" s="15">
        <f t="shared" ref="C3:K3" si="0">C4+C8</f>
        <v>519</v>
      </c>
      <c r="D3" s="15">
        <f t="shared" si="0"/>
        <v>471</v>
      </c>
      <c r="E3" s="15">
        <f t="shared" si="0"/>
        <v>109</v>
      </c>
      <c r="F3" s="15">
        <f t="shared" si="0"/>
        <v>31</v>
      </c>
      <c r="G3" s="15">
        <f t="shared" si="0"/>
        <v>30</v>
      </c>
      <c r="H3" s="15">
        <f t="shared" si="0"/>
        <v>95</v>
      </c>
      <c r="I3" s="15">
        <f t="shared" si="0"/>
        <v>3284</v>
      </c>
      <c r="J3" s="15">
        <f t="shared" si="0"/>
        <v>2770</v>
      </c>
      <c r="K3" s="15">
        <f t="shared" si="0"/>
        <v>2602</v>
      </c>
      <c r="L3" s="15">
        <f>SUM(B3:K3)</f>
        <v>10317</v>
      </c>
    </row>
    <row r="4" spans="1:13" ht="15.5" x14ac:dyDescent="0.35">
      <c r="A4" s="1" t="s">
        <v>23</v>
      </c>
      <c r="B4" s="10">
        <f>SUM(B5:B7)</f>
        <v>378</v>
      </c>
      <c r="C4" s="10">
        <f t="shared" ref="C4:K4" si="1">SUM(C5:C7)</f>
        <v>499</v>
      </c>
      <c r="D4" s="10">
        <f t="shared" si="1"/>
        <v>445</v>
      </c>
      <c r="E4" s="10">
        <f t="shared" si="1"/>
        <v>84</v>
      </c>
      <c r="F4" s="10">
        <f t="shared" si="1"/>
        <v>7</v>
      </c>
      <c r="G4" s="10">
        <f t="shared" si="1"/>
        <v>5</v>
      </c>
      <c r="H4" s="10">
        <f t="shared" si="1"/>
        <v>58</v>
      </c>
      <c r="I4" s="10">
        <f t="shared" si="1"/>
        <v>3213</v>
      </c>
      <c r="J4" s="10">
        <f t="shared" si="1"/>
        <v>2709</v>
      </c>
      <c r="K4" s="10">
        <f t="shared" si="1"/>
        <v>2555</v>
      </c>
      <c r="L4" s="15">
        <f t="shared" ref="L4:L28" si="2">SUM(B4:K4)</f>
        <v>9953</v>
      </c>
    </row>
    <row r="5" spans="1:13" ht="15.5" x14ac:dyDescent="0.35">
      <c r="A5" s="4" t="s">
        <v>8</v>
      </c>
      <c r="B5" s="11">
        <v>47</v>
      </c>
      <c r="C5" s="11">
        <v>295</v>
      </c>
      <c r="D5" s="11">
        <v>273</v>
      </c>
      <c r="E5" s="11">
        <v>43</v>
      </c>
      <c r="F5" s="11">
        <v>0</v>
      </c>
      <c r="G5" s="11">
        <v>0</v>
      </c>
      <c r="H5" s="11">
        <v>42</v>
      </c>
      <c r="I5" s="11">
        <v>2383</v>
      </c>
      <c r="J5" s="11">
        <v>1838</v>
      </c>
      <c r="K5" s="11">
        <v>1952</v>
      </c>
      <c r="L5" s="15">
        <f t="shared" si="2"/>
        <v>6873</v>
      </c>
      <c r="M5" t="s">
        <v>27</v>
      </c>
    </row>
    <row r="6" spans="1:13" ht="15.5" x14ac:dyDescent="0.35">
      <c r="A6" s="4" t="s">
        <v>9</v>
      </c>
      <c r="B6" s="11">
        <v>331</v>
      </c>
      <c r="C6" s="11">
        <v>204</v>
      </c>
      <c r="D6" s="11">
        <v>172</v>
      </c>
      <c r="E6" s="11">
        <v>41</v>
      </c>
      <c r="F6" s="11">
        <v>7</v>
      </c>
      <c r="G6" s="11">
        <v>5</v>
      </c>
      <c r="H6" s="11">
        <v>16</v>
      </c>
      <c r="I6" s="11">
        <v>830</v>
      </c>
      <c r="J6" s="11">
        <v>871</v>
      </c>
      <c r="K6" s="11">
        <v>603</v>
      </c>
      <c r="L6" s="15">
        <f t="shared" si="2"/>
        <v>3080</v>
      </c>
    </row>
    <row r="7" spans="1:13" ht="15.5" x14ac:dyDescent="0.35">
      <c r="A7" s="4" t="s">
        <v>11</v>
      </c>
      <c r="B7" s="11"/>
      <c r="C7" s="11"/>
      <c r="D7" s="11"/>
      <c r="E7" s="11"/>
      <c r="F7" s="11"/>
      <c r="G7" s="2"/>
      <c r="H7" s="2"/>
      <c r="I7" s="2"/>
      <c r="J7" s="2"/>
      <c r="K7" s="2"/>
      <c r="L7" s="15">
        <f t="shared" si="2"/>
        <v>0</v>
      </c>
    </row>
    <row r="8" spans="1:13" ht="15.5" x14ac:dyDescent="0.35">
      <c r="A8" s="1" t="s">
        <v>25</v>
      </c>
      <c r="B8" s="10">
        <f>SUM(B9:B11)</f>
        <v>28</v>
      </c>
      <c r="C8" s="10">
        <f t="shared" ref="C8:K8" si="3">SUM(C9:C11)</f>
        <v>20</v>
      </c>
      <c r="D8" s="10">
        <f t="shared" si="3"/>
        <v>26</v>
      </c>
      <c r="E8" s="10">
        <f t="shared" si="3"/>
        <v>25</v>
      </c>
      <c r="F8" s="10">
        <f t="shared" si="3"/>
        <v>24</v>
      </c>
      <c r="G8" s="10">
        <f t="shared" si="3"/>
        <v>25</v>
      </c>
      <c r="H8" s="10">
        <f t="shared" si="3"/>
        <v>37</v>
      </c>
      <c r="I8" s="10">
        <f t="shared" si="3"/>
        <v>71</v>
      </c>
      <c r="J8" s="10">
        <f t="shared" si="3"/>
        <v>61</v>
      </c>
      <c r="K8" s="10">
        <f t="shared" si="3"/>
        <v>47</v>
      </c>
      <c r="L8" s="15">
        <f t="shared" si="2"/>
        <v>364</v>
      </c>
    </row>
    <row r="9" spans="1:13" ht="15.5" x14ac:dyDescent="0.35">
      <c r="A9" s="4" t="s">
        <v>8</v>
      </c>
      <c r="B9" s="11">
        <v>5</v>
      </c>
      <c r="C9" s="11">
        <v>15</v>
      </c>
      <c r="D9" s="11">
        <v>18</v>
      </c>
      <c r="E9" s="11">
        <v>17</v>
      </c>
      <c r="F9" s="11">
        <v>14</v>
      </c>
      <c r="G9" s="11">
        <v>20</v>
      </c>
      <c r="H9" s="11">
        <v>22</v>
      </c>
      <c r="I9" s="11">
        <v>50</v>
      </c>
      <c r="J9" s="11">
        <v>46</v>
      </c>
      <c r="K9" s="11">
        <v>39</v>
      </c>
      <c r="L9" s="15">
        <f t="shared" si="2"/>
        <v>246</v>
      </c>
    </row>
    <row r="10" spans="1:13" ht="15.5" x14ac:dyDescent="0.35">
      <c r="A10" s="4" t="s">
        <v>9</v>
      </c>
      <c r="B10" s="11">
        <v>23</v>
      </c>
      <c r="C10" s="11">
        <v>5</v>
      </c>
      <c r="D10" s="11">
        <v>8</v>
      </c>
      <c r="E10" s="11">
        <v>8</v>
      </c>
      <c r="F10" s="11">
        <v>10</v>
      </c>
      <c r="G10" s="11">
        <v>5</v>
      </c>
      <c r="H10" s="11">
        <v>15</v>
      </c>
      <c r="I10" s="11">
        <v>21</v>
      </c>
      <c r="J10" s="11">
        <v>15</v>
      </c>
      <c r="K10" s="11">
        <v>8</v>
      </c>
      <c r="L10" s="15">
        <f t="shared" si="2"/>
        <v>118</v>
      </c>
    </row>
    <row r="11" spans="1:13" ht="15.5" x14ac:dyDescent="0.35">
      <c r="A11" s="4" t="s">
        <v>11</v>
      </c>
      <c r="B11" s="11"/>
      <c r="C11" s="11"/>
      <c r="D11" s="11"/>
      <c r="E11" s="11"/>
      <c r="F11" s="11"/>
      <c r="G11" s="2"/>
      <c r="H11" s="2"/>
      <c r="I11" s="2"/>
      <c r="J11" s="2"/>
      <c r="K11" s="2"/>
      <c r="L11" s="15">
        <f t="shared" si="2"/>
        <v>0</v>
      </c>
    </row>
    <row r="12" spans="1:13" ht="9" customHeight="1" x14ac:dyDescent="0.35">
      <c r="A12" s="4"/>
      <c r="B12" s="11"/>
      <c r="C12" s="11"/>
      <c r="D12" s="11"/>
      <c r="E12" s="11"/>
      <c r="F12" s="11"/>
      <c r="G12" s="2"/>
      <c r="H12" s="2"/>
      <c r="I12" s="2"/>
      <c r="J12" s="2"/>
      <c r="K12" s="2"/>
      <c r="L12" s="15">
        <f t="shared" si="2"/>
        <v>0</v>
      </c>
    </row>
    <row r="13" spans="1:13" ht="15.5" x14ac:dyDescent="0.35">
      <c r="A13" s="1" t="s">
        <v>24</v>
      </c>
      <c r="B13" s="10">
        <f>SUM(B14:B16)</f>
        <v>9669000</v>
      </c>
      <c r="C13" s="10">
        <f>SUM(C14:C16)</f>
        <v>12694000</v>
      </c>
      <c r="D13" s="10">
        <f t="shared" ref="D13:K13" si="4">SUM(D14:D16)</f>
        <v>11368500</v>
      </c>
      <c r="E13" s="10">
        <f t="shared" si="4"/>
        <v>2189000</v>
      </c>
      <c r="F13" s="10">
        <f t="shared" si="4"/>
        <v>192500</v>
      </c>
      <c r="G13" s="10">
        <f t="shared" si="4"/>
        <v>137500</v>
      </c>
      <c r="H13" s="10">
        <f t="shared" si="4"/>
        <v>1474000</v>
      </c>
      <c r="I13" s="10">
        <f t="shared" si="4"/>
        <v>83187500</v>
      </c>
      <c r="J13" s="10">
        <f t="shared" si="4"/>
        <v>69883000</v>
      </c>
      <c r="K13" s="10">
        <f t="shared" si="4"/>
        <v>66093500</v>
      </c>
      <c r="L13" s="15">
        <f t="shared" si="2"/>
        <v>256888500</v>
      </c>
    </row>
    <row r="14" spans="1:13" ht="15.5" x14ac:dyDescent="0.35">
      <c r="A14" s="4" t="s">
        <v>8</v>
      </c>
      <c r="B14" s="11">
        <v>1204500</v>
      </c>
      <c r="C14" s="11">
        <v>7518500</v>
      </c>
      <c r="D14" s="11">
        <v>6919000</v>
      </c>
      <c r="E14" s="11">
        <v>1138500</v>
      </c>
      <c r="F14" s="11">
        <v>0</v>
      </c>
      <c r="G14" s="11">
        <v>0</v>
      </c>
      <c r="H14" s="11">
        <v>1061500</v>
      </c>
      <c r="I14" s="11">
        <v>61429500</v>
      </c>
      <c r="J14" s="11">
        <v>47366000</v>
      </c>
      <c r="K14" s="11">
        <v>50506500</v>
      </c>
      <c r="L14" s="15">
        <f t="shared" si="2"/>
        <v>177144000</v>
      </c>
    </row>
    <row r="15" spans="1:13" ht="15.5" x14ac:dyDescent="0.35">
      <c r="A15" s="4" t="s">
        <v>9</v>
      </c>
      <c r="B15" s="11">
        <v>8464500</v>
      </c>
      <c r="C15" s="11">
        <v>5175500</v>
      </c>
      <c r="D15" s="11">
        <v>4449500</v>
      </c>
      <c r="E15" s="11">
        <v>1050500</v>
      </c>
      <c r="F15" s="11">
        <v>192500</v>
      </c>
      <c r="G15" s="11">
        <v>137500</v>
      </c>
      <c r="H15" s="11">
        <v>412500</v>
      </c>
      <c r="I15" s="11">
        <v>21758000</v>
      </c>
      <c r="J15" s="11">
        <v>22517000</v>
      </c>
      <c r="K15" s="11">
        <v>15587000</v>
      </c>
      <c r="L15" s="15">
        <f t="shared" si="2"/>
        <v>79744500</v>
      </c>
    </row>
    <row r="16" spans="1:13" ht="15.5" x14ac:dyDescent="0.35">
      <c r="A16" s="4" t="s">
        <v>11</v>
      </c>
      <c r="B16" s="11"/>
      <c r="C16" s="11"/>
      <c r="D16" s="11"/>
      <c r="E16" s="11"/>
      <c r="F16" s="11"/>
      <c r="G16" s="3"/>
      <c r="H16" s="3"/>
      <c r="I16" s="3"/>
      <c r="J16" s="3"/>
      <c r="K16" s="3"/>
      <c r="L16" s="15">
        <f t="shared" si="2"/>
        <v>0</v>
      </c>
    </row>
    <row r="17" spans="1:14" ht="15.5" x14ac:dyDescent="0.35">
      <c r="A17" s="1" t="s">
        <v>1</v>
      </c>
      <c r="B17" s="10">
        <f>SUM(B18:B20)</f>
        <v>6832500</v>
      </c>
      <c r="C17" s="10">
        <f>SUM(C18:C20)</f>
        <v>4377500</v>
      </c>
      <c r="D17" s="10">
        <f t="shared" ref="D17:K17" si="5">SUM(D18:D20)</f>
        <v>5827000</v>
      </c>
      <c r="E17" s="10">
        <f t="shared" si="5"/>
        <v>5485500</v>
      </c>
      <c r="F17" s="10">
        <f t="shared" si="5"/>
        <v>643500</v>
      </c>
      <c r="G17" s="10">
        <f t="shared" si="5"/>
        <v>676500</v>
      </c>
      <c r="H17" s="10">
        <f t="shared" si="5"/>
        <v>1006500</v>
      </c>
      <c r="I17" s="10">
        <f t="shared" si="5"/>
        <v>1903000</v>
      </c>
      <c r="J17" s="10">
        <f t="shared" si="5"/>
        <v>1622500</v>
      </c>
      <c r="K17" s="10">
        <f t="shared" si="5"/>
        <v>1237500</v>
      </c>
      <c r="L17" s="15">
        <f t="shared" si="2"/>
        <v>29612000</v>
      </c>
      <c r="M17" t="s">
        <v>22</v>
      </c>
    </row>
    <row r="18" spans="1:14" ht="15.5" x14ac:dyDescent="0.35">
      <c r="A18" s="4" t="s">
        <v>8</v>
      </c>
      <c r="B18" s="11">
        <v>1212500</v>
      </c>
      <c r="C18" s="11">
        <v>3324000</v>
      </c>
      <c r="D18" s="11">
        <v>3967000</v>
      </c>
      <c r="E18" s="11">
        <v>3680000</v>
      </c>
      <c r="F18" s="11">
        <v>374000</v>
      </c>
      <c r="G18" s="11">
        <v>539000</v>
      </c>
      <c r="H18" s="11">
        <v>594000</v>
      </c>
      <c r="I18" s="11">
        <v>1336500</v>
      </c>
      <c r="J18" s="11">
        <v>1215500</v>
      </c>
      <c r="K18" s="11">
        <v>1028500</v>
      </c>
      <c r="L18" s="15">
        <f t="shared" si="2"/>
        <v>17271000</v>
      </c>
    </row>
    <row r="19" spans="1:14" ht="15.5" x14ac:dyDescent="0.35">
      <c r="A19" s="4" t="s">
        <v>9</v>
      </c>
      <c r="B19" s="11">
        <v>5620000</v>
      </c>
      <c r="C19" s="11">
        <v>1053500</v>
      </c>
      <c r="D19" s="11">
        <v>1860000</v>
      </c>
      <c r="E19" s="11">
        <v>1805500</v>
      </c>
      <c r="F19" s="11">
        <v>269500</v>
      </c>
      <c r="G19" s="11">
        <v>137500</v>
      </c>
      <c r="H19" s="11">
        <v>412500</v>
      </c>
      <c r="I19" s="11">
        <v>566500</v>
      </c>
      <c r="J19" s="11">
        <v>407000</v>
      </c>
      <c r="K19" s="11">
        <v>209000</v>
      </c>
      <c r="L19" s="15">
        <f t="shared" si="2"/>
        <v>12341000</v>
      </c>
    </row>
    <row r="20" spans="1:14" ht="15.5" x14ac:dyDescent="0.35">
      <c r="A20" s="4" t="s">
        <v>11</v>
      </c>
      <c r="B20" s="11"/>
      <c r="C20" s="11"/>
      <c r="D20" s="11"/>
      <c r="E20" s="11"/>
      <c r="F20" s="11"/>
      <c r="G20" s="11"/>
      <c r="H20" s="11"/>
      <c r="I20" s="11"/>
      <c r="J20" s="11"/>
      <c r="K20" s="3"/>
      <c r="L20" s="15">
        <f t="shared" si="2"/>
        <v>0</v>
      </c>
    </row>
    <row r="21" spans="1:14" ht="15.5" x14ac:dyDescent="0.35">
      <c r="A21" s="4" t="s">
        <v>20</v>
      </c>
      <c r="B21" s="11"/>
      <c r="C21" s="11">
        <v>18125000</v>
      </c>
      <c r="D21" s="11">
        <v>900000</v>
      </c>
      <c r="E21" s="11">
        <v>475000</v>
      </c>
      <c r="F21" s="11"/>
      <c r="G21" s="3"/>
      <c r="H21" s="3"/>
      <c r="I21" s="3"/>
      <c r="J21" s="3"/>
      <c r="K21" s="3"/>
      <c r="L21" s="15">
        <f t="shared" si="2"/>
        <v>19500000</v>
      </c>
      <c r="M21" t="s">
        <v>37</v>
      </c>
    </row>
    <row r="22" spans="1:14" ht="15.5" x14ac:dyDescent="0.35">
      <c r="A22" s="4" t="s">
        <v>34</v>
      </c>
      <c r="B22" s="11"/>
      <c r="C22" s="11">
        <v>705000</v>
      </c>
      <c r="D22" s="11">
        <v>0</v>
      </c>
      <c r="E22" s="11">
        <v>0</v>
      </c>
      <c r="F22" s="11"/>
      <c r="G22" s="3"/>
      <c r="H22" s="3"/>
      <c r="I22" s="3"/>
      <c r="J22" s="3"/>
      <c r="K22" s="3"/>
      <c r="L22" s="15">
        <f t="shared" si="2"/>
        <v>705000</v>
      </c>
    </row>
    <row r="23" spans="1:14" ht="15.5" x14ac:dyDescent="0.35">
      <c r="A23" s="1" t="s">
        <v>12</v>
      </c>
      <c r="B23" s="10">
        <f>SUM(B24:B26)</f>
        <v>512577700</v>
      </c>
      <c r="C23" s="10">
        <f>SUM(C24:C26)</f>
        <v>503595900</v>
      </c>
      <c r="D23" s="10">
        <f t="shared" ref="D23:K23" si="6">SUM(D24:D26)</f>
        <v>518761880</v>
      </c>
      <c r="E23" s="10">
        <f t="shared" si="6"/>
        <v>532354400</v>
      </c>
      <c r="F23" s="10">
        <f t="shared" si="6"/>
        <v>536605400</v>
      </c>
      <c r="G23" s="10">
        <f t="shared" si="6"/>
        <v>566942900</v>
      </c>
      <c r="H23" s="10">
        <f t="shared" si="6"/>
        <v>572710050</v>
      </c>
      <c r="I23" s="10">
        <f t="shared" si="6"/>
        <v>599673050</v>
      </c>
      <c r="J23" s="10">
        <f t="shared" si="6"/>
        <v>561913250</v>
      </c>
      <c r="K23" s="10">
        <f t="shared" si="6"/>
        <v>556469981</v>
      </c>
      <c r="L23" s="15">
        <f t="shared" si="2"/>
        <v>5461604511</v>
      </c>
    </row>
    <row r="24" spans="1:14" ht="15.5" x14ac:dyDescent="0.35">
      <c r="A24" s="4" t="s">
        <v>10</v>
      </c>
      <c r="B24" s="11">
        <v>390398100</v>
      </c>
      <c r="C24" s="11">
        <v>384801500</v>
      </c>
      <c r="D24" s="11">
        <v>399076600</v>
      </c>
      <c r="E24" s="11">
        <f>Repayment_weekly!G4</f>
        <v>411477700</v>
      </c>
      <c r="F24" s="11">
        <v>407232500</v>
      </c>
      <c r="G24" s="5">
        <v>429003000</v>
      </c>
      <c r="H24" s="5">
        <v>425377900</v>
      </c>
      <c r="I24" s="5">
        <v>436159300</v>
      </c>
      <c r="J24" s="5">
        <v>398896900</v>
      </c>
      <c r="K24" s="5">
        <v>435863341</v>
      </c>
      <c r="L24" s="15">
        <f t="shared" si="2"/>
        <v>4118286841</v>
      </c>
    </row>
    <row r="25" spans="1:14" ht="15.5" x14ac:dyDescent="0.35">
      <c r="A25" s="4" t="s">
        <v>8</v>
      </c>
      <c r="B25" s="11">
        <v>85173700</v>
      </c>
      <c r="C25" s="11">
        <v>85774750</v>
      </c>
      <c r="D25" s="11">
        <v>86477900</v>
      </c>
      <c r="E25" s="11">
        <f>Repayment_weekly!G8</f>
        <v>87155450</v>
      </c>
      <c r="F25" s="11">
        <v>93140450</v>
      </c>
      <c r="G25" s="5">
        <v>100318200</v>
      </c>
      <c r="H25" s="5">
        <v>105670850</v>
      </c>
      <c r="I25" s="5">
        <v>118890950</v>
      </c>
      <c r="J25" s="5">
        <v>94331150</v>
      </c>
      <c r="K25" s="5">
        <v>87507150</v>
      </c>
      <c r="L25" s="15">
        <f t="shared" si="2"/>
        <v>944440550</v>
      </c>
    </row>
    <row r="26" spans="1:14" ht="15.5" x14ac:dyDescent="0.35">
      <c r="A26" s="4" t="s">
        <v>9</v>
      </c>
      <c r="B26" s="11">
        <v>37005900</v>
      </c>
      <c r="C26" s="11">
        <v>33019650</v>
      </c>
      <c r="D26" s="11">
        <v>33207380</v>
      </c>
      <c r="E26" s="11">
        <f>Repayment_weekly!G12</f>
        <v>33721250</v>
      </c>
      <c r="F26" s="11">
        <v>36232450</v>
      </c>
      <c r="G26" s="5">
        <v>37621700</v>
      </c>
      <c r="H26" s="5">
        <v>41661300</v>
      </c>
      <c r="I26" s="5">
        <v>44622800</v>
      </c>
      <c r="J26" s="5">
        <v>68685200</v>
      </c>
      <c r="K26" s="5">
        <v>33099490</v>
      </c>
      <c r="L26" s="15">
        <f t="shared" si="2"/>
        <v>398877120</v>
      </c>
      <c r="M26" s="28">
        <f>SUM(B26:K26)</f>
        <v>398877120</v>
      </c>
    </row>
    <row r="27" spans="1:14" ht="15.5" x14ac:dyDescent="0.35">
      <c r="A27" s="4" t="s">
        <v>11</v>
      </c>
      <c r="B27" s="11"/>
      <c r="C27" s="11"/>
      <c r="D27" s="11"/>
      <c r="E27" s="11"/>
      <c r="F27" s="11"/>
      <c r="G27" s="5"/>
      <c r="H27" s="5"/>
      <c r="I27" s="5"/>
      <c r="J27" s="5"/>
      <c r="K27" s="5"/>
      <c r="L27" s="15">
        <f t="shared" si="2"/>
        <v>0</v>
      </c>
      <c r="M27" s="13"/>
      <c r="N27" s="13"/>
    </row>
    <row r="28" spans="1:14" s="9" customFormat="1" ht="16" thickBot="1" x14ac:dyDescent="0.4">
      <c r="A28" s="8" t="s">
        <v>7</v>
      </c>
      <c r="B28" s="12">
        <f>B13+B17+B23</f>
        <v>529079200</v>
      </c>
      <c r="C28" s="12">
        <f>C13+C17+C23+C21+C22</f>
        <v>539497400</v>
      </c>
      <c r="D28" s="12">
        <f t="shared" ref="D28:K28" si="7">D13+D17+D23</f>
        <v>535957380</v>
      </c>
      <c r="E28" s="12">
        <f t="shared" si="7"/>
        <v>540028900</v>
      </c>
      <c r="F28" s="12">
        <f t="shared" si="7"/>
        <v>537441400</v>
      </c>
      <c r="G28" s="12">
        <f t="shared" si="7"/>
        <v>567756900</v>
      </c>
      <c r="H28" s="12">
        <f t="shared" si="7"/>
        <v>575190550</v>
      </c>
      <c r="I28" s="12">
        <f t="shared" si="7"/>
        <v>684763550</v>
      </c>
      <c r="J28" s="12">
        <f t="shared" si="7"/>
        <v>633418750</v>
      </c>
      <c r="K28" s="12">
        <f t="shared" si="7"/>
        <v>623800981</v>
      </c>
      <c r="L28" s="15">
        <f t="shared" si="2"/>
        <v>5766935011</v>
      </c>
      <c r="M28" s="32"/>
    </row>
    <row r="29" spans="1:14" ht="9" customHeight="1" thickTop="1" x14ac:dyDescent="0.35">
      <c r="A29" s="6"/>
      <c r="B29" s="6"/>
      <c r="C29" s="6"/>
      <c r="D29" s="6"/>
      <c r="E29" s="6"/>
      <c r="F29" s="6"/>
      <c r="G29" s="7"/>
      <c r="H29" s="7"/>
      <c r="I29" s="7"/>
      <c r="J29" s="7"/>
      <c r="K29" s="7"/>
      <c r="L29" s="7"/>
    </row>
    <row r="30" spans="1:14" ht="29" x14ac:dyDescent="0.35">
      <c r="A30" s="25" t="s">
        <v>36</v>
      </c>
      <c r="B30" s="10">
        <f>SUM(B31:B33)</f>
        <v>82073</v>
      </c>
      <c r="C30" s="10">
        <f>SUM(C31:C33)</f>
        <v>81998</v>
      </c>
      <c r="D30" s="10">
        <f>SUM(D31:D33)</f>
        <v>83807</v>
      </c>
      <c r="E30" s="10">
        <f t="shared" ref="E30:K30" si="8">SUM(E31:E33)</f>
        <v>84857</v>
      </c>
      <c r="F30" s="10">
        <f t="shared" si="8"/>
        <v>85638</v>
      </c>
      <c r="G30" s="10">
        <f t="shared" si="8"/>
        <v>88254</v>
      </c>
      <c r="H30" s="10">
        <f t="shared" si="8"/>
        <v>88444</v>
      </c>
      <c r="I30" s="10">
        <f t="shared" si="8"/>
        <v>90759</v>
      </c>
      <c r="J30" s="10">
        <f t="shared" si="8"/>
        <v>86980</v>
      </c>
      <c r="K30" s="10">
        <f t="shared" si="8"/>
        <v>88854</v>
      </c>
      <c r="L30" s="10"/>
    </row>
    <row r="31" spans="1:14" x14ac:dyDescent="0.35">
      <c r="A31" s="4" t="s">
        <v>2</v>
      </c>
      <c r="B31" s="11">
        <v>68027</v>
      </c>
      <c r="C31" s="11">
        <v>68212</v>
      </c>
      <c r="D31" s="11">
        <v>70020</v>
      </c>
      <c r="E31" s="11">
        <v>70542</v>
      </c>
      <c r="F31" s="11">
        <v>70955</v>
      </c>
      <c r="G31" s="5">
        <v>72931</v>
      </c>
      <c r="H31" s="5">
        <v>73096</v>
      </c>
      <c r="I31" s="5">
        <v>74076</v>
      </c>
      <c r="J31" s="5">
        <v>73008</v>
      </c>
      <c r="K31" s="5">
        <v>76248</v>
      </c>
      <c r="L31" s="5"/>
    </row>
    <row r="32" spans="1:14" x14ac:dyDescent="0.35">
      <c r="A32" s="4" t="s">
        <v>3</v>
      </c>
      <c r="B32" s="11">
        <v>10124</v>
      </c>
      <c r="C32" s="11">
        <v>10124</v>
      </c>
      <c r="D32" s="11">
        <v>10096</v>
      </c>
      <c r="E32" s="11">
        <v>10534</v>
      </c>
      <c r="F32" s="11">
        <v>10753</v>
      </c>
      <c r="G32" s="5">
        <v>11188</v>
      </c>
      <c r="H32" s="5">
        <v>11161</v>
      </c>
      <c r="I32" s="5">
        <v>12222</v>
      </c>
      <c r="J32" s="5">
        <f>82863-J31</f>
        <v>9855</v>
      </c>
      <c r="K32" s="5">
        <f>85427-K31</f>
        <v>9179</v>
      </c>
      <c r="L32" s="5"/>
    </row>
    <row r="33" spans="1:12" x14ac:dyDescent="0.35">
      <c r="A33" s="4" t="s">
        <v>6</v>
      </c>
      <c r="B33" s="11">
        <v>3922</v>
      </c>
      <c r="C33" s="11">
        <v>3662</v>
      </c>
      <c r="D33" s="11">
        <v>3691</v>
      </c>
      <c r="E33" s="11">
        <v>3781</v>
      </c>
      <c r="F33" s="11">
        <v>3930</v>
      </c>
      <c r="G33" s="5">
        <f>88254-G31-G32</f>
        <v>4135</v>
      </c>
      <c r="H33" s="5">
        <v>4187</v>
      </c>
      <c r="I33" s="5">
        <v>4461</v>
      </c>
      <c r="J33" s="5">
        <v>4117</v>
      </c>
      <c r="K33" s="5">
        <v>3427</v>
      </c>
      <c r="L33" s="5"/>
    </row>
    <row r="34" spans="1:12" x14ac:dyDescent="0.35">
      <c r="A34" s="4" t="s">
        <v>11</v>
      </c>
      <c r="B34" s="11"/>
      <c r="C34" s="11"/>
      <c r="D34" s="11"/>
      <c r="E34" s="11"/>
      <c r="F34" s="11"/>
      <c r="G34" s="5"/>
      <c r="H34" s="5"/>
      <c r="I34" s="5"/>
      <c r="J34" s="5"/>
      <c r="K34" s="5"/>
      <c r="L34" s="5"/>
    </row>
    <row r="35" spans="1:12" ht="9" customHeight="1" x14ac:dyDescent="0.35">
      <c r="A35" s="6"/>
      <c r="B35" s="6"/>
      <c r="C35" s="6"/>
      <c r="D35" s="6"/>
      <c r="E35" s="6"/>
      <c r="F35" s="6"/>
      <c r="G35" s="6"/>
      <c r="H35" s="6"/>
      <c r="I35" s="6"/>
      <c r="J35" s="6"/>
      <c r="K35" s="6"/>
      <c r="L35" s="6"/>
    </row>
    <row r="36" spans="1:12" x14ac:dyDescent="0.35">
      <c r="A36" s="1" t="s">
        <v>13</v>
      </c>
      <c r="B36" s="10">
        <f t="shared" ref="B36:E39" si="9">B23/B30</f>
        <v>6245.3876427083205</v>
      </c>
      <c r="C36" s="10">
        <f t="shared" si="9"/>
        <v>6141.5632088587527</v>
      </c>
      <c r="D36" s="10">
        <f t="shared" si="9"/>
        <v>6189.9588339876145</v>
      </c>
      <c r="E36" s="10">
        <f t="shared" si="9"/>
        <v>6273.547261864077</v>
      </c>
      <c r="F36" s="10">
        <f t="shared" ref="F36:K36" si="10">F23/F30</f>
        <v>6265.9730493472525</v>
      </c>
      <c r="G36" s="10">
        <f t="shared" si="10"/>
        <v>6423.9909805787838</v>
      </c>
      <c r="H36" s="10">
        <f t="shared" si="10"/>
        <v>6475.397426620234</v>
      </c>
      <c r="I36" s="10">
        <f t="shared" si="10"/>
        <v>6607.3122224793133</v>
      </c>
      <c r="J36" s="10">
        <f t="shared" si="10"/>
        <v>6460.2581053115655</v>
      </c>
      <c r="K36" s="10">
        <f t="shared" si="10"/>
        <v>6262.7454138249259</v>
      </c>
      <c r="L36" s="10"/>
    </row>
    <row r="37" spans="1:12" x14ac:dyDescent="0.35">
      <c r="A37" s="4" t="s">
        <v>10</v>
      </c>
      <c r="B37" s="11">
        <f t="shared" si="9"/>
        <v>5738.8698604965675</v>
      </c>
      <c r="C37" s="11">
        <f t="shared" si="9"/>
        <v>5641.2581363982881</v>
      </c>
      <c r="D37" s="11">
        <f t="shared" si="9"/>
        <v>5699.4658668951724</v>
      </c>
      <c r="E37" s="11">
        <f t="shared" si="9"/>
        <v>5833.0880893652011</v>
      </c>
      <c r="F37" s="11">
        <f t="shared" ref="F37:K37" si="11">F24/F31</f>
        <v>5739.306602776408</v>
      </c>
      <c r="G37" s="11">
        <f t="shared" si="11"/>
        <v>5882.3134195335315</v>
      </c>
      <c r="H37" s="11">
        <f t="shared" si="11"/>
        <v>5819.4415563095108</v>
      </c>
      <c r="I37" s="11">
        <f t="shared" si="11"/>
        <v>5887.9974620659859</v>
      </c>
      <c r="J37" s="11">
        <f t="shared" si="11"/>
        <v>5463.7423296077141</v>
      </c>
      <c r="K37" s="11">
        <f t="shared" si="11"/>
        <v>5716.3904758157587</v>
      </c>
      <c r="L37" s="11"/>
    </row>
    <row r="38" spans="1:12" x14ac:dyDescent="0.35">
      <c r="A38" s="4" t="s">
        <v>8</v>
      </c>
      <c r="B38" s="11">
        <f t="shared" si="9"/>
        <v>8413.0482022915839</v>
      </c>
      <c r="C38" s="11">
        <f t="shared" si="9"/>
        <v>8472.4170288423556</v>
      </c>
      <c r="D38" s="11">
        <f t="shared" si="9"/>
        <v>8565.5606180665618</v>
      </c>
      <c r="E38" s="11">
        <f t="shared" si="9"/>
        <v>8273.7279286121138</v>
      </c>
      <c r="F38" s="11">
        <f t="shared" ref="F38:K38" si="12">F25/F32</f>
        <v>8661.8106574909325</v>
      </c>
      <c r="G38" s="11">
        <f t="shared" si="12"/>
        <v>8966.5892027171976</v>
      </c>
      <c r="H38" s="11">
        <f t="shared" si="12"/>
        <v>9467.8657826359649</v>
      </c>
      <c r="I38" s="11">
        <f t="shared" si="12"/>
        <v>9727.6182294223527</v>
      </c>
      <c r="J38" s="11">
        <f t="shared" si="12"/>
        <v>9571.9076610857428</v>
      </c>
      <c r="K38" s="11">
        <f t="shared" si="12"/>
        <v>9533.4077786251219</v>
      </c>
      <c r="L38" s="11"/>
    </row>
    <row r="39" spans="1:12" x14ac:dyDescent="0.35">
      <c r="A39" s="4" t="s">
        <v>6</v>
      </c>
      <c r="B39" s="11">
        <f t="shared" si="9"/>
        <v>9435.4665986741456</v>
      </c>
      <c r="C39" s="11">
        <f t="shared" si="9"/>
        <v>9016.8350628072094</v>
      </c>
      <c r="D39" s="11">
        <f t="shared" si="9"/>
        <v>8996.8518016797607</v>
      </c>
      <c r="E39" s="11">
        <f t="shared" si="9"/>
        <v>8918.6061888389322</v>
      </c>
      <c r="F39" s="11">
        <f t="shared" ref="F39:K39" si="13">F26/F33</f>
        <v>9219.4529262086508</v>
      </c>
      <c r="G39" s="11">
        <f t="shared" si="13"/>
        <v>9098.3555018137849</v>
      </c>
      <c r="H39" s="11">
        <f t="shared" si="13"/>
        <v>9950.1552424170059</v>
      </c>
      <c r="I39" s="11">
        <f t="shared" si="13"/>
        <v>10002.869311813494</v>
      </c>
      <c r="J39" s="11">
        <f t="shared" si="13"/>
        <v>16683.313092057324</v>
      </c>
      <c r="K39" s="11">
        <f t="shared" si="13"/>
        <v>9658.4447038225862</v>
      </c>
      <c r="L39" s="11"/>
    </row>
    <row r="40" spans="1:12" x14ac:dyDescent="0.35">
      <c r="A40" s="4" t="s">
        <v>11</v>
      </c>
      <c r="B40" s="6"/>
      <c r="C40" s="6"/>
      <c r="D40" s="6"/>
      <c r="E40" s="6"/>
      <c r="F40" s="6"/>
      <c r="G40" s="6"/>
      <c r="H40" s="6"/>
      <c r="I40" s="6"/>
      <c r="J40" s="6"/>
      <c r="K40" s="6"/>
      <c r="L40" s="6"/>
    </row>
    <row r="42" spans="1:12" x14ac:dyDescent="0.35">
      <c r="I42" s="32"/>
    </row>
    <row r="43" spans="1:12" x14ac:dyDescent="0.35">
      <c r="A43" s="57" t="s">
        <v>90</v>
      </c>
      <c r="B43" s="11">
        <f>B13/B4</f>
        <v>25579.365079365078</v>
      </c>
      <c r="C43" s="11">
        <f t="shared" ref="C43:K43" si="14">C13/C4</f>
        <v>25438.877755511021</v>
      </c>
      <c r="D43" s="11">
        <f t="shared" si="14"/>
        <v>25547.191011235955</v>
      </c>
      <c r="E43" s="11">
        <f t="shared" si="14"/>
        <v>26059.523809523809</v>
      </c>
      <c r="F43" s="11">
        <f t="shared" si="14"/>
        <v>27500</v>
      </c>
      <c r="G43" s="11">
        <f t="shared" si="14"/>
        <v>27500</v>
      </c>
      <c r="H43" s="11">
        <f t="shared" si="14"/>
        <v>25413.793103448275</v>
      </c>
      <c r="I43" s="11">
        <f t="shared" si="14"/>
        <v>25890.911920323684</v>
      </c>
      <c r="J43" s="11">
        <f t="shared" si="14"/>
        <v>25796.603912882983</v>
      </c>
      <c r="K43" s="11">
        <f t="shared" si="14"/>
        <v>25868.297455968688</v>
      </c>
      <c r="L43" s="11"/>
    </row>
    <row r="44" spans="1:12" x14ac:dyDescent="0.35">
      <c r="B44" t="s">
        <v>91</v>
      </c>
      <c r="I44" s="32"/>
    </row>
    <row r="45" spans="1:12" x14ac:dyDescent="0.35">
      <c r="I45" s="32"/>
    </row>
    <row r="46" spans="1:12" x14ac:dyDescent="0.35">
      <c r="A46" s="50" t="s">
        <v>92</v>
      </c>
      <c r="C46" s="11">
        <f>C17/C8</f>
        <v>218875</v>
      </c>
      <c r="D46" s="11">
        <f t="shared" ref="D46:K46" si="15">D17/D8</f>
        <v>224115.38461538462</v>
      </c>
      <c r="E46" s="11">
        <f t="shared" si="15"/>
        <v>219420</v>
      </c>
      <c r="F46" s="58">
        <f t="shared" si="15"/>
        <v>26812.5</v>
      </c>
      <c r="G46" s="58">
        <f t="shared" si="15"/>
        <v>27060</v>
      </c>
      <c r="H46" s="58">
        <f t="shared" si="15"/>
        <v>27202.702702702703</v>
      </c>
      <c r="I46" s="58">
        <f t="shared" si="15"/>
        <v>26802.816901408452</v>
      </c>
      <c r="J46" s="58">
        <f t="shared" si="15"/>
        <v>26598.360655737706</v>
      </c>
      <c r="K46" s="58">
        <f t="shared" si="15"/>
        <v>26329.787234042553</v>
      </c>
      <c r="L46" s="58"/>
    </row>
    <row r="47" spans="1:12" x14ac:dyDescent="0.35">
      <c r="B47" t="s">
        <v>96</v>
      </c>
      <c r="I47" s="32"/>
    </row>
    <row r="48" spans="1:12" x14ac:dyDescent="0.35">
      <c r="I48" s="32"/>
    </row>
    <row r="49" spans="1:13" x14ac:dyDescent="0.35">
      <c r="A49" s="50" t="s">
        <v>35</v>
      </c>
    </row>
    <row r="50" spans="1:13" x14ac:dyDescent="0.35">
      <c r="A50" s="50" t="s">
        <v>63</v>
      </c>
      <c r="B50">
        <f>8000*75%+6000*25%</f>
        <v>7500</v>
      </c>
    </row>
    <row r="51" spans="1:13" x14ac:dyDescent="0.35">
      <c r="A51" s="50" t="s">
        <v>64</v>
      </c>
      <c r="B51" s="11">
        <f>B3*$B$50</f>
        <v>3045000</v>
      </c>
      <c r="C51" s="11">
        <f>C3*$B$50</f>
        <v>3892500</v>
      </c>
      <c r="D51" s="11">
        <f t="shared" ref="D51:K51" si="16">D3*$B$50</f>
        <v>3532500</v>
      </c>
      <c r="E51" s="11">
        <f t="shared" si="16"/>
        <v>817500</v>
      </c>
      <c r="F51" s="11">
        <f t="shared" si="16"/>
        <v>232500</v>
      </c>
      <c r="G51" s="11">
        <f t="shared" si="16"/>
        <v>225000</v>
      </c>
      <c r="H51" s="11">
        <f t="shared" si="16"/>
        <v>712500</v>
      </c>
      <c r="I51" s="11">
        <f t="shared" si="16"/>
        <v>24630000</v>
      </c>
      <c r="J51" s="11">
        <f t="shared" si="16"/>
        <v>20775000</v>
      </c>
      <c r="K51" s="11">
        <f t="shared" si="16"/>
        <v>19515000</v>
      </c>
      <c r="L51" s="11"/>
    </row>
    <row r="52" spans="1:13" x14ac:dyDescent="0.35">
      <c r="A52" s="50" t="s">
        <v>94</v>
      </c>
      <c r="B52" s="28">
        <f>AVERAGE(C46:E46)-AVERAGE(F46:K46)</f>
        <v>194002.43362281297</v>
      </c>
    </row>
    <row r="53" spans="1:13" x14ac:dyDescent="0.35">
      <c r="A53" s="50"/>
      <c r="F53" s="11">
        <f t="shared" ref="F53:K53" si="17">F8*$B$52</f>
        <v>4656058.4069475112</v>
      </c>
      <c r="G53" s="11">
        <f t="shared" si="17"/>
        <v>4850060.8405703241</v>
      </c>
      <c r="H53" s="11">
        <f t="shared" si="17"/>
        <v>7178090.0440440802</v>
      </c>
      <c r="I53" s="11">
        <f t="shared" si="17"/>
        <v>13774172.78721972</v>
      </c>
      <c r="J53" s="11">
        <f t="shared" si="17"/>
        <v>11834148.450991591</v>
      </c>
      <c r="K53" s="11">
        <f t="shared" si="17"/>
        <v>9118114.3802722096</v>
      </c>
      <c r="L53" s="11"/>
    </row>
    <row r="54" spans="1:13" s="43" customFormat="1" ht="29" x14ac:dyDescent="0.35">
      <c r="A54" s="51" t="s">
        <v>93</v>
      </c>
      <c r="B54" s="44">
        <f>B28-B51</f>
        <v>526034200</v>
      </c>
      <c r="C54" s="44">
        <f>C28-C51</f>
        <v>535604900</v>
      </c>
      <c r="D54" s="44">
        <f>D28-D51</f>
        <v>532424880</v>
      </c>
      <c r="E54" s="44">
        <f>E28-E51</f>
        <v>539211400</v>
      </c>
      <c r="F54" s="44">
        <f t="shared" ref="F54:K54" si="18">F28-F51-F53</f>
        <v>532552841.59305251</v>
      </c>
      <c r="G54" s="44">
        <f t="shared" si="18"/>
        <v>562681839.15942967</v>
      </c>
      <c r="H54" s="44">
        <f t="shared" si="18"/>
        <v>567299959.95595586</v>
      </c>
      <c r="I54" s="44">
        <f t="shared" si="18"/>
        <v>646359377.21278024</v>
      </c>
      <c r="J54" s="44">
        <f t="shared" si="18"/>
        <v>600809601.54900837</v>
      </c>
      <c r="K54" s="44">
        <f t="shared" si="18"/>
        <v>595167866.61972785</v>
      </c>
      <c r="L54" s="44">
        <f t="shared" ref="L54:L59" si="19">SUM(C54:K54)</f>
        <v>5112112666.0899544</v>
      </c>
    </row>
    <row r="55" spans="1:13" s="43" customFormat="1" x14ac:dyDescent="0.35">
      <c r="A55" s="52" t="s">
        <v>65</v>
      </c>
      <c r="C55" s="43">
        <v>104413</v>
      </c>
      <c r="D55" s="43">
        <v>104775</v>
      </c>
      <c r="E55" s="49">
        <f>108127-3000</f>
        <v>105127</v>
      </c>
      <c r="F55" s="49">
        <f>112753-6000</f>
        <v>106753</v>
      </c>
      <c r="G55" s="49">
        <f>110515-2000</f>
        <v>108515</v>
      </c>
      <c r="H55" s="49">
        <f>114304-3000</f>
        <v>111304</v>
      </c>
      <c r="I55" s="43">
        <v>113651</v>
      </c>
      <c r="J55" s="43">
        <v>115636</v>
      </c>
      <c r="K55" s="43">
        <v>114504</v>
      </c>
      <c r="L55" s="44">
        <f t="shared" si="19"/>
        <v>984678</v>
      </c>
    </row>
    <row r="56" spans="1:13" s="43" customFormat="1" x14ac:dyDescent="0.35">
      <c r="A56" s="52" t="s">
        <v>66</v>
      </c>
      <c r="B56" s="43">
        <v>31</v>
      </c>
      <c r="C56" s="43">
        <v>30</v>
      </c>
      <c r="D56" s="43">
        <v>31</v>
      </c>
      <c r="E56" s="43">
        <v>31</v>
      </c>
      <c r="F56" s="43">
        <v>30</v>
      </c>
      <c r="G56" s="43">
        <v>31</v>
      </c>
      <c r="H56" s="43">
        <v>30</v>
      </c>
      <c r="I56" s="43">
        <v>31</v>
      </c>
      <c r="J56" s="43">
        <v>28</v>
      </c>
      <c r="K56" s="43">
        <v>31</v>
      </c>
      <c r="L56" s="44">
        <f t="shared" si="19"/>
        <v>273</v>
      </c>
    </row>
    <row r="57" spans="1:13" s="43" customFormat="1" x14ac:dyDescent="0.35">
      <c r="A57" s="52" t="s">
        <v>67</v>
      </c>
      <c r="C57" s="47">
        <f>C54/C56</f>
        <v>17853496.666666668</v>
      </c>
      <c r="D57" s="47">
        <f t="shared" ref="D57:I57" si="20">D54/D56</f>
        <v>17174996.129032258</v>
      </c>
      <c r="E57" s="47">
        <f t="shared" si="20"/>
        <v>17393916.129032258</v>
      </c>
      <c r="F57" s="47">
        <f t="shared" si="20"/>
        <v>17751761.386435084</v>
      </c>
      <c r="G57" s="47">
        <f t="shared" si="20"/>
        <v>18151027.069659021</v>
      </c>
      <c r="H57" s="47">
        <f t="shared" si="20"/>
        <v>18909998.665198527</v>
      </c>
      <c r="I57" s="47">
        <f t="shared" si="20"/>
        <v>20850302.490734845</v>
      </c>
      <c r="J57" s="47">
        <f>J54/J56</f>
        <v>21457485.769607443</v>
      </c>
      <c r="K57" s="47">
        <f>K54/K56</f>
        <v>19198963.43934606</v>
      </c>
      <c r="L57" s="44">
        <f t="shared" si="19"/>
        <v>168741947.74571216</v>
      </c>
    </row>
    <row r="58" spans="1:13" s="45" customFormat="1" ht="29" x14ac:dyDescent="0.35">
      <c r="A58" s="51" t="s">
        <v>69</v>
      </c>
      <c r="C58" s="46">
        <f>C57/C55</f>
        <v>170.98921270978391</v>
      </c>
      <c r="D58" s="46">
        <f t="shared" ref="D58:K58" si="21">D57/D55</f>
        <v>163.92265453621818</v>
      </c>
      <c r="E58" s="46">
        <f t="shared" si="21"/>
        <v>165.45622084747265</v>
      </c>
      <c r="F58" s="46">
        <f t="shared" si="21"/>
        <v>166.28817350739635</v>
      </c>
      <c r="G58" s="46">
        <f t="shared" si="21"/>
        <v>167.26744753867226</v>
      </c>
      <c r="H58" s="46">
        <f t="shared" si="21"/>
        <v>169.89505017967483</v>
      </c>
      <c r="I58" s="46">
        <f t="shared" si="21"/>
        <v>183.45903239509414</v>
      </c>
      <c r="J58" s="46">
        <f t="shared" si="21"/>
        <v>185.56060197176868</v>
      </c>
      <c r="K58" s="46">
        <f t="shared" si="21"/>
        <v>167.67067909720237</v>
      </c>
      <c r="L58" s="44">
        <f t="shared" si="19"/>
        <v>1540.5090727832833</v>
      </c>
    </row>
    <row r="59" spans="1:13" ht="29" x14ac:dyDescent="0.35">
      <c r="A59" s="53" t="s">
        <v>72</v>
      </c>
      <c r="C59" s="47">
        <f>C54/C55</f>
        <v>5129.6763812935169</v>
      </c>
      <c r="D59" s="47">
        <f t="shared" ref="D59:K59" si="22">D54/D55</f>
        <v>5081.6022906227627</v>
      </c>
      <c r="E59" s="47">
        <f t="shared" si="22"/>
        <v>5129.1428462716522</v>
      </c>
      <c r="F59" s="47">
        <f t="shared" si="22"/>
        <v>4988.645205221891</v>
      </c>
      <c r="G59" s="47">
        <f t="shared" si="22"/>
        <v>5185.2908736988402</v>
      </c>
      <c r="H59" s="47">
        <f t="shared" si="22"/>
        <v>5096.8515053902456</v>
      </c>
      <c r="I59" s="47">
        <f t="shared" si="22"/>
        <v>5687.2300042479192</v>
      </c>
      <c r="J59" s="47">
        <f t="shared" si="22"/>
        <v>5195.6968552095232</v>
      </c>
      <c r="K59" s="47">
        <f t="shared" si="22"/>
        <v>5197.7910520132737</v>
      </c>
      <c r="L59" s="44">
        <f t="shared" si="19"/>
        <v>46691.927013969616</v>
      </c>
    </row>
    <row r="60" spans="1:13" x14ac:dyDescent="0.35">
      <c r="A60" s="50"/>
    </row>
    <row r="61" spans="1:13" x14ac:dyDescent="0.35">
      <c r="A61" s="50" t="s">
        <v>84</v>
      </c>
      <c r="E61" s="43">
        <v>108127</v>
      </c>
      <c r="F61" s="43">
        <v>112753</v>
      </c>
      <c r="G61" s="43">
        <v>110515</v>
      </c>
      <c r="H61" s="43">
        <v>114304</v>
      </c>
      <c r="M61" s="43"/>
    </row>
    <row r="63" spans="1:13" x14ac:dyDescent="0.35">
      <c r="C63" s="28"/>
      <c r="D63" s="28"/>
      <c r="E63" s="28"/>
      <c r="F63" s="28"/>
      <c r="G63" s="28"/>
      <c r="H63" s="28"/>
      <c r="I63" s="28"/>
      <c r="J63" s="28"/>
      <c r="K63" s="28"/>
      <c r="L63" s="28"/>
    </row>
  </sheetData>
  <phoneticPr fontId="2" type="noConversion"/>
  <pageMargins left="0.7" right="0.7" top="0.75" bottom="0.75" header="0.3" footer="0.3"/>
  <pageSetup orientation="portrait" r:id="rId1"/>
  <ignoredErrors>
    <ignoredError sqref="C17:E17" formulaRange="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82FA0-844B-4C37-93D3-BD89D91BA297}">
  <sheetPr codeName="Sheet8"/>
  <dimension ref="A1:N51"/>
  <sheetViews>
    <sheetView showGridLines="0" zoomScale="80" zoomScaleNormal="80" zoomScaleSheetLayoutView="90" workbookViewId="0">
      <pane ySplit="1" topLeftCell="A2" activePane="bottomLeft" state="frozen"/>
      <selection pane="bottomLeft" activeCell="A25" sqref="A25"/>
    </sheetView>
  </sheetViews>
  <sheetFormatPr defaultColWidth="9.1796875" defaultRowHeight="14.5" x14ac:dyDescent="0.35"/>
  <cols>
    <col min="1" max="1" width="28.453125" bestFit="1" customWidth="1"/>
    <col min="2" max="2" width="16.26953125" bestFit="1" customWidth="1"/>
    <col min="3" max="13" width="12" bestFit="1" customWidth="1"/>
    <col min="14" max="14" width="13.54296875" bestFit="1" customWidth="1"/>
    <col min="15" max="15" width="12.7265625" bestFit="1" customWidth="1"/>
    <col min="16" max="23" width="11.1796875" bestFit="1" customWidth="1"/>
    <col min="24" max="24" width="12.7265625" bestFit="1" customWidth="1"/>
    <col min="25" max="25" width="10.1796875" bestFit="1" customWidth="1"/>
    <col min="26" max="26" width="12.7265625" bestFit="1" customWidth="1"/>
    <col min="27" max="27" width="7.54296875" bestFit="1" customWidth="1"/>
    <col min="28" max="28" width="9.7265625" bestFit="1" customWidth="1"/>
    <col min="29" max="29" width="9.81640625" bestFit="1" customWidth="1"/>
    <col min="30" max="30" width="9.1796875" bestFit="1" customWidth="1"/>
    <col min="31" max="31" width="9.7265625" bestFit="1" customWidth="1"/>
    <col min="32" max="32" width="7.54296875" bestFit="1" customWidth="1"/>
    <col min="33" max="33" width="6.54296875" bestFit="1" customWidth="1"/>
    <col min="34" max="34" width="9.1796875" bestFit="1" customWidth="1"/>
    <col min="35" max="35" width="9.7265625" bestFit="1" customWidth="1"/>
    <col min="36" max="36" width="9.1796875" bestFit="1" customWidth="1"/>
    <col min="37" max="37" width="9.7265625" bestFit="1" customWidth="1"/>
    <col min="38" max="38" width="9.81640625" bestFit="1" customWidth="1"/>
    <col min="39" max="39" width="9.1796875" bestFit="1" customWidth="1"/>
    <col min="40" max="40" width="9.7265625" bestFit="1" customWidth="1"/>
    <col min="41" max="43" width="9.1796875" bestFit="1" customWidth="1"/>
    <col min="44" max="44" width="9.7265625" bestFit="1" customWidth="1"/>
    <col min="45" max="45" width="9.1796875" bestFit="1" customWidth="1"/>
    <col min="46" max="46" width="7.54296875" bestFit="1" customWidth="1"/>
    <col min="47" max="47" width="9.7265625" bestFit="1" customWidth="1"/>
    <col min="48" max="49" width="7.54296875" bestFit="1" customWidth="1"/>
    <col min="50" max="50" width="9.1796875" bestFit="1" customWidth="1"/>
    <col min="51" max="51" width="9.7265625" bestFit="1" customWidth="1"/>
    <col min="52" max="52" width="10.1796875" bestFit="1" customWidth="1"/>
    <col min="53" max="53" width="9.1796875" bestFit="1" customWidth="1"/>
    <col min="54" max="54" width="9.7265625" bestFit="1" customWidth="1"/>
    <col min="55" max="56" width="7.54296875" bestFit="1" customWidth="1"/>
    <col min="57" max="57" width="9.7265625" bestFit="1" customWidth="1"/>
    <col min="58" max="58" width="7.54296875" bestFit="1" customWidth="1"/>
    <col min="59" max="59" width="9.1796875" bestFit="1" customWidth="1"/>
    <col min="60" max="60" width="9.7265625" bestFit="1" customWidth="1"/>
    <col min="61" max="61" width="6.7265625" bestFit="1" customWidth="1"/>
    <col min="62" max="62" width="9.7265625" bestFit="1" customWidth="1"/>
    <col min="63" max="63" width="9.81640625" bestFit="1" customWidth="1"/>
    <col min="64" max="64" width="7.54296875" bestFit="1" customWidth="1"/>
    <col min="65" max="66" width="9.1796875" bestFit="1" customWidth="1"/>
    <col min="67" max="67" width="9.7265625" bestFit="1" customWidth="1"/>
    <col min="68" max="68" width="7.54296875" bestFit="1" customWidth="1"/>
    <col min="69" max="69" width="9.7265625" bestFit="1" customWidth="1"/>
    <col min="70" max="71" width="7.54296875" bestFit="1" customWidth="1"/>
    <col min="72" max="72" width="9.7265625" bestFit="1" customWidth="1"/>
    <col min="73" max="73" width="9.81640625" bestFit="1" customWidth="1"/>
    <col min="74" max="74" width="9.1796875" bestFit="1" customWidth="1"/>
    <col min="75" max="75" width="10.1796875" bestFit="1" customWidth="1"/>
    <col min="76" max="76" width="9.1796875" bestFit="1" customWidth="1"/>
    <col min="77" max="77" width="10.1796875" bestFit="1" customWidth="1"/>
    <col min="78" max="78" width="7.54296875" bestFit="1" customWidth="1"/>
    <col min="79" max="80" width="9.1796875" bestFit="1" customWidth="1"/>
    <col min="81" max="81" width="9.7265625" bestFit="1" customWidth="1"/>
    <col min="82" max="82" width="7.54296875" bestFit="1" customWidth="1"/>
    <col min="83" max="83" width="9.7265625" bestFit="1" customWidth="1"/>
    <col min="84" max="84" width="10.1796875" bestFit="1" customWidth="1"/>
    <col min="85" max="86" width="7.54296875" bestFit="1" customWidth="1"/>
    <col min="87" max="87" width="9.1796875" bestFit="1" customWidth="1"/>
    <col min="88" max="88" width="9.7265625" bestFit="1" customWidth="1"/>
    <col min="89" max="89" width="6.7265625" bestFit="1" customWidth="1"/>
    <col min="90" max="90" width="7.54296875" bestFit="1" customWidth="1"/>
    <col min="91" max="91" width="9.7265625" bestFit="1" customWidth="1"/>
    <col min="92" max="92" width="7.54296875" bestFit="1" customWidth="1"/>
    <col min="93" max="93" width="9.7265625" bestFit="1" customWidth="1"/>
    <col min="94" max="94" width="9.81640625" bestFit="1" customWidth="1"/>
    <col min="95" max="95" width="7.54296875" bestFit="1" customWidth="1"/>
    <col min="96" max="96" width="9.7265625" bestFit="1" customWidth="1"/>
    <col min="97" max="97" width="9.81640625" bestFit="1" customWidth="1"/>
    <col min="98" max="98" width="12.7265625" bestFit="1" customWidth="1"/>
    <col min="99" max="116" width="10.7265625" bestFit="1" customWidth="1"/>
    <col min="117" max="117" width="12.7265625" bestFit="1" customWidth="1"/>
    <col min="118" max="121" width="9.7265625" bestFit="1" customWidth="1"/>
    <col min="122" max="124" width="10.7265625" bestFit="1" customWidth="1"/>
    <col min="125" max="128" width="9.7265625" bestFit="1" customWidth="1"/>
    <col min="129" max="129" width="10.7265625" bestFit="1" customWidth="1"/>
    <col min="130" max="137" width="9.7265625" bestFit="1" customWidth="1"/>
    <col min="138" max="140" width="10.7265625" bestFit="1" customWidth="1"/>
    <col min="141" max="145" width="9.7265625" bestFit="1" customWidth="1"/>
    <col min="146" max="146" width="10.7265625" bestFit="1" customWidth="1"/>
    <col min="147" max="150" width="9.7265625" bestFit="1" customWidth="1"/>
    <col min="151" max="152" width="10.7265625" bestFit="1" customWidth="1"/>
    <col min="153" max="160" width="9.7265625" bestFit="1" customWidth="1"/>
    <col min="161" max="161" width="10.7265625" bestFit="1" customWidth="1"/>
    <col min="162" max="166" width="9.7265625" bestFit="1" customWidth="1"/>
    <col min="167" max="167" width="10.7265625" bestFit="1" customWidth="1"/>
    <col min="168" max="168" width="9.7265625" bestFit="1" customWidth="1"/>
    <col min="169" max="169" width="12.7265625" bestFit="1" customWidth="1"/>
  </cols>
  <sheetData>
    <row r="1" spans="1:14" x14ac:dyDescent="0.35">
      <c r="B1" s="34">
        <v>44166</v>
      </c>
      <c r="C1" s="34">
        <v>44136</v>
      </c>
      <c r="D1" s="34">
        <v>44105</v>
      </c>
      <c r="E1" s="34">
        <v>44075</v>
      </c>
      <c r="F1" s="34">
        <v>44044</v>
      </c>
      <c r="G1" s="34">
        <v>44013</v>
      </c>
      <c r="H1" s="34">
        <v>43983</v>
      </c>
      <c r="I1" s="34">
        <v>43952</v>
      </c>
      <c r="J1" s="34">
        <v>43922</v>
      </c>
      <c r="K1" s="34">
        <v>43891</v>
      </c>
      <c r="L1" s="34">
        <v>43862</v>
      </c>
      <c r="M1" s="34">
        <v>43831</v>
      </c>
    </row>
    <row r="2" spans="1:14" x14ac:dyDescent="0.35">
      <c r="A2" t="s">
        <v>49</v>
      </c>
      <c r="B2" s="32">
        <f>B4+B8</f>
        <v>694342109.16720581</v>
      </c>
      <c r="C2" s="32">
        <f t="shared" ref="C2:M2" si="0">C4+C8</f>
        <v>538652944.91559243</v>
      </c>
      <c r="D2" s="32">
        <f t="shared" si="0"/>
        <v>531764246.06331354</v>
      </c>
      <c r="E2" s="32">
        <f t="shared" si="0"/>
        <v>488061922.60461652</v>
      </c>
      <c r="F2" s="32">
        <f t="shared" si="0"/>
        <v>480414149.35301101</v>
      </c>
      <c r="G2" s="32">
        <f t="shared" si="0"/>
        <v>502750844.44563484</v>
      </c>
      <c r="H2" s="32">
        <f t="shared" si="0"/>
        <v>470935146.90608752</v>
      </c>
      <c r="I2" s="32">
        <f t="shared" si="0"/>
        <v>453317941.87115389</v>
      </c>
      <c r="J2" s="32">
        <f t="shared" si="0"/>
        <v>445882276.98171294</v>
      </c>
      <c r="K2" s="32">
        <f t="shared" si="0"/>
        <v>540472076.8080883</v>
      </c>
      <c r="L2" s="32">
        <f t="shared" si="0"/>
        <v>471843566.30587929</v>
      </c>
      <c r="M2" s="32">
        <f t="shared" si="0"/>
        <v>485191712.4553569</v>
      </c>
      <c r="N2" s="28">
        <f>SUM(B2:M2)</f>
        <v>6103628937.8776531</v>
      </c>
    </row>
    <row r="4" spans="1:14" x14ac:dyDescent="0.35">
      <c r="A4" t="s">
        <v>50</v>
      </c>
      <c r="B4" s="32">
        <f>SUM(B5:B6)</f>
        <v>636789609.34439325</v>
      </c>
      <c r="C4" s="32">
        <f t="shared" ref="C4:M4" si="1">SUM(C5:C6)</f>
        <v>498062445.01090491</v>
      </c>
      <c r="D4" s="32">
        <f t="shared" si="1"/>
        <v>502739216.06275105</v>
      </c>
      <c r="E4" s="32">
        <f t="shared" si="1"/>
        <v>467373266.15617901</v>
      </c>
      <c r="F4" s="32">
        <f t="shared" si="1"/>
        <v>458535229.44538599</v>
      </c>
      <c r="G4" s="32">
        <f t="shared" si="1"/>
        <v>457652954.37457234</v>
      </c>
      <c r="H4" s="32">
        <f t="shared" si="1"/>
        <v>436256068.932275</v>
      </c>
      <c r="I4" s="32">
        <f t="shared" si="1"/>
        <v>439280742.04392862</v>
      </c>
      <c r="J4" s="32">
        <f t="shared" si="1"/>
        <v>423244207.12036681</v>
      </c>
      <c r="K4" s="32">
        <f t="shared" si="1"/>
        <v>475116058.45936024</v>
      </c>
      <c r="L4" s="32">
        <f t="shared" si="1"/>
        <v>411400668.73826391</v>
      </c>
      <c r="M4" s="32">
        <f t="shared" si="1"/>
        <v>443081612.18535691</v>
      </c>
    </row>
    <row r="5" spans="1:14" x14ac:dyDescent="0.35">
      <c r="A5" t="s">
        <v>51</v>
      </c>
      <c r="B5" s="35">
        <f t="shared" ref="B5:M5" si="2">B40/B47*(B45+1)</f>
        <v>604029822.65089321</v>
      </c>
      <c r="C5" s="35">
        <f t="shared" si="2"/>
        <v>476983365.0019049</v>
      </c>
      <c r="D5" s="35">
        <f t="shared" si="2"/>
        <v>485033056.00000107</v>
      </c>
      <c r="E5" s="35">
        <f t="shared" si="2"/>
        <v>454214716.003429</v>
      </c>
      <c r="F5" s="35">
        <f t="shared" si="2"/>
        <v>447034939.000386</v>
      </c>
      <c r="G5" s="35">
        <f t="shared" si="2"/>
        <v>449613076.00807232</v>
      </c>
      <c r="H5" s="35">
        <f t="shared" si="2"/>
        <v>428536068.65152502</v>
      </c>
      <c r="I5" s="35">
        <f t="shared" si="2"/>
        <v>432077791.87692863</v>
      </c>
      <c r="J5" s="35">
        <f t="shared" si="2"/>
        <v>419472756.99286681</v>
      </c>
      <c r="K5" s="35">
        <f t="shared" si="2"/>
        <v>473086008.56111026</v>
      </c>
      <c r="L5" s="35">
        <f t="shared" si="2"/>
        <v>409534061.99276388</v>
      </c>
      <c r="M5" s="35">
        <f t="shared" si="2"/>
        <v>441971662.21485692</v>
      </c>
    </row>
    <row r="6" spans="1:14" x14ac:dyDescent="0.35">
      <c r="A6" t="s">
        <v>52</v>
      </c>
      <c r="B6" s="36">
        <f t="shared" ref="B6:M6" si="3">B43*(1+B45)</f>
        <v>32759786.693499986</v>
      </c>
      <c r="C6" s="36">
        <f t="shared" si="3"/>
        <v>21079080.008999992</v>
      </c>
      <c r="D6" s="36">
        <f t="shared" si="3"/>
        <v>17706160.062749997</v>
      </c>
      <c r="E6" s="36">
        <f t="shared" si="3"/>
        <v>13158550.15275</v>
      </c>
      <c r="F6" s="36">
        <f t="shared" si="3"/>
        <v>11500290.444999993</v>
      </c>
      <c r="G6" s="36">
        <f t="shared" si="3"/>
        <v>8039878.3665000005</v>
      </c>
      <c r="H6" s="36">
        <f t="shared" si="3"/>
        <v>7720000.280749999</v>
      </c>
      <c r="I6" s="36">
        <f t="shared" si="3"/>
        <v>7202950.1669999994</v>
      </c>
      <c r="J6" s="36">
        <f t="shared" si="3"/>
        <v>3771450.127499999</v>
      </c>
      <c r="K6" s="36">
        <f t="shared" si="3"/>
        <v>2030049.8982499987</v>
      </c>
      <c r="L6" s="36">
        <f t="shared" si="3"/>
        <v>1866606.7455</v>
      </c>
      <c r="M6" s="36">
        <f t="shared" si="3"/>
        <v>1109949.9705000001</v>
      </c>
    </row>
    <row r="8" spans="1:14" x14ac:dyDescent="0.35">
      <c r="A8" t="s">
        <v>53</v>
      </c>
      <c r="B8" s="32">
        <f>SUM(B9:B10)</f>
        <v>57552499.822812505</v>
      </c>
      <c r="C8" s="32">
        <f t="shared" ref="C8:M8" si="4">SUM(C9:C10)</f>
        <v>40590499.904687501</v>
      </c>
      <c r="D8" s="32">
        <f t="shared" si="4"/>
        <v>29025030.000562496</v>
      </c>
      <c r="E8" s="32">
        <f t="shared" si="4"/>
        <v>20688656.448437482</v>
      </c>
      <c r="F8" s="32">
        <f t="shared" si="4"/>
        <v>21878919.907624997</v>
      </c>
      <c r="G8" s="32">
        <f t="shared" si="4"/>
        <v>45097890.071062505</v>
      </c>
      <c r="H8" s="32">
        <f t="shared" si="4"/>
        <v>34679077.973812498</v>
      </c>
      <c r="I8" s="32">
        <f t="shared" si="4"/>
        <v>14037199.827225273</v>
      </c>
      <c r="J8" s="32">
        <f t="shared" si="4"/>
        <v>22638069.861346155</v>
      </c>
      <c r="K8" s="32">
        <f t="shared" si="4"/>
        <v>65356018.348728031</v>
      </c>
      <c r="L8" s="32">
        <f t="shared" si="4"/>
        <v>60442897.567615375</v>
      </c>
      <c r="M8" s="32">
        <f t="shared" si="4"/>
        <v>42110100.270000003</v>
      </c>
    </row>
    <row r="9" spans="1:14" x14ac:dyDescent="0.35">
      <c r="A9" t="s">
        <v>54</v>
      </c>
      <c r="B9" s="35">
        <f t="shared" ref="B9:M9" si="5">B41/B46*(B45+1)</f>
        <v>39591999.995312497</v>
      </c>
      <c r="C9" s="35">
        <f t="shared" si="5"/>
        <v>26944499.999687497</v>
      </c>
      <c r="D9" s="35">
        <f t="shared" si="5"/>
        <v>19871530.001562499</v>
      </c>
      <c r="E9" s="35">
        <f t="shared" si="5"/>
        <v>4049907.4984374992</v>
      </c>
      <c r="F9" s="35">
        <f t="shared" si="5"/>
        <v>14802420.001874998</v>
      </c>
      <c r="G9" s="35">
        <f t="shared" si="5"/>
        <v>29996339.994062502</v>
      </c>
      <c r="H9" s="35">
        <f t="shared" si="5"/>
        <v>26268628.122812495</v>
      </c>
      <c r="I9" s="35">
        <f t="shared" si="5"/>
        <v>8050049.9997252738</v>
      </c>
      <c r="J9" s="35">
        <f t="shared" si="5"/>
        <v>20966520.003846154</v>
      </c>
      <c r="K9" s="35">
        <f t="shared" si="5"/>
        <v>58226519.99697803</v>
      </c>
      <c r="L9" s="35">
        <f t="shared" si="5"/>
        <v>52256853.484615378</v>
      </c>
      <c r="M9" s="35">
        <f t="shared" si="5"/>
        <v>37223550</v>
      </c>
    </row>
    <row r="10" spans="1:14" x14ac:dyDescent="0.35">
      <c r="A10" t="s">
        <v>55</v>
      </c>
      <c r="B10" s="36">
        <f t="shared" ref="B10:M10" si="6">B42*(1+B45)</f>
        <v>17960499.827500008</v>
      </c>
      <c r="C10" s="36">
        <f t="shared" si="6"/>
        <v>13645999.905000005</v>
      </c>
      <c r="D10" s="36">
        <f t="shared" si="6"/>
        <v>9153499.9989999998</v>
      </c>
      <c r="E10" s="36">
        <f t="shared" si="6"/>
        <v>16638748.949999982</v>
      </c>
      <c r="F10" s="36">
        <f t="shared" si="6"/>
        <v>7076499.9057499999</v>
      </c>
      <c r="G10" s="36">
        <f t="shared" si="6"/>
        <v>15101550.077</v>
      </c>
      <c r="H10" s="36">
        <f t="shared" si="6"/>
        <v>8410449.8510000017</v>
      </c>
      <c r="I10" s="36">
        <f t="shared" si="6"/>
        <v>5987149.8274999997</v>
      </c>
      <c r="J10" s="36">
        <f t="shared" si="6"/>
        <v>1671549.8574999999</v>
      </c>
      <c r="K10" s="36">
        <f t="shared" si="6"/>
        <v>7129498.3517500004</v>
      </c>
      <c r="L10" s="36">
        <f t="shared" si="6"/>
        <v>8186044.0829999996</v>
      </c>
      <c r="M10" s="36">
        <f t="shared" si="6"/>
        <v>4886550.2700000005</v>
      </c>
    </row>
    <row r="12" spans="1:14" x14ac:dyDescent="0.35">
      <c r="A12" t="s">
        <v>57</v>
      </c>
      <c r="B12" s="37">
        <v>8.0000000000000002E-3</v>
      </c>
      <c r="C12" s="37">
        <v>0.01</v>
      </c>
      <c r="D12" s="37">
        <v>0.01</v>
      </c>
      <c r="E12" s="37">
        <v>1.2999999999999999E-2</v>
      </c>
      <c r="F12" s="37">
        <v>1.0999999999999999E-2</v>
      </c>
      <c r="G12" s="37">
        <v>0.01</v>
      </c>
      <c r="H12" s="37">
        <v>1.6E-2</v>
      </c>
      <c r="I12" s="37">
        <v>1.2E-2</v>
      </c>
      <c r="J12" s="37">
        <v>1.2999999999999999E-2</v>
      </c>
      <c r="K12" s="37">
        <v>1.4999999999999999E-2</v>
      </c>
      <c r="L12" s="37">
        <v>1.0999999999999999E-2</v>
      </c>
      <c r="M12" s="37">
        <v>0.01</v>
      </c>
    </row>
    <row r="13" spans="1:14" x14ac:dyDescent="0.35">
      <c r="A13" t="s">
        <v>56</v>
      </c>
      <c r="B13" s="38">
        <v>110006</v>
      </c>
      <c r="C13" s="38">
        <v>107293</v>
      </c>
      <c r="D13" s="38">
        <v>106384</v>
      </c>
      <c r="E13" s="38">
        <v>103992</v>
      </c>
      <c r="F13" s="38">
        <v>102410</v>
      </c>
      <c r="G13" s="38">
        <v>100845</v>
      </c>
      <c r="H13" s="38">
        <v>101207</v>
      </c>
      <c r="I13" s="38">
        <v>99817</v>
      </c>
      <c r="J13" s="38">
        <v>99220</v>
      </c>
      <c r="K13" s="38">
        <v>97546</v>
      </c>
      <c r="L13" s="38">
        <v>96067</v>
      </c>
      <c r="M13" s="38">
        <v>94273</v>
      </c>
    </row>
    <row r="14" spans="1:14" x14ac:dyDescent="0.35">
      <c r="A14" t="s">
        <v>58</v>
      </c>
      <c r="B14" s="38">
        <v>114504</v>
      </c>
      <c r="C14" s="38">
        <v>110006</v>
      </c>
      <c r="D14" s="38">
        <v>107293</v>
      </c>
      <c r="E14" s="38">
        <v>105384</v>
      </c>
      <c r="F14" s="38">
        <v>103992</v>
      </c>
      <c r="G14" s="38">
        <v>102410</v>
      </c>
      <c r="H14" s="38">
        <v>100845</v>
      </c>
      <c r="I14" s="38">
        <v>101371</v>
      </c>
      <c r="J14" s="38">
        <v>99819</v>
      </c>
      <c r="K14" s="38">
        <v>99221</v>
      </c>
      <c r="L14" s="38">
        <v>97546</v>
      </c>
      <c r="M14" s="38">
        <v>96067</v>
      </c>
    </row>
    <row r="15" spans="1:14" x14ac:dyDescent="0.35">
      <c r="B15" s="38"/>
      <c r="C15" s="38"/>
      <c r="D15" s="38"/>
      <c r="E15" s="38"/>
      <c r="F15" s="38"/>
      <c r="G15" s="38"/>
      <c r="H15" s="38"/>
      <c r="I15" s="38"/>
      <c r="J15" s="38"/>
      <c r="K15" s="38"/>
      <c r="L15" s="38"/>
      <c r="M15" s="38"/>
    </row>
    <row r="16" spans="1:14" s="9" customFormat="1" x14ac:dyDescent="0.35">
      <c r="A16" s="9" t="s">
        <v>59</v>
      </c>
      <c r="B16" s="39">
        <v>5384</v>
      </c>
      <c r="C16" s="39">
        <v>3783</v>
      </c>
      <c r="D16" s="39">
        <v>2927</v>
      </c>
      <c r="E16" s="39">
        <v>2751</v>
      </c>
      <c r="F16" s="39">
        <v>2727</v>
      </c>
      <c r="G16" s="39">
        <v>2533</v>
      </c>
      <c r="H16" s="39">
        <v>2557</v>
      </c>
      <c r="I16" s="40">
        <v>2728</v>
      </c>
      <c r="J16" s="39">
        <v>1865</v>
      </c>
      <c r="K16" s="39">
        <v>3114</v>
      </c>
      <c r="L16" s="39">
        <v>2563</v>
      </c>
      <c r="M16" s="39">
        <v>2796</v>
      </c>
    </row>
    <row r="17" spans="1:13" x14ac:dyDescent="0.35">
      <c r="A17" t="s">
        <v>60</v>
      </c>
      <c r="B17" s="41">
        <v>3893</v>
      </c>
      <c r="C17" s="41">
        <v>2852</v>
      </c>
      <c r="D17" s="41">
        <v>2303</v>
      </c>
      <c r="E17" s="41">
        <v>2231</v>
      </c>
      <c r="F17" s="41">
        <v>2333</v>
      </c>
      <c r="G17" s="41">
        <v>2206</v>
      </c>
      <c r="H17" s="41">
        <v>2268</v>
      </c>
      <c r="I17" s="41">
        <v>2415</v>
      </c>
      <c r="J17" s="41">
        <v>1678</v>
      </c>
      <c r="K17" s="41">
        <v>2933</v>
      </c>
      <c r="L17" s="41">
        <v>2459</v>
      </c>
      <c r="M17" s="41">
        <v>2699</v>
      </c>
    </row>
    <row r="18" spans="1:13" x14ac:dyDescent="0.35">
      <c r="A18" t="s">
        <v>61</v>
      </c>
      <c r="B18" s="41">
        <v>1491</v>
      </c>
      <c r="C18" s="41">
        <v>931</v>
      </c>
      <c r="D18" s="41">
        <v>624</v>
      </c>
      <c r="E18" s="41">
        <v>520</v>
      </c>
      <c r="F18" s="41">
        <v>394</v>
      </c>
      <c r="G18" s="41">
        <v>327</v>
      </c>
      <c r="H18" s="41">
        <v>289</v>
      </c>
      <c r="I18" s="41">
        <v>323</v>
      </c>
      <c r="J18" s="41">
        <v>187</v>
      </c>
      <c r="K18" s="41">
        <v>181</v>
      </c>
      <c r="L18" s="41">
        <v>104</v>
      </c>
      <c r="M18" s="41">
        <v>97</v>
      </c>
    </row>
    <row r="19" spans="1:13" x14ac:dyDescent="0.35">
      <c r="B19" s="38"/>
      <c r="C19" s="38"/>
      <c r="D19" s="38"/>
      <c r="E19" s="38"/>
      <c r="F19" s="38"/>
      <c r="G19" s="38"/>
      <c r="H19" s="38"/>
      <c r="I19" s="38"/>
      <c r="J19" s="38"/>
      <c r="K19" s="38"/>
      <c r="L19" s="38"/>
      <c r="M19" s="38"/>
    </row>
    <row r="20" spans="1:13" x14ac:dyDescent="0.35">
      <c r="A20" s="50" t="s">
        <v>87</v>
      </c>
      <c r="B20" s="54">
        <f>B8/B16</f>
        <v>10689.543057728921</v>
      </c>
      <c r="C20" s="54">
        <f t="shared" ref="C20:M20" si="7">C8/C16</f>
        <v>10729.711843692176</v>
      </c>
      <c r="D20" s="54">
        <f t="shared" si="7"/>
        <v>9916.3067989622468</v>
      </c>
      <c r="E20" s="54">
        <f t="shared" si="7"/>
        <v>7520.4131037577181</v>
      </c>
      <c r="F20" s="55">
        <f t="shared" si="7"/>
        <v>8023.0729400898417</v>
      </c>
      <c r="G20" s="38">
        <f t="shared" si="7"/>
        <v>17804.141362440783</v>
      </c>
      <c r="H20" s="38">
        <f t="shared" si="7"/>
        <v>13562.408280724481</v>
      </c>
      <c r="I20" s="55">
        <f t="shared" si="7"/>
        <v>5145.6011096866841</v>
      </c>
      <c r="J20" s="55">
        <f t="shared" si="7"/>
        <v>12138.375260775418</v>
      </c>
      <c r="K20" s="38">
        <f t="shared" si="7"/>
        <v>20987.802937934499</v>
      </c>
      <c r="L20" s="38">
        <f t="shared" si="7"/>
        <v>23582.870685764876</v>
      </c>
      <c r="M20" s="38">
        <f t="shared" si="7"/>
        <v>15060.837006437769</v>
      </c>
    </row>
    <row r="21" spans="1:13" x14ac:dyDescent="0.35">
      <c r="B21" t="s">
        <v>88</v>
      </c>
    </row>
    <row r="22" spans="1:13" x14ac:dyDescent="0.35">
      <c r="A22" s="50" t="s">
        <v>35</v>
      </c>
    </row>
    <row r="23" spans="1:13" x14ac:dyDescent="0.35">
      <c r="A23" s="50" t="s">
        <v>62</v>
      </c>
      <c r="B23" s="38">
        <f>4965</f>
        <v>4965</v>
      </c>
    </row>
    <row r="24" spans="1:13" x14ac:dyDescent="0.35">
      <c r="A24" s="50" t="s">
        <v>63</v>
      </c>
      <c r="B24" s="42">
        <f>75%*7300+25%*5500</f>
        <v>6850</v>
      </c>
    </row>
    <row r="25" spans="1:13" x14ac:dyDescent="0.35">
      <c r="A25" s="50" t="s">
        <v>64</v>
      </c>
      <c r="B25" s="36">
        <f>B16*$B$24</f>
        <v>36880400</v>
      </c>
      <c r="C25" s="36">
        <f>C16*$B$24</f>
        <v>25913550</v>
      </c>
      <c r="D25" s="36">
        <f>D16*$B$24</f>
        <v>20049950</v>
      </c>
      <c r="E25" s="36">
        <f>E16*$B$24</f>
        <v>18844350</v>
      </c>
      <c r="F25" s="36">
        <f>F16*$B$23</f>
        <v>13539555</v>
      </c>
      <c r="G25" s="36">
        <f t="shared" ref="G25:L25" si="8">G16*$B$23</f>
        <v>12576345</v>
      </c>
      <c r="H25" s="36">
        <f t="shared" si="8"/>
        <v>12695505</v>
      </c>
      <c r="I25" s="36">
        <f t="shared" si="8"/>
        <v>13544520</v>
      </c>
      <c r="J25" s="36">
        <f t="shared" si="8"/>
        <v>9259725</v>
      </c>
      <c r="K25" s="36">
        <f>K16*$B$23</f>
        <v>15461010</v>
      </c>
      <c r="L25" s="36">
        <f t="shared" si="8"/>
        <v>12725295</v>
      </c>
      <c r="M25" s="36">
        <f>M16*$B$23</f>
        <v>13882140</v>
      </c>
    </row>
    <row r="26" spans="1:13" x14ac:dyDescent="0.35">
      <c r="A26" s="50"/>
    </row>
    <row r="27" spans="1:13" s="45" customFormat="1" ht="29" x14ac:dyDescent="0.35">
      <c r="A27" s="51" t="s">
        <v>68</v>
      </c>
      <c r="B27" s="44">
        <f>B4-B25</f>
        <v>599909209.34439325</v>
      </c>
      <c r="C27" s="44">
        <f t="shared" ref="C27:M27" si="9">C4-C25</f>
        <v>472148895.01090491</v>
      </c>
      <c r="D27" s="44">
        <f t="shared" si="9"/>
        <v>482689266.06275105</v>
      </c>
      <c r="E27" s="44">
        <f t="shared" si="9"/>
        <v>448528916.15617901</v>
      </c>
      <c r="F27" s="44">
        <f t="shared" si="9"/>
        <v>444995674.44538599</v>
      </c>
      <c r="G27" s="44">
        <f t="shared" si="9"/>
        <v>445076609.37457234</v>
      </c>
      <c r="H27" s="44">
        <f t="shared" si="9"/>
        <v>423560563.932275</v>
      </c>
      <c r="I27" s="44">
        <f t="shared" si="9"/>
        <v>425736222.04392862</v>
      </c>
      <c r="J27" s="44">
        <f t="shared" si="9"/>
        <v>413984482.12036681</v>
      </c>
      <c r="K27" s="44">
        <f t="shared" si="9"/>
        <v>459655048.45936024</v>
      </c>
      <c r="L27" s="44">
        <f t="shared" si="9"/>
        <v>398675373.73826391</v>
      </c>
      <c r="M27" s="44">
        <f t="shared" si="9"/>
        <v>429199472.18535691</v>
      </c>
    </row>
    <row r="28" spans="1:13" s="43" customFormat="1" x14ac:dyDescent="0.35">
      <c r="A28" s="52" t="s">
        <v>65</v>
      </c>
      <c r="B28" s="47">
        <f>B13</f>
        <v>110006</v>
      </c>
      <c r="C28" s="47">
        <f t="shared" ref="C28:M28" si="10">C13</f>
        <v>107293</v>
      </c>
      <c r="D28" s="47">
        <f t="shared" si="10"/>
        <v>106384</v>
      </c>
      <c r="E28" s="47">
        <f t="shared" si="10"/>
        <v>103992</v>
      </c>
      <c r="F28" s="47">
        <f t="shared" si="10"/>
        <v>102410</v>
      </c>
      <c r="G28" s="47">
        <f t="shared" si="10"/>
        <v>100845</v>
      </c>
      <c r="H28" s="47">
        <f t="shared" si="10"/>
        <v>101207</v>
      </c>
      <c r="I28" s="47">
        <f t="shared" si="10"/>
        <v>99817</v>
      </c>
      <c r="J28" s="47">
        <f t="shared" si="10"/>
        <v>99220</v>
      </c>
      <c r="K28" s="47">
        <f t="shared" si="10"/>
        <v>97546</v>
      </c>
      <c r="L28" s="47">
        <f t="shared" si="10"/>
        <v>96067</v>
      </c>
      <c r="M28" s="47">
        <f t="shared" si="10"/>
        <v>94273</v>
      </c>
    </row>
    <row r="29" spans="1:13" x14ac:dyDescent="0.35">
      <c r="A29" s="50" t="s">
        <v>66</v>
      </c>
      <c r="B29">
        <v>31</v>
      </c>
      <c r="C29">
        <v>30</v>
      </c>
      <c r="D29">
        <v>31</v>
      </c>
      <c r="E29">
        <v>30</v>
      </c>
      <c r="F29">
        <v>31</v>
      </c>
      <c r="G29">
        <v>31</v>
      </c>
      <c r="H29">
        <v>30</v>
      </c>
      <c r="I29">
        <v>31</v>
      </c>
      <c r="J29">
        <v>30</v>
      </c>
      <c r="K29">
        <v>31</v>
      </c>
      <c r="L29">
        <v>29</v>
      </c>
      <c r="M29">
        <v>31</v>
      </c>
    </row>
    <row r="30" spans="1:13" x14ac:dyDescent="0.35">
      <c r="A30" s="50" t="s">
        <v>71</v>
      </c>
      <c r="B30" s="47">
        <f>B27/B29</f>
        <v>19351909.978851397</v>
      </c>
      <c r="C30" s="47">
        <f t="shared" ref="C30:M30" si="11">C27/C29</f>
        <v>15738296.500363497</v>
      </c>
      <c r="D30" s="47">
        <f t="shared" si="11"/>
        <v>15570621.485895196</v>
      </c>
      <c r="E30" s="47">
        <f t="shared" si="11"/>
        <v>14950963.871872634</v>
      </c>
      <c r="F30" s="47">
        <f t="shared" si="11"/>
        <v>14354699.175657613</v>
      </c>
      <c r="G30" s="47">
        <f t="shared" si="11"/>
        <v>14357309.979824914</v>
      </c>
      <c r="H30" s="47">
        <f t="shared" si="11"/>
        <v>14118685.464409167</v>
      </c>
      <c r="I30" s="47">
        <f t="shared" si="11"/>
        <v>13733426.517546084</v>
      </c>
      <c r="J30" s="47">
        <f t="shared" si="11"/>
        <v>13799482.73734556</v>
      </c>
      <c r="K30" s="47">
        <f t="shared" si="11"/>
        <v>14827582.208366459</v>
      </c>
      <c r="L30" s="47">
        <f t="shared" si="11"/>
        <v>13747426.68062979</v>
      </c>
      <c r="M30" s="47">
        <f t="shared" si="11"/>
        <v>13845144.264043771</v>
      </c>
    </row>
    <row r="31" spans="1:13" s="43" customFormat="1" ht="29" x14ac:dyDescent="0.35">
      <c r="A31" s="56" t="s">
        <v>70</v>
      </c>
      <c r="B31" s="46">
        <f>B30/B28</f>
        <v>175.91685888816426</v>
      </c>
      <c r="C31" s="46">
        <f t="shared" ref="C31:M31" si="12">C30/C28</f>
        <v>146.6852124590001</v>
      </c>
      <c r="D31" s="46">
        <f t="shared" si="12"/>
        <v>146.36243688802071</v>
      </c>
      <c r="E31" s="46">
        <f t="shared" si="12"/>
        <v>143.77032725471798</v>
      </c>
      <c r="F31" s="46">
        <f t="shared" si="12"/>
        <v>140.16892076611282</v>
      </c>
      <c r="G31" s="46">
        <f t="shared" si="12"/>
        <v>142.37007268406876</v>
      </c>
      <c r="H31" s="46">
        <f t="shared" si="12"/>
        <v>139.50305279683388</v>
      </c>
      <c r="I31" s="46">
        <f t="shared" si="12"/>
        <v>137.58604764264689</v>
      </c>
      <c r="J31" s="46">
        <f t="shared" si="12"/>
        <v>139.07964863279136</v>
      </c>
      <c r="K31" s="46">
        <f t="shared" si="12"/>
        <v>152.00605056451786</v>
      </c>
      <c r="L31" s="46">
        <f t="shared" si="12"/>
        <v>143.10248764539114</v>
      </c>
      <c r="M31" s="46">
        <f t="shared" si="12"/>
        <v>146.86224331509308</v>
      </c>
    </row>
    <row r="32" spans="1:13" ht="29" x14ac:dyDescent="0.35">
      <c r="A32" s="53" t="s">
        <v>72</v>
      </c>
      <c r="B32" s="47">
        <f>B27/B28</f>
        <v>5453.4226255330914</v>
      </c>
      <c r="C32" s="47">
        <f t="shared" ref="C32:M32" si="13">C27/C28</f>
        <v>4400.5563737700031</v>
      </c>
      <c r="D32" s="47">
        <f t="shared" si="13"/>
        <v>4537.2355435286418</v>
      </c>
      <c r="E32" s="47">
        <f t="shared" si="13"/>
        <v>4313.1098176415398</v>
      </c>
      <c r="F32" s="47">
        <f t="shared" si="13"/>
        <v>4345.2365437494973</v>
      </c>
      <c r="G32" s="47">
        <f t="shared" si="13"/>
        <v>4413.4722532061314</v>
      </c>
      <c r="H32" s="47">
        <f t="shared" si="13"/>
        <v>4185.0915839050167</v>
      </c>
      <c r="I32" s="47">
        <f t="shared" si="13"/>
        <v>4265.1674769220535</v>
      </c>
      <c r="J32" s="47">
        <f t="shared" si="13"/>
        <v>4172.389458983741</v>
      </c>
      <c r="K32" s="47">
        <f t="shared" si="13"/>
        <v>4712.1875675000538</v>
      </c>
      <c r="L32" s="47">
        <f t="shared" si="13"/>
        <v>4149.9721417163428</v>
      </c>
      <c r="M32" s="47">
        <f t="shared" si="13"/>
        <v>4552.7295427678864</v>
      </c>
    </row>
    <row r="38" spans="1:14" x14ac:dyDescent="0.35">
      <c r="A38" s="33" t="s">
        <v>38</v>
      </c>
      <c r="B38" s="33" t="s">
        <v>39</v>
      </c>
    </row>
    <row r="39" spans="1:14" x14ac:dyDescent="0.35">
      <c r="A39" s="33" t="s">
        <v>40</v>
      </c>
      <c r="B39" s="26">
        <v>12</v>
      </c>
      <c r="C39" s="26">
        <v>11</v>
      </c>
      <c r="D39" s="26">
        <v>10</v>
      </c>
      <c r="E39" s="26">
        <v>9</v>
      </c>
      <c r="F39" s="26">
        <v>8</v>
      </c>
      <c r="G39" s="26">
        <v>7</v>
      </c>
      <c r="H39" s="26">
        <v>6</v>
      </c>
      <c r="I39" s="26">
        <v>5</v>
      </c>
      <c r="J39" s="26">
        <v>4</v>
      </c>
      <c r="K39" s="26">
        <v>3</v>
      </c>
      <c r="L39" s="26">
        <v>2</v>
      </c>
      <c r="M39" s="26">
        <v>1</v>
      </c>
      <c r="N39" s="26" t="s">
        <v>41</v>
      </c>
    </row>
    <row r="40" spans="1:14" x14ac:dyDescent="0.35">
      <c r="A40" s="27" t="s">
        <v>42</v>
      </c>
      <c r="B40" s="28">
        <v>379001691.69</v>
      </c>
      <c r="C40" s="28">
        <v>291340506.26999998</v>
      </c>
      <c r="D40" s="28">
        <v>294999638.83999997</v>
      </c>
      <c r="E40" s="28">
        <v>277351247.23000002</v>
      </c>
      <c r="F40" s="28">
        <v>270160361.70999998</v>
      </c>
      <c r="G40" s="28">
        <v>272045764.99000001</v>
      </c>
      <c r="H40" s="28">
        <v>259449991.66</v>
      </c>
      <c r="I40" s="28">
        <v>265953297.77999997</v>
      </c>
      <c r="J40" s="28">
        <v>259874668.47</v>
      </c>
      <c r="K40" s="28">
        <v>295392023.93000001</v>
      </c>
      <c r="L40" s="28">
        <v>263261742.75999999</v>
      </c>
      <c r="M40" s="28">
        <v>291395779.05000001</v>
      </c>
      <c r="N40" s="28">
        <v>3420226714.3800001</v>
      </c>
    </row>
    <row r="41" spans="1:14" x14ac:dyDescent="0.35">
      <c r="A41" s="27" t="s">
        <v>43</v>
      </c>
      <c r="B41" s="28">
        <v>29463813.949999999</v>
      </c>
      <c r="C41" s="28">
        <v>20051720.93</v>
      </c>
      <c r="D41" s="28">
        <v>14788115.35</v>
      </c>
      <c r="E41" s="28">
        <v>3013884.65</v>
      </c>
      <c r="F41" s="28">
        <v>11015754.42</v>
      </c>
      <c r="G41" s="28">
        <v>22322857.670000002</v>
      </c>
      <c r="H41" s="28">
        <v>19548746.509999998</v>
      </c>
      <c r="I41" s="28">
        <v>6814460.9299999997</v>
      </c>
      <c r="J41" s="28">
        <v>17748402.98</v>
      </c>
      <c r="K41" s="28">
        <v>49289426.230000004</v>
      </c>
      <c r="L41" s="28">
        <v>45289273.019999996</v>
      </c>
      <c r="M41" s="28">
        <v>32260410</v>
      </c>
      <c r="N41" s="28">
        <v>271606866.63999999</v>
      </c>
    </row>
    <row r="42" spans="1:14" x14ac:dyDescent="0.35">
      <c r="A42" s="27" t="s">
        <v>44</v>
      </c>
      <c r="B42" s="28">
        <v>16707441.700000007</v>
      </c>
      <c r="C42" s="28">
        <v>12693953.400000006</v>
      </c>
      <c r="D42" s="28">
        <v>8514883.7200000007</v>
      </c>
      <c r="E42" s="28">
        <v>15477905.999999985</v>
      </c>
      <c r="F42" s="28">
        <v>6582790.6100000003</v>
      </c>
      <c r="G42" s="28">
        <v>14047953.560000001</v>
      </c>
      <c r="H42" s="28">
        <v>7823674.2800000021</v>
      </c>
      <c r="I42" s="28">
        <v>5569441.7000000002</v>
      </c>
      <c r="J42" s="28">
        <v>1554930.1</v>
      </c>
      <c r="K42" s="28">
        <v>6632091.4900000002</v>
      </c>
      <c r="L42" s="28">
        <v>7796232.459999999</v>
      </c>
      <c r="M42" s="28">
        <v>4653857.4000000004</v>
      </c>
      <c r="N42" s="28">
        <v>108055156.41999999</v>
      </c>
    </row>
    <row r="43" spans="1:14" x14ac:dyDescent="0.35">
      <c r="A43" s="27" t="s">
        <v>45</v>
      </c>
      <c r="B43" s="28">
        <v>30474220.179999989</v>
      </c>
      <c r="C43" s="28">
        <v>19608446.519999992</v>
      </c>
      <c r="D43" s="28">
        <v>16470846.569999998</v>
      </c>
      <c r="E43" s="28">
        <v>12240511.770000001</v>
      </c>
      <c r="F43" s="28">
        <v>10697944.599999994</v>
      </c>
      <c r="G43" s="28">
        <v>7478956.620000001</v>
      </c>
      <c r="H43" s="28">
        <v>7181395.6099999994</v>
      </c>
      <c r="I43" s="28">
        <v>6700418.7599999998</v>
      </c>
      <c r="J43" s="28">
        <v>3508325.6999999993</v>
      </c>
      <c r="K43" s="28">
        <v>1888418.5099999988</v>
      </c>
      <c r="L43" s="28">
        <v>1777720.71</v>
      </c>
      <c r="M43" s="28">
        <v>1057095.21</v>
      </c>
      <c r="N43" s="28">
        <v>119084300.75999998</v>
      </c>
    </row>
    <row r="44" spans="1:14" x14ac:dyDescent="0.35">
      <c r="A44" s="27" t="s">
        <v>41</v>
      </c>
      <c r="B44" s="28">
        <v>455647167.51999998</v>
      </c>
      <c r="C44" s="28">
        <v>343694627.12</v>
      </c>
      <c r="D44" s="28">
        <v>334773484.48000002</v>
      </c>
      <c r="E44" s="28">
        <v>308083549.64999998</v>
      </c>
      <c r="F44" s="28">
        <v>298456851.34000003</v>
      </c>
      <c r="G44" s="28">
        <v>315895532.84000003</v>
      </c>
      <c r="H44" s="28">
        <v>294003808.06000006</v>
      </c>
      <c r="I44" s="28">
        <v>285037619.16999996</v>
      </c>
      <c r="J44" s="28">
        <v>282686327.25</v>
      </c>
      <c r="K44" s="28">
        <v>353201960.16000003</v>
      </c>
      <c r="L44" s="28">
        <v>318124968.94999993</v>
      </c>
      <c r="M44" s="28">
        <v>329367141.65999997</v>
      </c>
      <c r="N44" s="28">
        <v>3918973038.1999998</v>
      </c>
    </row>
    <row r="45" spans="1:14" x14ac:dyDescent="0.35">
      <c r="A45" s="27" t="s">
        <v>46</v>
      </c>
      <c r="B45" s="29">
        <v>7.4999999999999997E-2</v>
      </c>
      <c r="C45" s="29">
        <v>7.4999999999999997E-2</v>
      </c>
      <c r="D45" s="29">
        <v>7.4999999999999997E-2</v>
      </c>
      <c r="E45" s="29">
        <v>7.4999999999999997E-2</v>
      </c>
      <c r="F45" s="29">
        <v>7.4999999999999997E-2</v>
      </c>
      <c r="G45" s="29">
        <v>7.4999999999999997E-2</v>
      </c>
      <c r="H45" s="29">
        <v>7.4999999999999997E-2</v>
      </c>
      <c r="I45" s="29">
        <v>7.4999999999999997E-2</v>
      </c>
      <c r="J45" s="29">
        <v>7.4999999999999997E-2</v>
      </c>
      <c r="K45" s="29">
        <v>7.4999999999999997E-2</v>
      </c>
      <c r="L45" s="29">
        <v>0.05</v>
      </c>
      <c r="M45" s="29">
        <v>0.05</v>
      </c>
    </row>
    <row r="46" spans="1:14" x14ac:dyDescent="0.35">
      <c r="A46" s="27" t="s">
        <v>47</v>
      </c>
      <c r="B46" s="30">
        <v>0.8</v>
      </c>
      <c r="C46" s="30">
        <v>0.8</v>
      </c>
      <c r="D46" s="30">
        <v>0.8</v>
      </c>
      <c r="E46" s="30">
        <v>0.8</v>
      </c>
      <c r="F46" s="30">
        <v>0.8</v>
      </c>
      <c r="G46" s="30">
        <v>0.8</v>
      </c>
      <c r="H46" s="30">
        <v>0.8</v>
      </c>
      <c r="I46" s="30">
        <v>0.91</v>
      </c>
      <c r="J46" s="30">
        <v>0.91</v>
      </c>
      <c r="K46" s="30">
        <v>0.91</v>
      </c>
      <c r="L46" s="30">
        <v>0.91</v>
      </c>
      <c r="M46" s="30">
        <v>0.91</v>
      </c>
    </row>
    <row r="47" spans="1:14" x14ac:dyDescent="0.35">
      <c r="A47" s="27" t="s">
        <v>48</v>
      </c>
      <c r="B47" s="31">
        <v>0.67451440854142641</v>
      </c>
      <c r="C47" s="31">
        <v>0.65660789708882028</v>
      </c>
      <c r="D47" s="31">
        <v>0.65382061661586888</v>
      </c>
      <c r="E47" s="31">
        <v>0.65641332230635863</v>
      </c>
      <c r="F47" s="31">
        <v>0.64966373654744514</v>
      </c>
      <c r="G47" s="31">
        <v>0.6504463792752313</v>
      </c>
      <c r="H47" s="31">
        <v>0.65084076099391697</v>
      </c>
      <c r="I47" s="31">
        <v>0.66168592898876533</v>
      </c>
      <c r="J47" s="31">
        <v>0.66599144747319228</v>
      </c>
      <c r="K47" s="31">
        <v>0.67122345615455115</v>
      </c>
      <c r="L47" s="31">
        <v>0.67497396566462931</v>
      </c>
      <c r="M47" s="31">
        <v>0.69227417538312697</v>
      </c>
    </row>
    <row r="48" spans="1:14" x14ac:dyDescent="0.35">
      <c r="B48" s="31"/>
      <c r="C48" s="31"/>
      <c r="D48" s="31"/>
      <c r="E48" s="31"/>
      <c r="F48" s="31"/>
      <c r="G48" s="31"/>
      <c r="H48" s="31"/>
      <c r="I48" s="31"/>
      <c r="J48" s="31"/>
      <c r="K48" s="31"/>
      <c r="L48" s="31"/>
      <c r="M48" s="31"/>
    </row>
    <row r="49" spans="2:13" x14ac:dyDescent="0.35">
      <c r="B49" s="31"/>
      <c r="C49" s="31"/>
      <c r="D49" s="31"/>
      <c r="E49" s="31"/>
      <c r="F49" s="31"/>
      <c r="G49" s="31"/>
      <c r="H49" s="31"/>
      <c r="I49" s="31"/>
      <c r="J49" s="31"/>
      <c r="K49" s="31"/>
      <c r="L49" s="31"/>
      <c r="M49" s="31"/>
    </row>
    <row r="50" spans="2:13" x14ac:dyDescent="0.35">
      <c r="B50" s="31"/>
      <c r="C50" s="31"/>
      <c r="D50" s="31"/>
      <c r="E50" s="31"/>
      <c r="F50" s="31"/>
      <c r="G50" s="31"/>
      <c r="H50" s="31"/>
      <c r="I50" s="31"/>
      <c r="J50" s="31"/>
      <c r="K50" s="31"/>
      <c r="L50" s="31"/>
      <c r="M50" s="31"/>
    </row>
    <row r="51" spans="2:13" x14ac:dyDescent="0.35">
      <c r="B51" s="31"/>
      <c r="C51" s="31"/>
      <c r="D51" s="31"/>
      <c r="E51" s="31"/>
      <c r="F51" s="31"/>
      <c r="G51" s="31"/>
      <c r="H51" s="31"/>
      <c r="I51" s="31"/>
      <c r="J51" s="31"/>
      <c r="K51" s="31"/>
      <c r="L51" s="31"/>
      <c r="M51" s="31"/>
    </row>
  </sheetData>
  <sortState xmlns:xlrd2="http://schemas.microsoft.com/office/spreadsheetml/2017/richdata2" columnSort="1" ref="B1:M1">
    <sortCondition descending="1" ref="B1:M1"/>
  </sortState>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FC53-8578-4F21-8759-CB20CAD8207D}">
  <sheetPr codeName="Sheet9"/>
  <dimension ref="A1:N20"/>
  <sheetViews>
    <sheetView zoomScale="80" zoomScaleNormal="80" workbookViewId="0">
      <selection activeCell="N19" sqref="N19:N20"/>
    </sheetView>
  </sheetViews>
  <sheetFormatPr defaultRowHeight="14.5" x14ac:dyDescent="0.35"/>
  <cols>
    <col min="1" max="1" width="19.54296875" customWidth="1"/>
  </cols>
  <sheetData>
    <row r="1" spans="1:13" x14ac:dyDescent="0.35">
      <c r="A1" s="9" t="s">
        <v>85</v>
      </c>
    </row>
    <row r="3" spans="1:13" x14ac:dyDescent="0.35">
      <c r="A3" s="9" t="s">
        <v>70</v>
      </c>
    </row>
    <row r="4" spans="1:13" x14ac:dyDescent="0.35">
      <c r="B4" s="48" t="s">
        <v>73</v>
      </c>
      <c r="C4" s="48" t="s">
        <v>74</v>
      </c>
      <c r="D4" s="48" t="s">
        <v>75</v>
      </c>
      <c r="E4" s="48" t="s">
        <v>76</v>
      </c>
      <c r="F4" s="48" t="s">
        <v>15</v>
      </c>
      <c r="G4" s="48" t="s">
        <v>77</v>
      </c>
      <c r="H4" s="48" t="s">
        <v>78</v>
      </c>
      <c r="I4" s="48" t="s">
        <v>79</v>
      </c>
      <c r="J4" s="48" t="s">
        <v>80</v>
      </c>
      <c r="K4" s="48" t="s">
        <v>81</v>
      </c>
      <c r="L4" s="48" t="s">
        <v>82</v>
      </c>
      <c r="M4" s="48" t="s">
        <v>83</v>
      </c>
    </row>
    <row r="5" spans="1:13" x14ac:dyDescent="0.35">
      <c r="A5" s="27">
        <v>2020</v>
      </c>
      <c r="B5" s="26">
        <f>'2020'!M31</f>
        <v>146.86224331509308</v>
      </c>
      <c r="C5" s="26">
        <f>'2020'!L31</f>
        <v>143.10248764539114</v>
      </c>
      <c r="D5" s="26">
        <f>'2020'!K31</f>
        <v>152.00605056451786</v>
      </c>
      <c r="E5" s="26">
        <f>'2020'!J31</f>
        <v>139.07964863279136</v>
      </c>
      <c r="F5" s="26">
        <f>'2020'!I31</f>
        <v>137.58604764264689</v>
      </c>
      <c r="G5" s="26">
        <f>'2020'!H31</f>
        <v>139.50305279683388</v>
      </c>
      <c r="H5" s="26">
        <f>'2020'!G31</f>
        <v>142.37007268406876</v>
      </c>
      <c r="I5" s="26">
        <f>'2020'!F31</f>
        <v>140.16892076611282</v>
      </c>
      <c r="J5" s="26">
        <f>'2020'!E31</f>
        <v>143.77032725471798</v>
      </c>
      <c r="K5" s="26">
        <f>'2020'!D31</f>
        <v>146.36243688802071</v>
      </c>
      <c r="L5" s="26">
        <f>'2020'!C31</f>
        <v>146.6852124590001</v>
      </c>
      <c r="M5" s="26">
        <f>'2020'!B31</f>
        <v>175.91685888816426</v>
      </c>
    </row>
    <row r="6" spans="1:13" x14ac:dyDescent="0.35">
      <c r="A6" s="27">
        <v>2021</v>
      </c>
      <c r="B6" s="26">
        <f>Revenue_NG!K58</f>
        <v>167.67067909720237</v>
      </c>
      <c r="C6" s="26">
        <f>Revenue_NG!J58</f>
        <v>185.56060197176868</v>
      </c>
      <c r="D6" s="26">
        <f>Revenue_NG!I58</f>
        <v>183.45903239509414</v>
      </c>
      <c r="E6" s="26">
        <f>Revenue_NG!H58</f>
        <v>169.89505017967483</v>
      </c>
      <c r="F6" s="26">
        <f>Revenue_NG!G58</f>
        <v>167.26744753867226</v>
      </c>
      <c r="G6" s="26">
        <f>Revenue_NG!F58</f>
        <v>166.28817350739635</v>
      </c>
      <c r="H6" s="26">
        <f>Revenue_NG!E58</f>
        <v>165.45622084747265</v>
      </c>
      <c r="I6" s="26">
        <f>Revenue_NG!D58</f>
        <v>163.92265453621818</v>
      </c>
      <c r="J6" s="26">
        <f>Revenue_NG!C58</f>
        <v>170.98921270978391</v>
      </c>
    </row>
    <row r="7" spans="1:13" x14ac:dyDescent="0.35">
      <c r="A7" t="s">
        <v>95</v>
      </c>
    </row>
    <row r="8" spans="1:13" x14ac:dyDescent="0.35">
      <c r="A8" t="s">
        <v>89</v>
      </c>
    </row>
    <row r="17" spans="1:14" x14ac:dyDescent="0.35">
      <c r="A17" t="s">
        <v>86</v>
      </c>
    </row>
    <row r="18" spans="1:14" x14ac:dyDescent="0.35">
      <c r="B18" s="48" t="s">
        <v>73</v>
      </c>
      <c r="C18" s="48" t="s">
        <v>74</v>
      </c>
      <c r="D18" s="48" t="s">
        <v>75</v>
      </c>
      <c r="E18" s="48" t="s">
        <v>76</v>
      </c>
      <c r="F18" s="48" t="s">
        <v>15</v>
      </c>
      <c r="G18" s="48" t="s">
        <v>77</v>
      </c>
      <c r="H18" s="48" t="s">
        <v>78</v>
      </c>
      <c r="I18" s="48" t="s">
        <v>79</v>
      </c>
      <c r="J18" s="48" t="s">
        <v>80</v>
      </c>
      <c r="K18" s="48" t="s">
        <v>81</v>
      </c>
      <c r="L18" s="48" t="s">
        <v>82</v>
      </c>
      <c r="M18" s="48" t="s">
        <v>83</v>
      </c>
    </row>
    <row r="19" spans="1:14" x14ac:dyDescent="0.35">
      <c r="A19" s="27">
        <v>2020</v>
      </c>
      <c r="B19" s="26">
        <f>'2020'!M2/1000000</f>
        <v>485.19171245535688</v>
      </c>
      <c r="C19" s="26">
        <f>'2020'!L2/1000000</f>
        <v>471.84356630587928</v>
      </c>
      <c r="D19" s="26">
        <f>'2020'!K2/1000000</f>
        <v>540.47207680808833</v>
      </c>
      <c r="E19" s="26">
        <f>'2020'!J2/1000000</f>
        <v>445.88227698171295</v>
      </c>
      <c r="F19" s="26">
        <f>'2020'!I2/1000000</f>
        <v>453.31794187115389</v>
      </c>
      <c r="G19" s="26">
        <f>'2020'!H2/1000000</f>
        <v>470.93514690608754</v>
      </c>
      <c r="H19" s="26">
        <f>'2020'!G2/1000000</f>
        <v>502.75084444563487</v>
      </c>
      <c r="I19" s="26">
        <f>'2020'!F2/1000000</f>
        <v>480.414149353011</v>
      </c>
      <c r="J19" s="26">
        <f>'2020'!E2/1000000</f>
        <v>488.06192260461654</v>
      </c>
      <c r="K19" s="26">
        <f>'2020'!D2/1000000</f>
        <v>531.76424606331352</v>
      </c>
      <c r="L19" s="26">
        <f>'2020'!C2/1000000</f>
        <v>538.65294491559246</v>
      </c>
      <c r="M19" s="26">
        <f>'2020'!B2/1000000</f>
        <v>694.34210916720576</v>
      </c>
      <c r="N19" s="115">
        <f>SUM(B19:M19)</f>
        <v>6103.6289378776528</v>
      </c>
    </row>
    <row r="20" spans="1:14" x14ac:dyDescent="0.35">
      <c r="A20" s="27">
        <v>2021</v>
      </c>
      <c r="B20" s="26">
        <f>Revenue_NG!K28/1000000</f>
        <v>623.80098099999998</v>
      </c>
      <c r="C20" s="26">
        <f>Revenue_NG!J28/1000000</f>
        <v>633.41875000000005</v>
      </c>
      <c r="D20" s="26">
        <f>Revenue_NG!I28/1000000</f>
        <v>684.76355000000001</v>
      </c>
      <c r="E20" s="26">
        <f>Revenue_NG!H28/1000000</f>
        <v>575.19055000000003</v>
      </c>
      <c r="F20" s="26">
        <f>Revenue_NG!G28/1000000</f>
        <v>567.75689999999997</v>
      </c>
      <c r="G20" s="26">
        <f>Revenue_NG!F28/1000000</f>
        <v>537.44140000000004</v>
      </c>
      <c r="H20" s="26">
        <f>Revenue_NG!E28/1000000</f>
        <v>540.02890000000002</v>
      </c>
      <c r="I20" s="26">
        <f>Revenue_NG!D28/1000000</f>
        <v>535.95737999999994</v>
      </c>
      <c r="J20" s="26">
        <f>Revenue_NG!C28/1000000</f>
        <v>539.49739999999997</v>
      </c>
      <c r="K20" s="26"/>
      <c r="L20" s="26"/>
      <c r="M20" s="26"/>
      <c r="N20" s="115">
        <f>SUM(B20:M20)</f>
        <v>5237.8558110000004</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Revenue_NG_LK_2023</vt:lpstr>
      <vt:lpstr>Graph LK</vt:lpstr>
      <vt:lpstr>Revenue_NG_LK_2022</vt:lpstr>
      <vt:lpstr>Revenue_NG_LK_2021</vt:lpstr>
      <vt:lpstr>Repayment_weekly</vt:lpstr>
      <vt:lpstr>2020_LK</vt:lpstr>
      <vt:lpstr>Revenue_NG</vt:lpstr>
      <vt:lpstr>2020</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Alistair</dc:creator>
  <cp:lastModifiedBy>Musa Wasiu</cp:lastModifiedBy>
  <dcterms:created xsi:type="dcterms:W3CDTF">2021-09-15T18:35:50Z</dcterms:created>
  <dcterms:modified xsi:type="dcterms:W3CDTF">2023-06-06T16:07:12Z</dcterms:modified>
</cp:coreProperties>
</file>