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usa.wasiu\Downloads\"/>
    </mc:Choice>
  </mc:AlternateContent>
  <xr:revisionPtr revIDLastSave="0" documentId="13_ncr:1_{98AAD7FA-8170-445B-8E48-2783448AAD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ary computation" sheetId="1" r:id="rId1"/>
    <sheet name="Salary computation Old" sheetId="2" r:id="rId2"/>
    <sheet name="Salary computation (2)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AfHOE4Y59qbjBjeodH6na/aTnJw=="/>
    </ext>
  </extLst>
</workbook>
</file>

<file path=xl/calcChain.xml><?xml version="1.0" encoding="utf-8"?>
<calcChain xmlns="http://schemas.openxmlformats.org/spreadsheetml/2006/main">
  <c r="F26" i="3" l="1"/>
  <c r="F25" i="3"/>
  <c r="D19" i="3"/>
  <c r="C19" i="3"/>
  <c r="C27" i="3" s="1"/>
  <c r="D27" i="3" s="1"/>
  <c r="I14" i="3"/>
  <c r="J14" i="3" s="1"/>
  <c r="D12" i="3"/>
  <c r="C12" i="3"/>
  <c r="D11" i="3"/>
  <c r="C11" i="3"/>
  <c r="D10" i="3"/>
  <c r="C9" i="3"/>
  <c r="D9" i="3" s="1"/>
  <c r="D8" i="3"/>
  <c r="C8" i="3"/>
  <c r="L6" i="3"/>
  <c r="L7" i="3" s="1"/>
  <c r="C6" i="3"/>
  <c r="D6" i="3" s="1"/>
  <c r="F4" i="3"/>
  <c r="D3" i="3"/>
  <c r="C3" i="3"/>
  <c r="E1" i="3"/>
  <c r="C7" i="3" s="1"/>
  <c r="F26" i="2"/>
  <c r="F25" i="2"/>
  <c r="I14" i="2"/>
  <c r="C11" i="2"/>
  <c r="D11" i="2" s="1"/>
  <c r="C10" i="2"/>
  <c r="D10" i="2" s="1"/>
  <c r="C9" i="2"/>
  <c r="D9" i="2" s="1"/>
  <c r="C8" i="2"/>
  <c r="D8" i="2" s="1"/>
  <c r="L6" i="2"/>
  <c r="L7" i="2" s="1"/>
  <c r="C6" i="2"/>
  <c r="C18" i="2" s="1"/>
  <c r="F4" i="2"/>
  <c r="C3" i="2"/>
  <c r="E1" i="2"/>
  <c r="C7" i="2" s="1"/>
  <c r="D7" i="2" s="1"/>
  <c r="I14" i="1"/>
  <c r="C11" i="1"/>
  <c r="D11" i="1" s="1"/>
  <c r="C10" i="1"/>
  <c r="D10" i="1" s="1"/>
  <c r="C9" i="1"/>
  <c r="D9" i="1" s="1"/>
  <c r="C8" i="1"/>
  <c r="D8" i="1" s="1"/>
  <c r="C7" i="1"/>
  <c r="D7" i="1" s="1"/>
  <c r="L6" i="1"/>
  <c r="L7" i="1" s="1"/>
  <c r="C6" i="1"/>
  <c r="D6" i="1" s="1"/>
  <c r="C3" i="1"/>
  <c r="C19" i="1" s="1"/>
  <c r="F1" i="1"/>
  <c r="D3" i="1" l="1"/>
  <c r="J14" i="1"/>
  <c r="D18" i="2"/>
  <c r="C26" i="2"/>
  <c r="D26" i="2" s="1"/>
  <c r="C27" i="1"/>
  <c r="D27" i="1" s="1"/>
  <c r="D19" i="1"/>
  <c r="C16" i="3"/>
  <c r="D7" i="3"/>
  <c r="D6" i="2"/>
  <c r="D3" i="2"/>
  <c r="C19" i="2"/>
  <c r="C16" i="1"/>
  <c r="C18" i="1"/>
  <c r="C16" i="2"/>
  <c r="C18" i="3"/>
  <c r="C26" i="3" l="1"/>
  <c r="D26" i="3" s="1"/>
  <c r="D18" i="3"/>
  <c r="D16" i="3"/>
  <c r="C22" i="3"/>
  <c r="D22" i="3" s="1"/>
  <c r="I2" i="3" s="1"/>
  <c r="I4" i="3" s="1"/>
  <c r="D16" i="2"/>
  <c r="I2" i="2" s="1"/>
  <c r="I4" i="2" s="1"/>
  <c r="C22" i="2"/>
  <c r="D22" i="2" s="1"/>
  <c r="D16" i="1"/>
  <c r="C22" i="1"/>
  <c r="D22" i="1" s="1"/>
  <c r="I2" i="1" s="1"/>
  <c r="I4" i="1" s="1"/>
  <c r="C27" i="2"/>
  <c r="D27" i="2" s="1"/>
  <c r="D19" i="2"/>
  <c r="J14" i="2"/>
  <c r="C26" i="1"/>
  <c r="D26" i="1" s="1"/>
  <c r="D18" i="1"/>
  <c r="I1" i="3" l="1"/>
  <c r="I6" i="3" s="1"/>
  <c r="I1" i="2"/>
  <c r="I6" i="2" s="1"/>
  <c r="I1" i="1"/>
  <c r="I6" i="1" s="1"/>
  <c r="N7" i="1" l="1"/>
  <c r="N5" i="1"/>
  <c r="N6" i="1"/>
  <c r="N3" i="1"/>
  <c r="N2" i="1"/>
  <c r="N4" i="1"/>
  <c r="N5" i="2"/>
  <c r="N6" i="2"/>
  <c r="N3" i="2"/>
  <c r="N4" i="2"/>
  <c r="N7" i="2"/>
  <c r="N2" i="2"/>
  <c r="N3" i="3"/>
  <c r="N4" i="3"/>
  <c r="N6" i="3"/>
  <c r="N7" i="3"/>
  <c r="N2" i="3"/>
  <c r="N5" i="3"/>
  <c r="N9" i="1" l="1"/>
  <c r="N9" i="2"/>
  <c r="N9" i="3"/>
  <c r="I8" i="3" l="1"/>
  <c r="M9" i="3"/>
  <c r="I8" i="2"/>
  <c r="M9" i="2"/>
  <c r="I8" i="1"/>
  <c r="M9" i="1"/>
  <c r="C25" i="1" l="1"/>
  <c r="C29" i="1" s="1"/>
  <c r="C31" i="1" s="1"/>
  <c r="D25" i="1"/>
  <c r="D29" i="1" s="1"/>
  <c r="D31" i="1" s="1"/>
  <c r="D25" i="2"/>
  <c r="D29" i="2" s="1"/>
  <c r="D31" i="2" s="1"/>
  <c r="C25" i="2"/>
  <c r="C29" i="2" s="1"/>
  <c r="C31" i="2" s="1"/>
  <c r="D25" i="3"/>
  <c r="D29" i="3" s="1"/>
  <c r="D31" i="3" s="1"/>
  <c r="C25" i="3"/>
  <c r="C29" i="3" s="1"/>
  <c r="C31" i="3" s="1"/>
  <c r="E31" i="3" s="1"/>
  <c r="F31" i="3" s="1"/>
  <c r="C32" i="1" l="1"/>
  <c r="D32" i="1" s="1"/>
  <c r="C33" i="1" l="1"/>
  <c r="D33" i="1" s="1"/>
</calcChain>
</file>

<file path=xl/sharedStrings.xml><?xml version="1.0" encoding="utf-8"?>
<sst xmlns="http://schemas.openxmlformats.org/spreadsheetml/2006/main" count="87" uniqueCount="26">
  <si>
    <t>MONTH</t>
  </si>
  <si>
    <t>YEAR</t>
  </si>
  <si>
    <t>Actual Gross</t>
  </si>
  <si>
    <t>TAX</t>
  </si>
  <si>
    <t>Gross for CRA</t>
  </si>
  <si>
    <t xml:space="preserve"> BASIC PAY</t>
  </si>
  <si>
    <t>RELIEFS</t>
  </si>
  <si>
    <t>Allowances</t>
  </si>
  <si>
    <t>HOUSING</t>
  </si>
  <si>
    <t>TAXABLE</t>
  </si>
  <si>
    <t>MEAL</t>
  </si>
  <si>
    <t>TRANSPORT</t>
  </si>
  <si>
    <t>utility</t>
  </si>
  <si>
    <t>Leave</t>
  </si>
  <si>
    <t>Enterntainment</t>
  </si>
  <si>
    <t>OTHER ALLOWANCES</t>
  </si>
  <si>
    <t>NHF</t>
  </si>
  <si>
    <t>Total Allowance</t>
  </si>
  <si>
    <t>Life aasurance</t>
  </si>
  <si>
    <t>Pension</t>
  </si>
  <si>
    <t>Gross pay</t>
  </si>
  <si>
    <t>Tax</t>
  </si>
  <si>
    <t> using Goalseek  IF Taxable is 280k relief is 135k gros is 415k.</t>
  </si>
  <si>
    <t>Total Deductions</t>
  </si>
  <si>
    <t>Net Pay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</si>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</sst>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9" fontId="4" fillId="0" borderId="0" xfId="0" applyNumberFormat="1" applyFont="1"/>
    <xf numFmtId="43" fontId="4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4" workbookViewId="0">
      <selection activeCell="C32" sqref="C32"/>
    </sheetView>
  </sheetViews>
  <sheetFormatPr defaultColWidth="14.453125" defaultRowHeight="15" customHeight="1" x14ac:dyDescent="0.35"/>
  <cols>
    <col min="1" max="1" width="5.7265625" customWidth="1"/>
    <col min="2" max="2" width="25.453125" customWidth="1"/>
    <col min="3" max="3" width="22.453125" customWidth="1"/>
    <col min="4" max="4" width="24.54296875" customWidth="1"/>
    <col min="5" max="5" width="17.26953125" customWidth="1"/>
    <col min="6" max="6" width="18.08984375" customWidth="1"/>
    <col min="7" max="7" width="8.7265625" customWidth="1"/>
    <col min="8" max="8" width="17.7265625" customWidth="1"/>
    <col min="9" max="9" width="20.7265625" customWidth="1"/>
    <col min="10" max="10" width="15" customWidth="1"/>
    <col min="11" max="11" width="12.54296875" customWidth="1"/>
    <col min="12" max="12" width="16.453125" customWidth="1"/>
    <col min="13" max="13" width="13.54296875" customWidth="1"/>
    <col min="14" max="14" width="16.453125" customWidth="1"/>
    <col min="15" max="26" width="8.7265625" customWidth="1"/>
  </cols>
  <sheetData>
    <row r="1" spans="1:14" ht="14.5" x14ac:dyDescent="0.35">
      <c r="C1" s="1" t="s">
        <v>0</v>
      </c>
      <c r="D1" s="1" t="s">
        <v>1</v>
      </c>
      <c r="E1" s="2">
        <v>480000</v>
      </c>
      <c r="F1" s="2">
        <f>E1*12</f>
        <v>5760000</v>
      </c>
      <c r="H1" s="3" t="s">
        <v>2</v>
      </c>
      <c r="I1" s="4">
        <f>D3+D16</f>
        <v>5760000</v>
      </c>
      <c r="N1" s="3" t="s">
        <v>3</v>
      </c>
    </row>
    <row r="2" spans="1:14" ht="14.5" x14ac:dyDescent="0.35">
      <c r="H2" s="3" t="s">
        <v>4</v>
      </c>
      <c r="I2" s="4">
        <f>D22</f>
        <v>5266080</v>
      </c>
      <c r="L2" s="4">
        <v>300000</v>
      </c>
      <c r="M2" s="5">
        <v>7.0000000000000007E-2</v>
      </c>
      <c r="N2" s="4">
        <f>IF(I6&gt;L2,L2*$M$2,I6*M2)</f>
        <v>21000.000000000004</v>
      </c>
    </row>
    <row r="3" spans="1:14" ht="14.5" x14ac:dyDescent="0.35">
      <c r="A3" s="5">
        <v>0.55000000000000004</v>
      </c>
      <c r="B3" s="4" t="s">
        <v>5</v>
      </c>
      <c r="C3" s="4">
        <f>$E$1*$A3</f>
        <v>264000</v>
      </c>
      <c r="D3" s="4">
        <f>C3*12</f>
        <v>3168000</v>
      </c>
      <c r="I3" s="4"/>
      <c r="L3" s="4">
        <v>300000</v>
      </c>
      <c r="M3" s="5">
        <v>0.11</v>
      </c>
      <c r="N3" s="4">
        <f>IF(I6-L3&gt;L3,$M$3*L3,IF(I6-L3&lt;0,0,IF(I6-L3&lt;L3,(I6-L3)*$M$3)))</f>
        <v>33000</v>
      </c>
    </row>
    <row r="4" spans="1:14" ht="14.5" x14ac:dyDescent="0.35">
      <c r="B4" s="4"/>
      <c r="C4" s="4"/>
      <c r="F4" s="6"/>
      <c r="H4" s="3" t="s">
        <v>6</v>
      </c>
      <c r="I4" s="4">
        <f>(IF(I2*1%&gt;200000,I2*1%,200000)+I2*20%)+D18+J14+I16</f>
        <v>1867136</v>
      </c>
      <c r="J4" s="6"/>
      <c r="L4" s="4">
        <v>500000</v>
      </c>
      <c r="M4" s="5">
        <v>0.15</v>
      </c>
      <c r="N4" s="4">
        <f>IF(I6-SUM(L2:L3)&gt;L4,$M$4*L4,IF(I6-SUM(L2:L3)&lt;0,0,IF(I6-SUM(L2:L3)&lt;L4,(I6-SUM(L2:L3))*$M$4)))</f>
        <v>75000</v>
      </c>
    </row>
    <row r="5" spans="1:14" ht="14.5" x14ac:dyDescent="0.35">
      <c r="B5" s="7" t="s">
        <v>7</v>
      </c>
      <c r="C5" s="4"/>
      <c r="J5" s="6"/>
      <c r="L5" s="4">
        <v>500000</v>
      </c>
      <c r="M5" s="5">
        <v>0.19</v>
      </c>
      <c r="N5" s="4">
        <f>IF(I6-SUM(L2:L4)&gt;L5,$M$5*L5,IF(I6-SUM(L2:L4)&lt;0,0,IF(I6-SUM(L2:L4)&lt;L5,(I6-SUM(L2:L4))*$M$5)))</f>
        <v>95000</v>
      </c>
    </row>
    <row r="6" spans="1:14" ht="14.5" x14ac:dyDescent="0.35">
      <c r="A6" s="5">
        <v>0.25</v>
      </c>
      <c r="B6" s="4" t="s">
        <v>8</v>
      </c>
      <c r="C6" s="4">
        <f t="shared" ref="C6:C11" si="0">$E$1*$A6</f>
        <v>120000</v>
      </c>
      <c r="D6" s="4">
        <f t="shared" ref="D6:D11" si="1">C6*12</f>
        <v>1440000</v>
      </c>
      <c r="H6" s="3" t="s">
        <v>9</v>
      </c>
      <c r="I6" s="4">
        <f>I1-I4</f>
        <v>3892864</v>
      </c>
      <c r="L6" s="4">
        <f>SUM(L2:L5)</f>
        <v>1600000</v>
      </c>
      <c r="M6" s="5">
        <v>0.21</v>
      </c>
      <c r="N6" s="4">
        <f>IF(I6-1600000&gt;1600000,$M$6*1600000,IF(I6-1600000&lt;0,0,IF(I6-1600000&lt;1600000,(I6-1600000)*AE$6)))</f>
        <v>336000</v>
      </c>
    </row>
    <row r="7" spans="1:14" ht="14.5" x14ac:dyDescent="0.35">
      <c r="A7" s="5">
        <v>0</v>
      </c>
      <c r="B7" s="4" t="s">
        <v>10</v>
      </c>
      <c r="C7" s="4">
        <f t="shared" si="0"/>
        <v>0</v>
      </c>
      <c r="D7" s="4">
        <f t="shared" si="1"/>
        <v>0</v>
      </c>
      <c r="L7" s="4">
        <f>SUM(L2:L6)</f>
        <v>3200000</v>
      </c>
      <c r="M7" s="5">
        <v>0.24</v>
      </c>
      <c r="N7" s="4">
        <f>IF(I6&gt;3200000,(I6-3200000)*$M$7,0)</f>
        <v>166287.35999999999</v>
      </c>
    </row>
    <row r="8" spans="1:14" ht="14.5" x14ac:dyDescent="0.35">
      <c r="A8" s="5">
        <v>0.1</v>
      </c>
      <c r="B8" s="4" t="s">
        <v>11</v>
      </c>
      <c r="C8" s="4">
        <f t="shared" si="0"/>
        <v>48000</v>
      </c>
      <c r="D8" s="4">
        <f t="shared" si="1"/>
        <v>576000</v>
      </c>
      <c r="H8" s="8" t="s">
        <v>3</v>
      </c>
      <c r="I8" s="7">
        <f>N9</f>
        <v>726287.35999999999</v>
      </c>
      <c r="N8" s="4"/>
    </row>
    <row r="9" spans="1:14" ht="14.5" x14ac:dyDescent="0.35">
      <c r="A9" s="5">
        <v>2.75E-2</v>
      </c>
      <c r="B9" s="4" t="s">
        <v>12</v>
      </c>
      <c r="C9" s="4">
        <f t="shared" si="0"/>
        <v>13200</v>
      </c>
      <c r="D9" s="4">
        <f t="shared" si="1"/>
        <v>158400</v>
      </c>
      <c r="M9" s="4">
        <f>N9/12</f>
        <v>60523.946666666663</v>
      </c>
      <c r="N9" s="4">
        <f>SUM(N2:N8)</f>
        <v>726287.35999999999</v>
      </c>
    </row>
    <row r="10" spans="1:14" ht="14.5" x14ac:dyDescent="0.35">
      <c r="A10" s="5">
        <v>5.5E-2</v>
      </c>
      <c r="B10" s="4" t="s">
        <v>13</v>
      </c>
      <c r="C10" s="4">
        <f t="shared" si="0"/>
        <v>26400</v>
      </c>
      <c r="D10" s="4">
        <f t="shared" si="1"/>
        <v>316800</v>
      </c>
      <c r="E10" s="5"/>
    </row>
    <row r="11" spans="1:14" ht="14.5" x14ac:dyDescent="0.35">
      <c r="A11" s="5">
        <v>1.7500000000000002E-2</v>
      </c>
      <c r="B11" s="4" t="s">
        <v>14</v>
      </c>
      <c r="C11" s="4">
        <f t="shared" si="0"/>
        <v>8400</v>
      </c>
      <c r="D11" s="4">
        <f t="shared" si="1"/>
        <v>100800</v>
      </c>
    </row>
    <row r="12" spans="1:14" ht="14.5" x14ac:dyDescent="0.35">
      <c r="A12" s="5">
        <v>0</v>
      </c>
      <c r="B12" s="4"/>
      <c r="C12" s="4"/>
      <c r="D12" s="4"/>
    </row>
    <row r="13" spans="1:14" ht="14.5" x14ac:dyDescent="0.35">
      <c r="A13" s="5">
        <v>0</v>
      </c>
      <c r="B13" s="4"/>
      <c r="C13" s="4"/>
      <c r="D13" s="4"/>
    </row>
    <row r="14" spans="1:14" ht="14.5" x14ac:dyDescent="0.35">
      <c r="B14" s="4" t="s">
        <v>15</v>
      </c>
      <c r="D14" s="4"/>
      <c r="H14" s="3" t="s">
        <v>16</v>
      </c>
      <c r="I14" s="3">
        <f>0.025</f>
        <v>2.5000000000000001E-2</v>
      </c>
      <c r="J14" s="4">
        <f>I14*D3</f>
        <v>79200</v>
      </c>
    </row>
    <row r="15" spans="1:14" ht="14.5" x14ac:dyDescent="0.35">
      <c r="B15" s="4"/>
      <c r="D15" s="4"/>
    </row>
    <row r="16" spans="1:14" ht="14.5" x14ac:dyDescent="0.35">
      <c r="B16" s="7" t="s">
        <v>17</v>
      </c>
      <c r="C16" s="7">
        <f>SUM(C6:C14)</f>
        <v>216000</v>
      </c>
      <c r="D16" s="7">
        <f>C16*12</f>
        <v>2592000</v>
      </c>
      <c r="H16" s="3" t="s">
        <v>18</v>
      </c>
      <c r="I16" s="3">
        <v>120000</v>
      </c>
    </row>
    <row r="17" spans="1:10" ht="14.5" x14ac:dyDescent="0.35">
      <c r="D17" s="4"/>
    </row>
    <row r="18" spans="1:10" ht="14.5" x14ac:dyDescent="0.35">
      <c r="B18" s="3" t="s">
        <v>19</v>
      </c>
      <c r="C18" s="4">
        <f>SUM(C3:C6,C8)*8%</f>
        <v>34560</v>
      </c>
      <c r="D18" s="4">
        <f t="shared" ref="D18:D19" si="2">C18*12</f>
        <v>414720</v>
      </c>
    </row>
    <row r="19" spans="1:10" ht="14.5" x14ac:dyDescent="0.35">
      <c r="A19" s="5">
        <v>2.5000000000000001E-2</v>
      </c>
      <c r="B19" s="3" t="s">
        <v>16</v>
      </c>
      <c r="C19" s="4">
        <f>$C$3*$A19</f>
        <v>6600</v>
      </c>
      <c r="D19" s="4">
        <f t="shared" si="2"/>
        <v>79200</v>
      </c>
    </row>
    <row r="20" spans="1:10" ht="14.5" x14ac:dyDescent="0.35">
      <c r="D20" s="4"/>
    </row>
    <row r="21" spans="1:10" ht="15.75" customHeight="1" x14ac:dyDescent="0.35">
      <c r="D21" s="4"/>
    </row>
    <row r="22" spans="1:10" ht="15.75" customHeight="1" x14ac:dyDescent="0.35">
      <c r="B22" s="7" t="s">
        <v>20</v>
      </c>
      <c r="C22" s="7">
        <f>C16+C3-SUM(C18:C20)</f>
        <v>438840</v>
      </c>
      <c r="D22" s="7">
        <f>C22*12</f>
        <v>5266080</v>
      </c>
      <c r="E22" s="4"/>
    </row>
    <row r="23" spans="1:10" ht="15.75" customHeight="1" x14ac:dyDescent="0.35">
      <c r="E23" s="6"/>
      <c r="I23" s="4"/>
    </row>
    <row r="24" spans="1:10" ht="15.75" customHeight="1" x14ac:dyDescent="0.35">
      <c r="I24" s="6"/>
    </row>
    <row r="25" spans="1:10" ht="15.75" customHeight="1" x14ac:dyDescent="0.35">
      <c r="B25" s="3" t="s">
        <v>21</v>
      </c>
      <c r="C25" s="4">
        <f>I8/12</f>
        <v>60523.946666666663</v>
      </c>
      <c r="D25" s="4">
        <f>I8</f>
        <v>726287.35999999999</v>
      </c>
      <c r="E25" s="6"/>
      <c r="F25" s="6"/>
      <c r="I25" s="6"/>
    </row>
    <row r="26" spans="1:10" ht="15.75" customHeight="1" x14ac:dyDescent="0.35">
      <c r="B26" s="3" t="s">
        <v>19</v>
      </c>
      <c r="C26" s="4">
        <f t="shared" ref="C26:C27" si="3">C18</f>
        <v>34560</v>
      </c>
      <c r="D26" s="4">
        <f t="shared" ref="D26:D27" si="4">C26*12</f>
        <v>414720</v>
      </c>
      <c r="E26" s="6"/>
    </row>
    <row r="27" spans="1:10" ht="15.75" customHeight="1" x14ac:dyDescent="0.35">
      <c r="A27" s="5">
        <v>2.5000000000000001E-2</v>
      </c>
      <c r="B27" s="3" t="s">
        <v>16</v>
      </c>
      <c r="C27" s="4">
        <f t="shared" si="3"/>
        <v>6600</v>
      </c>
      <c r="D27" s="4">
        <f t="shared" si="4"/>
        <v>79200</v>
      </c>
      <c r="E27" s="6"/>
      <c r="J27" s="9" t="s">
        <v>22</v>
      </c>
    </row>
    <row r="28" spans="1:10" ht="15.75" customHeight="1" x14ac:dyDescent="0.35">
      <c r="F28" s="6"/>
    </row>
    <row r="29" spans="1:10" ht="15.75" customHeight="1" x14ac:dyDescent="0.35">
      <c r="B29" s="7" t="s">
        <v>23</v>
      </c>
      <c r="C29" s="7">
        <f t="shared" ref="C29:D29" si="5">SUM(C25:C28)</f>
        <v>101683.94666666666</v>
      </c>
      <c r="D29" s="7">
        <f t="shared" si="5"/>
        <v>1220207.3599999999</v>
      </c>
      <c r="E29" s="6"/>
      <c r="F29" s="6"/>
    </row>
    <row r="30" spans="1:10" ht="15.75" customHeight="1" x14ac:dyDescent="0.35"/>
    <row r="31" spans="1:10" ht="15.75" customHeight="1" x14ac:dyDescent="0.35">
      <c r="B31" s="7" t="s">
        <v>24</v>
      </c>
      <c r="C31" s="7">
        <f t="shared" ref="C31:D31" si="6">C3+C16-C29</f>
        <v>378316.05333333334</v>
      </c>
      <c r="D31" s="7">
        <f t="shared" si="6"/>
        <v>4539792.6400000006</v>
      </c>
      <c r="E31" s="4"/>
      <c r="F31" s="5"/>
      <c r="G31" s="6"/>
    </row>
    <row r="32" spans="1:10" ht="15.75" customHeight="1" x14ac:dyDescent="0.35">
      <c r="B32" s="10" t="s">
        <v>25</v>
      </c>
      <c r="C32" s="4">
        <f>C31*10%</f>
        <v>37831.605333333333</v>
      </c>
      <c r="D32" s="4">
        <f>C32*12</f>
        <v>453979.26399999997</v>
      </c>
      <c r="E32" s="6"/>
    </row>
    <row r="33" spans="3:4" ht="15.75" customHeight="1" x14ac:dyDescent="0.35">
      <c r="C33" s="6">
        <f>C31-C32</f>
        <v>340484.44800000003</v>
      </c>
      <c r="D33" s="4">
        <f>C33*12</f>
        <v>4085813.3760000002</v>
      </c>
    </row>
    <row r="34" spans="3:4" ht="15.75" customHeight="1" x14ac:dyDescent="0.35"/>
    <row r="35" spans="3:4" ht="15.75" customHeight="1" x14ac:dyDescent="0.35"/>
    <row r="36" spans="3:4" ht="15.75" customHeight="1" x14ac:dyDescent="0.35"/>
    <row r="37" spans="3:4" ht="15.75" customHeight="1" x14ac:dyDescent="0.35"/>
    <row r="38" spans="3:4" ht="15.75" customHeight="1" x14ac:dyDescent="0.35"/>
    <row r="39" spans="3:4" ht="15.75" customHeight="1" x14ac:dyDescent="0.35"/>
    <row r="40" spans="3:4" ht="15.75" customHeight="1" x14ac:dyDescent="0.35"/>
    <row r="41" spans="3:4" ht="15.75" customHeight="1" x14ac:dyDescent="0.35"/>
    <row r="42" spans="3:4" ht="15.75" customHeight="1" x14ac:dyDescent="0.35"/>
    <row r="43" spans="3:4" ht="15.75" customHeight="1" x14ac:dyDescent="0.35"/>
    <row r="44" spans="3:4" ht="15.75" customHeight="1" x14ac:dyDescent="0.35">
      <c r="D44" s="4"/>
    </row>
    <row r="45" spans="3:4" ht="15.75" customHeight="1" x14ac:dyDescent="0.35"/>
    <row r="46" spans="3:4" ht="15.75" customHeight="1" x14ac:dyDescent="0.35"/>
    <row r="47" spans="3:4" ht="15.75" customHeight="1" x14ac:dyDescent="0.35"/>
    <row r="48" spans="3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53125" defaultRowHeight="15" customHeight="1" x14ac:dyDescent="0.35"/>
  <cols>
    <col min="1" max="1" width="5.7265625" customWidth="1"/>
    <col min="2" max="2" width="25.453125" customWidth="1"/>
    <col min="3" max="3" width="22.453125" customWidth="1"/>
    <col min="4" max="4" width="24.54296875" customWidth="1"/>
    <col min="5" max="5" width="17.26953125" customWidth="1"/>
    <col min="6" max="6" width="18.08984375" customWidth="1"/>
    <col min="7" max="7" width="8.7265625" customWidth="1"/>
    <col min="8" max="8" width="17.7265625" customWidth="1"/>
    <col min="9" max="9" width="20.7265625" customWidth="1"/>
    <col min="10" max="10" width="15" customWidth="1"/>
    <col min="11" max="11" width="12.54296875" customWidth="1"/>
    <col min="12" max="12" width="16.453125" customWidth="1"/>
    <col min="13" max="13" width="13.54296875" customWidth="1"/>
    <col min="14" max="14" width="16.453125" customWidth="1"/>
    <col min="15" max="26" width="8.7265625" customWidth="1"/>
  </cols>
  <sheetData>
    <row r="1" spans="1:14" ht="14.5" x14ac:dyDescent="0.35">
      <c r="C1" s="8" t="s">
        <v>0</v>
      </c>
      <c r="D1" s="8" t="s">
        <v>1</v>
      </c>
      <c r="E1" s="4">
        <f>F1/12</f>
        <v>1000000</v>
      </c>
      <c r="F1" s="4">
        <v>12000000</v>
      </c>
      <c r="H1" s="3" t="s">
        <v>2</v>
      </c>
      <c r="I1" s="4">
        <f>D3+D16</f>
        <v>12000000</v>
      </c>
      <c r="N1" s="3" t="s">
        <v>3</v>
      </c>
    </row>
    <row r="2" spans="1:14" ht="14.5" x14ac:dyDescent="0.35">
      <c r="H2" s="3" t="s">
        <v>4</v>
      </c>
      <c r="I2" s="4">
        <f>D3+D16</f>
        <v>12000000</v>
      </c>
      <c r="L2" s="4">
        <v>300000</v>
      </c>
      <c r="M2" s="5">
        <v>7.0000000000000007E-2</v>
      </c>
      <c r="N2" s="4">
        <f>IF(I6&gt;L2,L2*$M$2,I6*M2)</f>
        <v>21000.000000000004</v>
      </c>
    </row>
    <row r="3" spans="1:14" ht="14.5" x14ac:dyDescent="0.35">
      <c r="A3" s="5">
        <v>0.55000000000000004</v>
      </c>
      <c r="B3" s="4" t="s">
        <v>5</v>
      </c>
      <c r="C3" s="4">
        <f>$E$1*$A3</f>
        <v>550000</v>
      </c>
      <c r="D3" s="4">
        <f>C3*12</f>
        <v>6600000</v>
      </c>
      <c r="F3" s="3">
        <v>5400000</v>
      </c>
      <c r="I3" s="4"/>
      <c r="L3" s="4">
        <v>300000</v>
      </c>
      <c r="M3" s="5">
        <v>0.11</v>
      </c>
      <c r="N3" s="4">
        <f>IF(I6-L3&gt;L3,$M$3*L3,IF(I6-L3&lt;0,0,IF(I6-L3&lt;L3,(I6-L3)*$M$3)))</f>
        <v>33000</v>
      </c>
    </row>
    <row r="4" spans="1:14" ht="14.5" x14ac:dyDescent="0.35">
      <c r="B4" s="4"/>
      <c r="C4" s="4"/>
      <c r="F4" s="6">
        <f>F1/F3</f>
        <v>2.2222222222222223</v>
      </c>
      <c r="H4" s="3" t="s">
        <v>6</v>
      </c>
      <c r="I4" s="4">
        <f>(IF(I2*1%&gt;200000,I2*1%,200000)+I2*20%)+D18+J14+I17</f>
        <v>3749000</v>
      </c>
      <c r="J4" s="6"/>
      <c r="L4" s="4">
        <v>500000</v>
      </c>
      <c r="M4" s="5">
        <v>0.15</v>
      </c>
      <c r="N4" s="4">
        <f>IF(I6-SUM(L2:L3)&gt;L4,$M$4*L4,IF(I6-SUM(L2:L3)&lt;0,0,IF(I6-SUM(L2:L3)&lt;L4,(I6-SUM(L2:L3))*$M$4)))</f>
        <v>75000</v>
      </c>
    </row>
    <row r="5" spans="1:14" ht="14.5" x14ac:dyDescent="0.35">
      <c r="B5" s="7" t="s">
        <v>7</v>
      </c>
      <c r="C5" s="4"/>
      <c r="J5" s="6"/>
      <c r="L5" s="4">
        <v>500000</v>
      </c>
      <c r="M5" s="5">
        <v>0.19</v>
      </c>
      <c r="N5" s="4">
        <f>IF(I6-SUM(L2:L4)&gt;L5,$M$5*L5,IF(I6-SUM(L2:L4)&lt;0,0,IF(I6-SUM(L2:L4)&lt;L5,(I6-SUM(L2:L4))*$M$5)))</f>
        <v>95000</v>
      </c>
    </row>
    <row r="6" spans="1:14" ht="14.5" x14ac:dyDescent="0.35">
      <c r="A6" s="5">
        <v>0.25</v>
      </c>
      <c r="B6" s="4" t="s">
        <v>8</v>
      </c>
      <c r="C6" s="4">
        <f t="shared" ref="C6:C11" si="0">$E$1*$A6</f>
        <v>250000</v>
      </c>
      <c r="D6" s="4">
        <f t="shared" ref="D6:D11" si="1">C6*12</f>
        <v>3000000</v>
      </c>
      <c r="H6" s="3" t="s">
        <v>9</v>
      </c>
      <c r="I6" s="4">
        <f>I1-I4</f>
        <v>8251000</v>
      </c>
      <c r="L6" s="4">
        <f>SUM(L2:L5)</f>
        <v>1600000</v>
      </c>
      <c r="M6" s="5">
        <v>0.21</v>
      </c>
      <c r="N6" s="4">
        <f>IF(I6-1600000&gt;1600000,$M$6*1600000,IF(I6-1600000&lt;0,0,IF(I6-1600000&lt;1600000,(I6-1600000)*AE$6)))</f>
        <v>336000</v>
      </c>
    </row>
    <row r="7" spans="1:14" ht="14.5" x14ac:dyDescent="0.35">
      <c r="A7" s="5">
        <v>0</v>
      </c>
      <c r="B7" s="4" t="s">
        <v>10</v>
      </c>
      <c r="C7" s="4">
        <f t="shared" si="0"/>
        <v>0</v>
      </c>
      <c r="D7" s="4">
        <f t="shared" si="1"/>
        <v>0</v>
      </c>
      <c r="L7" s="4">
        <f>SUM(L2:L6)</f>
        <v>3200000</v>
      </c>
      <c r="M7" s="5">
        <v>0.24</v>
      </c>
      <c r="N7" s="4">
        <f>IF(I6&gt;3200000,(I6-3200000)*$M$7,0)</f>
        <v>1212240</v>
      </c>
    </row>
    <row r="8" spans="1:14" ht="14.5" x14ac:dyDescent="0.35">
      <c r="A8" s="5">
        <v>0.1</v>
      </c>
      <c r="B8" s="4" t="s">
        <v>11</v>
      </c>
      <c r="C8" s="4">
        <f t="shared" si="0"/>
        <v>100000</v>
      </c>
      <c r="D8" s="4">
        <f t="shared" si="1"/>
        <v>1200000</v>
      </c>
      <c r="H8" s="8" t="s">
        <v>3</v>
      </c>
      <c r="I8" s="7">
        <f>N9</f>
        <v>1772240</v>
      </c>
      <c r="N8" s="4"/>
    </row>
    <row r="9" spans="1:14" ht="14.5" x14ac:dyDescent="0.35">
      <c r="A9" s="5">
        <v>2.75E-2</v>
      </c>
      <c r="B9" s="4" t="s">
        <v>12</v>
      </c>
      <c r="C9" s="4">
        <f t="shared" si="0"/>
        <v>27500</v>
      </c>
      <c r="D9" s="4">
        <f t="shared" si="1"/>
        <v>330000</v>
      </c>
      <c r="M9" s="4">
        <f>N9/12</f>
        <v>147686.66666666666</v>
      </c>
      <c r="N9" s="4">
        <f>SUM(N2:N8)</f>
        <v>1772240</v>
      </c>
    </row>
    <row r="10" spans="1:14" ht="14.5" x14ac:dyDescent="0.35">
      <c r="A10" s="5">
        <v>5.5E-2</v>
      </c>
      <c r="B10" s="4" t="s">
        <v>13</v>
      </c>
      <c r="C10" s="4">
        <f t="shared" si="0"/>
        <v>55000</v>
      </c>
      <c r="D10" s="4">
        <f t="shared" si="1"/>
        <v>660000</v>
      </c>
      <c r="E10" s="5"/>
    </row>
    <row r="11" spans="1:14" ht="14.5" x14ac:dyDescent="0.35">
      <c r="A11" s="5">
        <v>1.7500000000000002E-2</v>
      </c>
      <c r="B11" s="4" t="s">
        <v>14</v>
      </c>
      <c r="C11" s="4">
        <f t="shared" si="0"/>
        <v>17500</v>
      </c>
      <c r="D11" s="4">
        <f t="shared" si="1"/>
        <v>210000</v>
      </c>
    </row>
    <row r="12" spans="1:14" ht="14.5" x14ac:dyDescent="0.35">
      <c r="A12" s="5">
        <v>0</v>
      </c>
      <c r="B12" s="4"/>
      <c r="C12" s="4"/>
      <c r="D12" s="4"/>
    </row>
    <row r="13" spans="1:14" ht="14.5" x14ac:dyDescent="0.35">
      <c r="A13" s="5">
        <v>0</v>
      </c>
      <c r="B13" s="4"/>
      <c r="C13" s="4"/>
      <c r="D13" s="4"/>
    </row>
    <row r="14" spans="1:14" ht="14.5" x14ac:dyDescent="0.35">
      <c r="B14" s="4" t="s">
        <v>15</v>
      </c>
      <c r="D14" s="4"/>
      <c r="H14" s="3" t="s">
        <v>16</v>
      </c>
      <c r="I14" s="3">
        <f>0.025</f>
        <v>2.5000000000000001E-2</v>
      </c>
      <c r="J14" s="4">
        <f>I14*D3</f>
        <v>165000</v>
      </c>
    </row>
    <row r="15" spans="1:14" ht="14.5" x14ac:dyDescent="0.35">
      <c r="B15" s="4"/>
      <c r="D15" s="4"/>
    </row>
    <row r="16" spans="1:14" ht="14.5" x14ac:dyDescent="0.35">
      <c r="B16" s="7" t="s">
        <v>17</v>
      </c>
      <c r="C16" s="7">
        <f>SUM(C6:C14)</f>
        <v>450000</v>
      </c>
      <c r="D16" s="7">
        <f>C16*12</f>
        <v>5400000</v>
      </c>
    </row>
    <row r="17" spans="1:10" ht="14.5" x14ac:dyDescent="0.35">
      <c r="D17" s="4"/>
      <c r="H17" s="3" t="s">
        <v>18</v>
      </c>
      <c r="I17" s="3">
        <v>120000</v>
      </c>
    </row>
    <row r="18" spans="1:10" ht="14.5" x14ac:dyDescent="0.35">
      <c r="B18" s="3" t="s">
        <v>19</v>
      </c>
      <c r="C18" s="4">
        <f>SUM(C3:C6,C8)*8%</f>
        <v>72000</v>
      </c>
      <c r="D18" s="4">
        <f t="shared" ref="D18:D19" si="2">C18*12</f>
        <v>864000</v>
      </c>
    </row>
    <row r="19" spans="1:10" ht="14.5" x14ac:dyDescent="0.35">
      <c r="A19" s="5">
        <v>2.5000000000000001E-2</v>
      </c>
      <c r="B19" s="3" t="s">
        <v>16</v>
      </c>
      <c r="C19" s="4">
        <f>$C$3*$A19</f>
        <v>13750</v>
      </c>
      <c r="D19" s="4">
        <f t="shared" si="2"/>
        <v>165000</v>
      </c>
    </row>
    <row r="20" spans="1:10" ht="14.5" x14ac:dyDescent="0.35">
      <c r="D20" s="4"/>
    </row>
    <row r="21" spans="1:10" ht="15.75" customHeight="1" x14ac:dyDescent="0.35">
      <c r="D21" s="4"/>
    </row>
    <row r="22" spans="1:10" ht="15.75" customHeight="1" x14ac:dyDescent="0.35">
      <c r="B22" s="7" t="s">
        <v>20</v>
      </c>
      <c r="C22" s="7">
        <f>C16+C3-SUM(C18:C19)</f>
        <v>914250</v>
      </c>
      <c r="D22" s="7">
        <f>C22*12</f>
        <v>10971000</v>
      </c>
      <c r="E22" s="4"/>
    </row>
    <row r="23" spans="1:10" ht="15.75" customHeight="1" x14ac:dyDescent="0.35">
      <c r="E23" s="6"/>
      <c r="I23" s="4"/>
    </row>
    <row r="24" spans="1:10" ht="15.75" customHeight="1" x14ac:dyDescent="0.35">
      <c r="I24" s="6"/>
    </row>
    <row r="25" spans="1:10" ht="15.75" customHeight="1" x14ac:dyDescent="0.35">
      <c r="B25" s="3" t="s">
        <v>21</v>
      </c>
      <c r="C25" s="4">
        <f>I8/12</f>
        <v>147686.66666666666</v>
      </c>
      <c r="D25" s="4">
        <f>I8</f>
        <v>1772240</v>
      </c>
      <c r="E25" s="6"/>
      <c r="F25" s="6">
        <f>500/355</f>
        <v>1.408450704225352</v>
      </c>
      <c r="I25" s="6"/>
    </row>
    <row r="26" spans="1:10" ht="15.75" customHeight="1" x14ac:dyDescent="0.35">
      <c r="B26" s="3" t="s">
        <v>19</v>
      </c>
      <c r="C26" s="4">
        <f t="shared" ref="C26:C27" si="3">C18</f>
        <v>72000</v>
      </c>
      <c r="D26" s="4">
        <f t="shared" ref="D26:D27" si="4">C26*12</f>
        <v>864000</v>
      </c>
      <c r="E26" s="6"/>
      <c r="F26" s="3">
        <f>640/500</f>
        <v>1.28</v>
      </c>
    </row>
    <row r="27" spans="1:10" ht="15.75" customHeight="1" x14ac:dyDescent="0.35">
      <c r="A27" s="5">
        <v>2.5000000000000001E-2</v>
      </c>
      <c r="B27" s="3" t="s">
        <v>16</v>
      </c>
      <c r="C27" s="4">
        <f t="shared" si="3"/>
        <v>13750</v>
      </c>
      <c r="D27" s="4">
        <f t="shared" si="4"/>
        <v>165000</v>
      </c>
      <c r="E27" s="6"/>
      <c r="J27" s="9" t="s">
        <v>22</v>
      </c>
    </row>
    <row r="28" spans="1:10" ht="15.75" customHeight="1" x14ac:dyDescent="0.35">
      <c r="F28" s="6"/>
    </row>
    <row r="29" spans="1:10" ht="15.75" customHeight="1" x14ac:dyDescent="0.35">
      <c r="B29" s="7" t="s">
        <v>23</v>
      </c>
      <c r="C29" s="7">
        <f t="shared" ref="C29:D29" si="5">SUM(C25:C28)</f>
        <v>233436.66666666666</v>
      </c>
      <c r="D29" s="7">
        <f t="shared" si="5"/>
        <v>2801240</v>
      </c>
      <c r="E29" s="6"/>
      <c r="F29" s="6"/>
    </row>
    <row r="30" spans="1:10" ht="15.75" customHeight="1" x14ac:dyDescent="0.35"/>
    <row r="31" spans="1:10" ht="15.75" customHeight="1" x14ac:dyDescent="0.35">
      <c r="B31" s="7" t="s">
        <v>24</v>
      </c>
      <c r="C31" s="7">
        <f t="shared" ref="C31:D31" si="6">C3+C16-C29</f>
        <v>766563.33333333337</v>
      </c>
      <c r="D31" s="7">
        <f t="shared" si="6"/>
        <v>9198760</v>
      </c>
      <c r="E31" s="4"/>
      <c r="F31" s="5"/>
      <c r="G31" s="6"/>
    </row>
    <row r="32" spans="1:10" ht="15.75" customHeight="1" x14ac:dyDescent="0.35">
      <c r="E32" s="6"/>
    </row>
    <row r="33" spans="4:4" ht="15.75" customHeight="1" x14ac:dyDescent="0.35"/>
    <row r="34" spans="4:4" ht="15.75" customHeight="1" x14ac:dyDescent="0.35"/>
    <row r="35" spans="4:4" ht="15.75" customHeight="1" x14ac:dyDescent="0.35"/>
    <row r="36" spans="4:4" ht="15.75" customHeight="1" x14ac:dyDescent="0.35"/>
    <row r="37" spans="4:4" ht="15.75" customHeight="1" x14ac:dyDescent="0.35"/>
    <row r="38" spans="4:4" ht="15.75" customHeight="1" x14ac:dyDescent="0.35"/>
    <row r="39" spans="4:4" ht="15.75" customHeight="1" x14ac:dyDescent="0.35"/>
    <row r="40" spans="4:4" ht="15.75" customHeight="1" x14ac:dyDescent="0.35"/>
    <row r="41" spans="4:4" ht="15.75" customHeight="1" x14ac:dyDescent="0.35"/>
    <row r="42" spans="4:4" ht="15.75" customHeight="1" x14ac:dyDescent="0.35"/>
    <row r="43" spans="4:4" ht="15.75" customHeight="1" x14ac:dyDescent="0.35"/>
    <row r="44" spans="4:4" ht="15.75" customHeight="1" x14ac:dyDescent="0.35">
      <c r="D44" s="4"/>
    </row>
    <row r="45" spans="4:4" ht="15.75" customHeight="1" x14ac:dyDescent="0.35"/>
    <row r="46" spans="4:4" ht="15.75" customHeight="1" x14ac:dyDescent="0.35"/>
    <row r="47" spans="4:4" ht="15.75" customHeight="1" x14ac:dyDescent="0.35"/>
    <row r="48" spans="4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53125" defaultRowHeight="15" customHeight="1" x14ac:dyDescent="0.35"/>
  <cols>
    <col min="1" max="1" width="5.7265625" customWidth="1"/>
    <col min="2" max="2" width="25.453125" customWidth="1"/>
    <col min="3" max="3" width="22.453125" customWidth="1"/>
    <col min="4" max="4" width="24.54296875" customWidth="1"/>
    <col min="5" max="5" width="17.26953125" customWidth="1"/>
    <col min="6" max="6" width="18.08984375" customWidth="1"/>
    <col min="7" max="7" width="8.7265625" customWidth="1"/>
    <col min="8" max="8" width="17.7265625" customWidth="1"/>
    <col min="9" max="9" width="20.7265625" customWidth="1"/>
    <col min="10" max="10" width="15" customWidth="1"/>
    <col min="11" max="11" width="12.54296875" customWidth="1"/>
    <col min="12" max="12" width="16.453125" customWidth="1"/>
    <col min="13" max="13" width="13.54296875" customWidth="1"/>
    <col min="14" max="14" width="16.453125" customWidth="1"/>
    <col min="15" max="26" width="8.7265625" customWidth="1"/>
  </cols>
  <sheetData>
    <row r="1" spans="1:14" ht="14.5" x14ac:dyDescent="0.35">
      <c r="C1" s="8" t="s">
        <v>0</v>
      </c>
      <c r="D1" s="8" t="s">
        <v>1</v>
      </c>
      <c r="E1" s="4">
        <f>F1/12</f>
        <v>450000</v>
      </c>
      <c r="F1" s="4">
        <v>5400000</v>
      </c>
      <c r="H1" s="3" t="s">
        <v>2</v>
      </c>
      <c r="I1" s="4">
        <f>D3+D16</f>
        <v>10290000</v>
      </c>
      <c r="N1" s="3" t="s">
        <v>3</v>
      </c>
    </row>
    <row r="2" spans="1:14" ht="14.5" x14ac:dyDescent="0.35">
      <c r="H2" s="3" t="s">
        <v>4</v>
      </c>
      <c r="I2" s="4">
        <f>D22</f>
        <v>9441500</v>
      </c>
      <c r="L2" s="4">
        <v>300000</v>
      </c>
      <c r="M2" s="5">
        <v>7.0000000000000007E-2</v>
      </c>
      <c r="N2" s="4">
        <f>IF(I6&gt;L2,L2*$M$2,I6*M2)</f>
        <v>21000.000000000004</v>
      </c>
    </row>
    <row r="3" spans="1:14" ht="14.5" x14ac:dyDescent="0.35">
      <c r="A3" s="5">
        <v>0.55000000000000004</v>
      </c>
      <c r="B3" s="4" t="s">
        <v>5</v>
      </c>
      <c r="C3" s="4">
        <f>6100000/12</f>
        <v>508333.33333333331</v>
      </c>
      <c r="D3" s="4">
        <f>C3*12</f>
        <v>6100000</v>
      </c>
      <c r="F3" s="3">
        <v>5400000</v>
      </c>
      <c r="I3" s="4"/>
      <c r="L3" s="4">
        <v>300000</v>
      </c>
      <c r="M3" s="5">
        <v>0.11</v>
      </c>
      <c r="N3" s="4">
        <f>IF(I6-L3&gt;L3,$M$3*L3,IF(I6-L3&lt;0,0,IF(I6-L3&lt;L3,(I6-L3)*$M$3)))</f>
        <v>33000</v>
      </c>
    </row>
    <row r="4" spans="1:14" ht="14.5" x14ac:dyDescent="0.35">
      <c r="B4" s="4"/>
      <c r="C4" s="4"/>
      <c r="F4" s="6">
        <f>F1/F3</f>
        <v>1</v>
      </c>
      <c r="H4" s="3" t="s">
        <v>6</v>
      </c>
      <c r="I4" s="4">
        <f>(200000+I2*20%)+D18+J14</f>
        <v>2936800</v>
      </c>
      <c r="J4" s="6"/>
      <c r="L4" s="4">
        <v>500000</v>
      </c>
      <c r="M4" s="5">
        <v>0.15</v>
      </c>
      <c r="N4" s="4">
        <f>IF(I6-SUM(L2:L3)&gt;L4,$M$4*L4,IF(I6-SUM(L2:L3)&lt;0,0,IF(I6-SUM(L2:L3)&lt;L4,(I6-SUM(L2:L3))*$M$4)))</f>
        <v>75000</v>
      </c>
    </row>
    <row r="5" spans="1:14" ht="14.5" x14ac:dyDescent="0.35">
      <c r="B5" s="7" t="s">
        <v>7</v>
      </c>
      <c r="C5" s="4"/>
      <c r="J5" s="6"/>
      <c r="L5" s="4">
        <v>500000</v>
      </c>
      <c r="M5" s="5">
        <v>0.19</v>
      </c>
      <c r="N5" s="4">
        <f>IF(I6-SUM(L2:L4)&gt;L5,$M$5*L5,IF(I6-SUM(L2:L4)&lt;0,0,IF(I6-SUM(L2:L4)&lt;L5,(I6-SUM(L2:L4))*$M$5)))</f>
        <v>95000</v>
      </c>
    </row>
    <row r="6" spans="1:14" ht="14.5" x14ac:dyDescent="0.35">
      <c r="A6" s="5">
        <v>0.25</v>
      </c>
      <c r="B6" s="4" t="s">
        <v>8</v>
      </c>
      <c r="C6" s="4">
        <f>1400000/12</f>
        <v>116666.66666666667</v>
      </c>
      <c r="D6" s="4">
        <f t="shared" ref="D6:D12" si="0">C6*12</f>
        <v>1400000</v>
      </c>
      <c r="H6" s="3" t="s">
        <v>9</v>
      </c>
      <c r="I6" s="4">
        <f>I1-I4</f>
        <v>7353200</v>
      </c>
      <c r="L6" s="4">
        <f>SUM(L2:L5)</f>
        <v>1600000</v>
      </c>
      <c r="M6" s="5">
        <v>0.21</v>
      </c>
      <c r="N6" s="4">
        <f>IF(I6-1600000&gt;1600000,$M$6*1600000,IF(I6-1600000&lt;0,0,IF(I6-1600000&lt;1600000,(I6-1600000)*AE$6)))</f>
        <v>336000</v>
      </c>
    </row>
    <row r="7" spans="1:14" ht="14.5" x14ac:dyDescent="0.35">
      <c r="A7" s="5">
        <v>0</v>
      </c>
      <c r="B7" s="4" t="s">
        <v>10</v>
      </c>
      <c r="C7" s="4">
        <f>$E$1*$A7</f>
        <v>0</v>
      </c>
      <c r="D7" s="4">
        <f t="shared" si="0"/>
        <v>0</v>
      </c>
      <c r="L7" s="4">
        <f>SUM(L2:L6)</f>
        <v>3200000</v>
      </c>
      <c r="M7" s="5">
        <v>0.24</v>
      </c>
      <c r="N7" s="4">
        <f>IF(I6&gt;3200000,(I6-3200000)*$M$7,0)</f>
        <v>996768</v>
      </c>
    </row>
    <row r="8" spans="1:14" ht="14.5" x14ac:dyDescent="0.35">
      <c r="A8" s="5">
        <v>0.1</v>
      </c>
      <c r="B8" s="4" t="s">
        <v>11</v>
      </c>
      <c r="C8" s="4">
        <f>1200000/12</f>
        <v>100000</v>
      </c>
      <c r="D8" s="4">
        <f t="shared" si="0"/>
        <v>1200000</v>
      </c>
      <c r="H8" s="8" t="s">
        <v>3</v>
      </c>
      <c r="I8" s="7">
        <f>N9</f>
        <v>1556768</v>
      </c>
      <c r="N8" s="4"/>
    </row>
    <row r="9" spans="1:14" ht="14.5" x14ac:dyDescent="0.35">
      <c r="A9" s="5">
        <v>2.75E-2</v>
      </c>
      <c r="B9" s="4" t="s">
        <v>12</v>
      </c>
      <c r="C9" s="4">
        <f>440000/12</f>
        <v>36666.666666666664</v>
      </c>
      <c r="D9" s="4">
        <f t="shared" si="0"/>
        <v>440000</v>
      </c>
      <c r="M9" s="4">
        <f>N9/12</f>
        <v>129730.66666666667</v>
      </c>
      <c r="N9" s="4">
        <f>SUM(N2:N8)</f>
        <v>1556768</v>
      </c>
    </row>
    <row r="10" spans="1:14" ht="14.5" x14ac:dyDescent="0.35">
      <c r="A10" s="5">
        <v>5.5E-2</v>
      </c>
      <c r="B10" s="4" t="s">
        <v>13</v>
      </c>
      <c r="C10" s="4">
        <v>0</v>
      </c>
      <c r="D10" s="4">
        <f t="shared" si="0"/>
        <v>0</v>
      </c>
      <c r="E10" s="5"/>
    </row>
    <row r="11" spans="1:14" ht="14.5" x14ac:dyDescent="0.35">
      <c r="A11" s="5">
        <v>1.7500000000000002E-2</v>
      </c>
      <c r="B11" s="4" t="s">
        <v>14</v>
      </c>
      <c r="C11" s="4">
        <f>710000/12</f>
        <v>59166.666666666664</v>
      </c>
      <c r="D11" s="4">
        <f t="shared" si="0"/>
        <v>710000</v>
      </c>
    </row>
    <row r="12" spans="1:14" ht="14.5" x14ac:dyDescent="0.35">
      <c r="A12" s="5">
        <v>0</v>
      </c>
      <c r="B12" s="4"/>
      <c r="C12" s="4">
        <f>440000/12</f>
        <v>36666.666666666664</v>
      </c>
      <c r="D12" s="4">
        <f t="shared" si="0"/>
        <v>440000</v>
      </c>
    </row>
    <row r="13" spans="1:14" ht="14.5" x14ac:dyDescent="0.35">
      <c r="A13" s="5">
        <v>0</v>
      </c>
      <c r="B13" s="4"/>
      <c r="C13" s="4"/>
      <c r="D13" s="4"/>
    </row>
    <row r="14" spans="1:14" ht="14.5" x14ac:dyDescent="0.35">
      <c r="B14" s="4" t="s">
        <v>15</v>
      </c>
      <c r="D14" s="4"/>
      <c r="H14" s="3" t="s">
        <v>16</v>
      </c>
      <c r="I14" s="3">
        <f>0.025</f>
        <v>2.5000000000000001E-2</v>
      </c>
      <c r="J14" s="4">
        <f>I14*D3</f>
        <v>152500</v>
      </c>
    </row>
    <row r="15" spans="1:14" ht="14.5" x14ac:dyDescent="0.35">
      <c r="B15" s="4"/>
      <c r="D15" s="4"/>
    </row>
    <row r="16" spans="1:14" ht="14.5" x14ac:dyDescent="0.35">
      <c r="B16" s="7" t="s">
        <v>17</v>
      </c>
      <c r="C16" s="7">
        <f>SUM(C6:C14)</f>
        <v>349166.66666666669</v>
      </c>
      <c r="D16" s="7">
        <f>C16*12</f>
        <v>4190000</v>
      </c>
    </row>
    <row r="17" spans="1:10" ht="14.5" x14ac:dyDescent="0.35">
      <c r="D17" s="4"/>
    </row>
    <row r="18" spans="1:10" ht="14.5" x14ac:dyDescent="0.35">
      <c r="B18" s="3" t="s">
        <v>19</v>
      </c>
      <c r="C18" s="4">
        <f>SUM(C3:C6,C8)*8%</f>
        <v>58000</v>
      </c>
      <c r="D18" s="4">
        <f t="shared" ref="D18:D19" si="1">C18*12</f>
        <v>696000</v>
      </c>
    </row>
    <row r="19" spans="1:10" ht="14.5" x14ac:dyDescent="0.35">
      <c r="A19" s="5">
        <v>2.5000000000000001E-2</v>
      </c>
      <c r="B19" s="3" t="s">
        <v>16</v>
      </c>
      <c r="C19" s="4">
        <f>$C$3*$A19</f>
        <v>12708.333333333334</v>
      </c>
      <c r="D19" s="4">
        <f t="shared" si="1"/>
        <v>152500</v>
      </c>
    </row>
    <row r="20" spans="1:10" ht="14.5" x14ac:dyDescent="0.35">
      <c r="D20" s="4"/>
    </row>
    <row r="21" spans="1:10" ht="15.75" customHeight="1" x14ac:dyDescent="0.35">
      <c r="D21" s="4"/>
    </row>
    <row r="22" spans="1:10" ht="15.75" customHeight="1" x14ac:dyDescent="0.35">
      <c r="B22" s="7" t="s">
        <v>20</v>
      </c>
      <c r="C22" s="7">
        <f>C16+C3-SUM(C18:C19)</f>
        <v>786791.66666666663</v>
      </c>
      <c r="D22" s="7">
        <f>C22*12</f>
        <v>9441500</v>
      </c>
      <c r="E22" s="4"/>
    </row>
    <row r="23" spans="1:10" ht="15.75" customHeight="1" x14ac:dyDescent="0.35">
      <c r="E23" s="6"/>
      <c r="I23" s="4"/>
    </row>
    <row r="24" spans="1:10" ht="15.75" customHeight="1" x14ac:dyDescent="0.35">
      <c r="I24" s="6"/>
    </row>
    <row r="25" spans="1:10" ht="15.75" customHeight="1" x14ac:dyDescent="0.35">
      <c r="B25" s="3" t="s">
        <v>21</v>
      </c>
      <c r="C25" s="4">
        <f>I8/12</f>
        <v>129730.66666666667</v>
      </c>
      <c r="D25" s="4">
        <f>I8</f>
        <v>1556768</v>
      </c>
      <c r="E25" s="6"/>
      <c r="F25" s="6">
        <f>500/355</f>
        <v>1.408450704225352</v>
      </c>
      <c r="I25" s="6"/>
    </row>
    <row r="26" spans="1:10" ht="15.75" customHeight="1" x14ac:dyDescent="0.35">
      <c r="B26" s="3" t="s">
        <v>19</v>
      </c>
      <c r="C26" s="4">
        <f t="shared" ref="C26:C27" si="2">C18</f>
        <v>58000</v>
      </c>
      <c r="D26" s="4">
        <f t="shared" ref="D26:D27" si="3">C26*12</f>
        <v>696000</v>
      </c>
      <c r="E26" s="6"/>
      <c r="F26" s="3">
        <f>640/500</f>
        <v>1.28</v>
      </c>
    </row>
    <row r="27" spans="1:10" ht="15.75" customHeight="1" x14ac:dyDescent="0.35">
      <c r="A27" s="5">
        <v>2.5000000000000001E-2</v>
      </c>
      <c r="B27" s="3" t="s">
        <v>16</v>
      </c>
      <c r="C27" s="4">
        <f t="shared" si="2"/>
        <v>12708.333333333334</v>
      </c>
      <c r="D27" s="4">
        <f t="shared" si="3"/>
        <v>152500</v>
      </c>
      <c r="E27" s="6"/>
      <c r="J27" s="9" t="s">
        <v>22</v>
      </c>
    </row>
    <row r="28" spans="1:10" ht="15.75" customHeight="1" x14ac:dyDescent="0.35">
      <c r="F28" s="6"/>
    </row>
    <row r="29" spans="1:10" ht="15.75" customHeight="1" x14ac:dyDescent="0.35">
      <c r="B29" s="7" t="s">
        <v>23</v>
      </c>
      <c r="C29" s="7">
        <f t="shared" ref="C29:D29" si="4">SUM(C25:C28)</f>
        <v>200439.00000000003</v>
      </c>
      <c r="D29" s="7">
        <f t="shared" si="4"/>
        <v>2405268</v>
      </c>
      <c r="E29" s="6"/>
      <c r="F29" s="6"/>
    </row>
    <row r="30" spans="1:10" ht="15.75" customHeight="1" x14ac:dyDescent="0.35"/>
    <row r="31" spans="1:10" ht="15.75" customHeight="1" x14ac:dyDescent="0.35">
      <c r="B31" s="7" t="s">
        <v>24</v>
      </c>
      <c r="C31" s="7">
        <f t="shared" ref="C31:D31" si="5">C3+C16-C29</f>
        <v>657061</v>
      </c>
      <c r="D31" s="7">
        <f t="shared" si="5"/>
        <v>7884732</v>
      </c>
      <c r="E31" s="4" t="e">
        <f>#REF!-'Salary computation (2)'!C31</f>
        <v>#REF!</v>
      </c>
      <c r="F31" s="5" t="e">
        <f>E31/#REF!</f>
        <v>#REF!</v>
      </c>
      <c r="G31" s="6"/>
    </row>
    <row r="32" spans="1:10" ht="15.75" customHeight="1" x14ac:dyDescent="0.35">
      <c r="E32" s="6"/>
    </row>
    <row r="33" spans="4:4" ht="15.75" customHeight="1" x14ac:dyDescent="0.35"/>
    <row r="34" spans="4:4" ht="15.75" customHeight="1" x14ac:dyDescent="0.35"/>
    <row r="35" spans="4:4" ht="15.75" customHeight="1" x14ac:dyDescent="0.35"/>
    <row r="36" spans="4:4" ht="15.75" customHeight="1" x14ac:dyDescent="0.35"/>
    <row r="37" spans="4:4" ht="15.75" customHeight="1" x14ac:dyDescent="0.35"/>
    <row r="38" spans="4:4" ht="15.75" customHeight="1" x14ac:dyDescent="0.35"/>
    <row r="39" spans="4:4" ht="15.75" customHeight="1" x14ac:dyDescent="0.35"/>
    <row r="40" spans="4:4" ht="15.75" customHeight="1" x14ac:dyDescent="0.35"/>
    <row r="41" spans="4:4" ht="15.75" customHeight="1" x14ac:dyDescent="0.35"/>
    <row r="42" spans="4:4" ht="15.75" customHeight="1" x14ac:dyDescent="0.35"/>
    <row r="43" spans="4:4" ht="15.75" customHeight="1" x14ac:dyDescent="0.35"/>
    <row r="44" spans="4:4" ht="15.75" customHeight="1" x14ac:dyDescent="0.35">
      <c r="D44" s="4"/>
    </row>
    <row r="45" spans="4:4" ht="15.75" customHeight="1" x14ac:dyDescent="0.35"/>
    <row r="46" spans="4:4" ht="15.75" customHeight="1" x14ac:dyDescent="0.35"/>
    <row r="47" spans="4:4" ht="15.75" customHeight="1" x14ac:dyDescent="0.35"/>
    <row r="48" spans="4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computation</vt:lpstr>
      <vt:lpstr>Salary computation Old</vt:lpstr>
      <vt:lpstr>Salary computation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Adetayo Odebo</dc:creator>
  <cp:lastModifiedBy>Musa Wasiu</cp:lastModifiedBy>
  <dcterms:created xsi:type="dcterms:W3CDTF">2019-11-25T08:10:01Z</dcterms:created>
  <dcterms:modified xsi:type="dcterms:W3CDTF">2023-04-13T19:30:28Z</dcterms:modified>
</cp:coreProperties>
</file>