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brand\Optics\Olaf\Software\BigAssTableOfLenses\"/>
    </mc:Choice>
  </mc:AlternateContent>
  <bookViews>
    <workbookView xWindow="0" yWindow="450" windowWidth="23400" windowHeight="12780" activeTab="1"/>
  </bookViews>
  <sheets>
    <sheet name="LensTable" sheetId="1" r:id="rId1"/>
    <sheet name="Changelog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4" i="2" l="1"/>
  <c r="H398" i="1"/>
  <c r="G398" i="1"/>
  <c r="H62" i="1"/>
  <c r="G62" i="1"/>
  <c r="H213" i="1"/>
  <c r="G213" i="1"/>
  <c r="H202" i="1"/>
  <c r="G202" i="1"/>
  <c r="H204" i="1"/>
  <c r="G204" i="1"/>
  <c r="H212" i="1"/>
  <c r="G212" i="1"/>
  <c r="H209" i="1"/>
  <c r="G209" i="1"/>
  <c r="H186" i="1"/>
  <c r="G186" i="1"/>
  <c r="H189" i="1"/>
  <c r="G189" i="1"/>
  <c r="H185" i="1"/>
  <c r="G185" i="1"/>
  <c r="H182" i="1"/>
  <c r="G182" i="1"/>
  <c r="H122" i="1"/>
  <c r="G122" i="1"/>
  <c r="H123" i="1"/>
  <c r="G123" i="1"/>
  <c r="H121" i="1"/>
  <c r="G121" i="1"/>
  <c r="H89" i="1"/>
  <c r="G89" i="1"/>
  <c r="H240" i="1"/>
  <c r="G240" i="1"/>
  <c r="H250" i="1"/>
  <c r="G250" i="1"/>
  <c r="H244" i="1"/>
  <c r="G244" i="1"/>
  <c r="G237" i="1"/>
  <c r="H237" i="1"/>
  <c r="H27" i="1"/>
  <c r="G201" i="1"/>
  <c r="F169" i="1"/>
  <c r="H117" i="1"/>
  <c r="G117" i="1"/>
  <c r="F117" i="1"/>
  <c r="H116" i="1"/>
  <c r="G116" i="1"/>
  <c r="F116" i="1"/>
  <c r="H107" i="1"/>
  <c r="G107" i="1"/>
  <c r="F107" i="1"/>
  <c r="H100" i="1"/>
  <c r="G100" i="1"/>
  <c r="H98" i="1"/>
  <c r="G98" i="1"/>
  <c r="H99" i="1"/>
  <c r="G99" i="1"/>
  <c r="F99" i="1"/>
  <c r="H181" i="1"/>
  <c r="G181" i="1"/>
  <c r="H180" i="1"/>
  <c r="G180" i="1"/>
  <c r="H179" i="1"/>
  <c r="G179" i="1"/>
  <c r="H227" i="1"/>
  <c r="G227" i="1"/>
  <c r="H229" i="1"/>
  <c r="G229" i="1"/>
  <c r="H231" i="1"/>
  <c r="G231" i="1"/>
  <c r="H230" i="1"/>
  <c r="G230" i="1"/>
  <c r="H228" i="1"/>
  <c r="G228" i="1"/>
  <c r="G216" i="1"/>
  <c r="H216" i="1"/>
  <c r="H215" i="1"/>
  <c r="G215" i="1"/>
  <c r="H217" i="1"/>
  <c r="G217" i="1"/>
  <c r="H221" i="1"/>
  <c r="G221" i="1"/>
  <c r="H223" i="1"/>
  <c r="G223" i="1"/>
  <c r="H218" i="1"/>
  <c r="G218" i="1"/>
  <c r="H222" i="1"/>
  <c r="G222" i="1"/>
  <c r="H219" i="1"/>
  <c r="G219" i="1"/>
  <c r="H220" i="1"/>
  <c r="G220" i="1"/>
  <c r="H210" i="1"/>
  <c r="G210" i="1"/>
  <c r="H207" i="1"/>
  <c r="G207" i="1"/>
  <c r="H211" i="1"/>
  <c r="G211" i="1"/>
  <c r="G208" i="1"/>
  <c r="H208" i="1"/>
  <c r="H206" i="1"/>
  <c r="G206" i="1"/>
  <c r="G205" i="1"/>
  <c r="H205" i="1"/>
  <c r="F205" i="1"/>
  <c r="H199" i="1"/>
  <c r="G199" i="1"/>
  <c r="H201" i="1"/>
  <c r="H200" i="1"/>
  <c r="G200" i="1"/>
  <c r="H203" i="1"/>
  <c r="G203" i="1"/>
  <c r="H298" i="1"/>
  <c r="G298" i="1"/>
  <c r="H268" i="1"/>
  <c r="G268" i="1"/>
  <c r="H288" i="1"/>
  <c r="G288" i="1"/>
  <c r="G278" i="1"/>
  <c r="H278" i="1"/>
  <c r="H262" i="1"/>
  <c r="G262" i="1"/>
  <c r="H303" i="1"/>
  <c r="G303" i="1"/>
  <c r="H287" i="1"/>
  <c r="G287" i="1"/>
  <c r="H297" i="1"/>
  <c r="G297" i="1"/>
  <c r="H286" i="1"/>
  <c r="G286" i="1"/>
  <c r="H277" i="1"/>
  <c r="G277" i="1"/>
  <c r="H261" i="1"/>
  <c r="G261" i="1"/>
  <c r="H296" i="1"/>
  <c r="G296" i="1"/>
  <c r="H272" i="1"/>
  <c r="G272" i="1"/>
  <c r="H294" i="1"/>
  <c r="G294" i="1"/>
  <c r="H305" i="1"/>
  <c r="G305" i="1"/>
  <c r="H302" i="1"/>
  <c r="G302" i="1"/>
  <c r="H295" i="1"/>
  <c r="G295" i="1"/>
  <c r="H285" i="1"/>
  <c r="G285" i="1"/>
  <c r="H284" i="1"/>
  <c r="G284" i="1"/>
  <c r="H276" i="1"/>
  <c r="G276" i="1"/>
  <c r="H275" i="1"/>
  <c r="G275" i="1"/>
  <c r="H271" i="1"/>
  <c r="G271" i="1"/>
  <c r="H267" i="1"/>
  <c r="G267" i="1"/>
  <c r="H266" i="1"/>
  <c r="G266" i="1"/>
  <c r="H260" i="1"/>
  <c r="G260" i="1"/>
  <c r="H257" i="1"/>
  <c r="G257" i="1"/>
  <c r="H254" i="1"/>
  <c r="G254" i="1"/>
  <c r="H46" i="1"/>
  <c r="G46" i="1"/>
  <c r="H55" i="1"/>
  <c r="G55" i="1"/>
  <c r="H25" i="1"/>
  <c r="G25" i="1"/>
  <c r="H21" i="1"/>
  <c r="G21" i="1"/>
  <c r="H15" i="1"/>
  <c r="G15" i="1"/>
  <c r="H9" i="1"/>
  <c r="G9" i="1"/>
  <c r="H31" i="1"/>
  <c r="G31" i="1"/>
  <c r="H3" i="1"/>
  <c r="G3" i="1"/>
  <c r="H190" i="1"/>
  <c r="G190" i="1"/>
  <c r="H191" i="1"/>
  <c r="G191" i="1"/>
  <c r="H192" i="1"/>
  <c r="G192" i="1"/>
  <c r="H188" i="1"/>
  <c r="G188" i="1"/>
  <c r="H187" i="1"/>
  <c r="G187" i="1"/>
  <c r="H184" i="1"/>
  <c r="G184" i="1"/>
  <c r="H183" i="1"/>
  <c r="G183" i="1"/>
  <c r="H175" i="1"/>
  <c r="G175" i="1"/>
  <c r="H173" i="1"/>
  <c r="G173" i="1"/>
  <c r="H171" i="1"/>
  <c r="G171" i="1"/>
  <c r="H169" i="1"/>
  <c r="G169" i="1"/>
  <c r="H167" i="1"/>
  <c r="G167" i="1"/>
  <c r="H137" i="1"/>
  <c r="G137" i="1"/>
  <c r="H130" i="1"/>
  <c r="G130" i="1"/>
  <c r="H126" i="1"/>
  <c r="G126" i="1"/>
  <c r="H145" i="1"/>
  <c r="G145" i="1"/>
  <c r="H147" i="1"/>
  <c r="G147" i="1"/>
  <c r="H155" i="1"/>
  <c r="G155" i="1"/>
  <c r="H150" i="1"/>
  <c r="G150" i="1"/>
  <c r="H134" i="1"/>
  <c r="G134" i="1"/>
  <c r="H154" i="1"/>
  <c r="G154" i="1"/>
  <c r="H151" i="1"/>
  <c r="G151" i="1"/>
  <c r="H146" i="1"/>
  <c r="G146" i="1"/>
  <c r="H144" i="1"/>
  <c r="G144" i="1"/>
  <c r="H142" i="1"/>
  <c r="G142" i="1"/>
  <c r="H141" i="1"/>
  <c r="G141" i="1"/>
  <c r="H140" i="1"/>
  <c r="G140" i="1"/>
  <c r="H139" i="1"/>
  <c r="G139" i="1"/>
  <c r="F139" i="1"/>
  <c r="H138" i="1"/>
  <c r="G138" i="1"/>
  <c r="H136" i="1"/>
  <c r="G136" i="1"/>
  <c r="H135" i="1"/>
  <c r="G135" i="1"/>
  <c r="H133" i="1"/>
  <c r="G133" i="1"/>
  <c r="H132" i="1"/>
  <c r="G132" i="1"/>
  <c r="H131" i="1"/>
  <c r="G131" i="1"/>
  <c r="H129" i="1"/>
  <c r="G129" i="1"/>
  <c r="H128" i="1"/>
  <c r="G128" i="1"/>
  <c r="H127" i="1"/>
  <c r="G127" i="1"/>
  <c r="H153" i="1"/>
  <c r="G153" i="1"/>
  <c r="H152" i="1"/>
  <c r="G152" i="1"/>
  <c r="H149" i="1"/>
  <c r="G149" i="1"/>
  <c r="H148" i="1"/>
  <c r="G148" i="1"/>
  <c r="H143" i="1"/>
  <c r="G143" i="1"/>
  <c r="H125" i="1"/>
  <c r="G125" i="1"/>
  <c r="H124" i="1"/>
  <c r="G124" i="1"/>
  <c r="H43" i="1"/>
  <c r="G43" i="1"/>
  <c r="H45" i="1"/>
  <c r="G45" i="1"/>
  <c r="H39" i="1"/>
  <c r="G39" i="1"/>
  <c r="H48" i="1"/>
  <c r="G48" i="1"/>
  <c r="H50" i="1"/>
  <c r="G50" i="1"/>
  <c r="H53" i="1"/>
  <c r="G53" i="1"/>
  <c r="H52" i="1"/>
  <c r="G52" i="1"/>
  <c r="H36" i="1"/>
  <c r="G36" i="1"/>
  <c r="H38" i="1"/>
  <c r="G38" i="1"/>
  <c r="H41" i="1"/>
  <c r="G41" i="1"/>
  <c r="H40" i="1"/>
  <c r="G40" i="1"/>
  <c r="H60" i="1"/>
  <c r="G60" i="1"/>
  <c r="H58" i="1"/>
  <c r="G58" i="1"/>
  <c r="H42" i="1"/>
  <c r="G42" i="1"/>
  <c r="H34" i="1"/>
  <c r="G34" i="1"/>
  <c r="H47" i="1"/>
  <c r="G47" i="1"/>
  <c r="H56" i="1"/>
  <c r="G56" i="1"/>
  <c r="H57" i="1"/>
  <c r="G57" i="1"/>
  <c r="H22" i="1"/>
  <c r="G22" i="1"/>
  <c r="H59" i="1"/>
  <c r="G59" i="1"/>
  <c r="H51" i="1"/>
  <c r="G51" i="1"/>
  <c r="H54" i="1"/>
  <c r="G54" i="1"/>
  <c r="H49" i="1"/>
  <c r="G49" i="1"/>
  <c r="H29" i="1"/>
  <c r="G29" i="1"/>
  <c r="H28" i="1"/>
  <c r="G28" i="1"/>
  <c r="H30" i="1"/>
  <c r="G30" i="1"/>
  <c r="H32" i="1"/>
  <c r="G32" i="1"/>
  <c r="H18" i="1"/>
  <c r="H19" i="1"/>
  <c r="H20" i="1"/>
  <c r="H23" i="1"/>
  <c r="H24" i="1"/>
  <c r="H17" i="1"/>
  <c r="H16" i="1"/>
  <c r="H12" i="1"/>
  <c r="H13" i="1"/>
  <c r="H14" i="1"/>
  <c r="H10" i="1"/>
  <c r="H11" i="1"/>
  <c r="H6" i="1"/>
  <c r="H7" i="1"/>
  <c r="H5" i="1"/>
  <c r="H2" i="1"/>
  <c r="H8" i="1"/>
  <c r="H4" i="1"/>
  <c r="H26" i="1"/>
  <c r="H35" i="1"/>
  <c r="H37" i="1"/>
  <c r="H33" i="1"/>
  <c r="G33" i="1"/>
  <c r="G37" i="1"/>
  <c r="G35" i="1"/>
  <c r="G27" i="1"/>
  <c r="G26" i="1"/>
  <c r="G4" i="1"/>
  <c r="G8" i="1"/>
  <c r="G6" i="1"/>
  <c r="G7" i="1"/>
  <c r="G5" i="1"/>
  <c r="G2" i="1"/>
  <c r="G11" i="1"/>
  <c r="G10" i="1"/>
  <c r="G14" i="1"/>
  <c r="G13" i="1"/>
  <c r="G12" i="1"/>
  <c r="G16" i="1"/>
  <c r="G17" i="1"/>
  <c r="G24" i="1"/>
  <c r="G23" i="1"/>
  <c r="G20" i="1"/>
  <c r="G19" i="1"/>
  <c r="G18" i="1"/>
</calcChain>
</file>

<file path=xl/sharedStrings.xml><?xml version="1.0" encoding="utf-8"?>
<sst xmlns="http://schemas.openxmlformats.org/spreadsheetml/2006/main" count="3447" uniqueCount="706">
  <si>
    <t>Manufacture</t>
  </si>
  <si>
    <t>Model</t>
  </si>
  <si>
    <t>Release Year</t>
  </si>
  <si>
    <t>MSRP</t>
  </si>
  <si>
    <t>Weight</t>
  </si>
  <si>
    <t>Length</t>
  </si>
  <si>
    <t>Max Diameter</t>
  </si>
  <si>
    <t>Canon</t>
  </si>
  <si>
    <t>Stabilized</t>
  </si>
  <si>
    <t>EF 50mm f/1.8 STM</t>
  </si>
  <si>
    <t>EF 50mm f/1.4 USM</t>
  </si>
  <si>
    <t>EF 50mm f/1.2L USM</t>
  </si>
  <si>
    <t>EF 85mm f/1.8 USM</t>
  </si>
  <si>
    <t>EF 85mm f/1.2L II USM</t>
  </si>
  <si>
    <t>TS-E 45mm f/2.8 Tilt-Shift</t>
  </si>
  <si>
    <t>EF 40mm f/2.8 STM</t>
  </si>
  <si>
    <t>EF 35mm f/1.4L USM</t>
  </si>
  <si>
    <t>EF 35mm f/1.4L II USM</t>
  </si>
  <si>
    <t>EF 35mm f/2 IS USM</t>
  </si>
  <si>
    <t>EF 28mm f/2.8 IS USM</t>
  </si>
  <si>
    <t>EF 28mm f/1.8 USM</t>
  </si>
  <si>
    <t>EF 24mm f/2.8 IS USM</t>
  </si>
  <si>
    <t>EF 24mm f/1.4L II USM</t>
  </si>
  <si>
    <t>EF 20mm f/2.8 USM</t>
  </si>
  <si>
    <t>TS-E 24mm f/3.5L II Tilt-Shift</t>
  </si>
  <si>
    <t>Max Aperture</t>
  </si>
  <si>
    <t>TS-E 17mm f/4L Tilt-Shift</t>
  </si>
  <si>
    <t>TS-E 90mm f/2.8 Tilt-Shift</t>
  </si>
  <si>
    <t>EFL</t>
  </si>
  <si>
    <t>EF 100mm f/2 USM</t>
  </si>
  <si>
    <t>EF 400mm f/5.6L USM</t>
  </si>
  <si>
    <t>EF 200mm f/2.8L II USM</t>
  </si>
  <si>
    <t>EF 180mm f/3.5L Macro USM</t>
  </si>
  <si>
    <t>EF 135mm f/2L USM</t>
  </si>
  <si>
    <t>EF 300mm f/4L IS USM</t>
  </si>
  <si>
    <t>EF 100mm f/2.8 Macro USM</t>
  </si>
  <si>
    <t>EF 100mm f/2.8L Macro USM</t>
  </si>
  <si>
    <t>EF 70-300mm f/4-5.6 IS USM</t>
  </si>
  <si>
    <t>Cinema</t>
  </si>
  <si>
    <t>EF-S 60mm f/2.8 Macro USM</t>
  </si>
  <si>
    <t>EF 70-200mm f/4L IS USM</t>
  </si>
  <si>
    <t>EF 70-200mm f/4L USM</t>
  </si>
  <si>
    <t>EF 16-35mm f/2.8L II USM</t>
  </si>
  <si>
    <t>EF 200mm f/2L IS USM</t>
  </si>
  <si>
    <t>EF 800mm f/5.6L IS USM</t>
  </si>
  <si>
    <t>EF 70-200mm f/2.8L IS II USM</t>
  </si>
  <si>
    <t>EF 70-300mm f/4-5.6L IS USM</t>
  </si>
  <si>
    <t>EF 500mm f/4L IS II USM</t>
  </si>
  <si>
    <t>EF 600mm f/4L IS II USM</t>
  </si>
  <si>
    <t>EF 400mm f/2.8L IS II USM</t>
  </si>
  <si>
    <t>EF 300mm f/2.8L IS II USM</t>
  </si>
  <si>
    <t>EF 200-400mm f/4L IS USM Extender 1.4x</t>
  </si>
  <si>
    <t>EF 16-35mm f/4L IS USM</t>
  </si>
  <si>
    <t>EF 400mm f/4 DO IS II USM</t>
  </si>
  <si>
    <t>EF 100-400mm f/4.5-5.6L IS II USM</t>
  </si>
  <si>
    <t>EF 11-24mm f/4L USM</t>
  </si>
  <si>
    <t>Changelog</t>
  </si>
  <si>
    <t>Initial addition, select canon lenses</t>
  </si>
  <si>
    <t>Added most of the Canon EF line.  One or two EF-S</t>
  </si>
  <si>
    <t>Nikon</t>
  </si>
  <si>
    <t>AF-S Nikkor 20mm f/1.8G ED</t>
  </si>
  <si>
    <t>EF 14mm f/2.8L II USM</t>
  </si>
  <si>
    <t>Beginning to add the Nikons.  New format for zoom efls; from 70,135,200 to 70-135-200</t>
  </si>
  <si>
    <t>AF-S Nikkor 14-24mm f/2.8G ED</t>
  </si>
  <si>
    <t>AF-S Nikkor 24-70mm f/2.8G ED</t>
  </si>
  <si>
    <t>AF-S Nikkor 24-70mm f/2.8G ED VR</t>
  </si>
  <si>
    <t>AF-S Nikkor 70-200mm f/2.8G ED VR II</t>
  </si>
  <si>
    <t>AF-S Nikkor 70-200mm f/4G ED VR</t>
  </si>
  <si>
    <t>AF-S Nikkor 28mm f/1.8G</t>
  </si>
  <si>
    <t>28</t>
  </si>
  <si>
    <t>35</t>
  </si>
  <si>
    <t>AF-S Nikkor 50mm f/1.8G</t>
  </si>
  <si>
    <t>AF-S Nikkor 50mm f/1.4G</t>
  </si>
  <si>
    <t>AF-S Nikkor 58mm f/1.4G</t>
  </si>
  <si>
    <t>50</t>
  </si>
  <si>
    <t>58</t>
  </si>
  <si>
    <t>AF-S Nikkor 85mm f/1.8G</t>
  </si>
  <si>
    <t>85</t>
  </si>
  <si>
    <t>AF-S Nikkor 85mm f/1.4G</t>
  </si>
  <si>
    <t>AF-S VR Micro-Nikkor 105mm f/2.8G IF-ED</t>
  </si>
  <si>
    <t>105</t>
  </si>
  <si>
    <t>200</t>
  </si>
  <si>
    <t>AF-S Nikkor 300mm f/4E PF ED VR</t>
  </si>
  <si>
    <t>300</t>
  </si>
  <si>
    <t>AF-S Nikkor 300mm f/2.8G ED VR II</t>
  </si>
  <si>
    <t>400</t>
  </si>
  <si>
    <t>AF-S Nikkor 16-35mm f/4G ED VR</t>
  </si>
  <si>
    <t>AF-S Nikkor 200-500mm f/5.6E ED VR</t>
  </si>
  <si>
    <t>AF-S VR Zoom-Nikkor 70-300mm f/4.5-5.6G IF-ED</t>
  </si>
  <si>
    <t>AF-S Micro-Nikkor 60mm f/2.8G ED Lens</t>
  </si>
  <si>
    <t>60</t>
  </si>
  <si>
    <t>AF-S Nikkor 24-85mm f/3.5-4.5G ED VR</t>
  </si>
  <si>
    <t>AF-S Nikkor 80-400mm f/4.5-5.6G ED VR</t>
  </si>
  <si>
    <t>AF-S Nikkor 24-120mm f/4G ED VR</t>
  </si>
  <si>
    <t>AF-S Nikkor 18-35mm f/3.5-4.5G ED</t>
  </si>
  <si>
    <t>PC-E Nikkor 24mm f/3.5D ED Tilt-Shift</t>
  </si>
  <si>
    <t>24</t>
  </si>
  <si>
    <t>PC-E Micro-Nikkor 45mm f/2.8D ED Tilt-Shift</t>
  </si>
  <si>
    <t>45</t>
  </si>
  <si>
    <t>PC-E Micro-Nikkor 85mm f/2.8D Tilt-Shift</t>
  </si>
  <si>
    <t>Sigma</t>
  </si>
  <si>
    <t>EF 24-105mm f/4L IS USM</t>
  </si>
  <si>
    <t>Correct typo in 24-105L entry</t>
  </si>
  <si>
    <t>AF-S Nikkor 200mm f/2G ED VR II</t>
  </si>
  <si>
    <t>AF-S Nikkor 24mm f/1.4G ED</t>
  </si>
  <si>
    <t>AF-S Nikkor 35mm f/1.4G</t>
  </si>
  <si>
    <t>AF-S Nikkor 35mm f/1.8G ED</t>
  </si>
  <si>
    <t>AF-S Nikkor 400mm f/2.8E FL ED VR</t>
  </si>
  <si>
    <t>Correct typo in Nikon 200 f/2 II entry, Nikon 24/1.4 entry, Nikon 400/2.8 entry.</t>
  </si>
  <si>
    <t>14mm f/2.8 IF ED UMC</t>
  </si>
  <si>
    <t>14</t>
  </si>
  <si>
    <t>24mm f/1.4 ED AS UMC</t>
  </si>
  <si>
    <t>35mm f/1.4 AS UMC</t>
  </si>
  <si>
    <t>50mm f/1.4 AS IF UMC</t>
  </si>
  <si>
    <t>85mm f/1.4 AS IF UMC</t>
  </si>
  <si>
    <t>20mm f/1.4 DG HSM Art</t>
  </si>
  <si>
    <t>20</t>
  </si>
  <si>
    <t>24mm f/1.4 DG HSM Art</t>
  </si>
  <si>
    <t>35mm f/1.4 DG HSM Art</t>
  </si>
  <si>
    <t>50mm f/1.4 DG HSM Art</t>
  </si>
  <si>
    <t>24-35mm f/2 DG HSM Art</t>
  </si>
  <si>
    <t>120-300mm f/2.8 DG OS HSM Sport</t>
  </si>
  <si>
    <t>85mm f/1.4 EX DG HSM</t>
  </si>
  <si>
    <t>CN-E 14mm T3.1 L F</t>
  </si>
  <si>
    <t>CN-E 135mm T2.2 L F</t>
  </si>
  <si>
    <t>135</t>
  </si>
  <si>
    <t>CN-E 24mm T1.5 L F</t>
  </si>
  <si>
    <t>CN-E 35mm T1.5 L F</t>
  </si>
  <si>
    <t>CN-E 50mm T1.3 L F</t>
  </si>
  <si>
    <t>CN-E 85mm T1.3 L F</t>
  </si>
  <si>
    <t>Add Rokinon, Sigma, some Canon CN-E</t>
  </si>
  <si>
    <t>CN-E 30-105mm f/2.8 L SP</t>
  </si>
  <si>
    <t>Zeiss</t>
  </si>
  <si>
    <t>Distagon T* 15mm f/2.8 ZE</t>
  </si>
  <si>
    <t>15</t>
  </si>
  <si>
    <t>Distagon T* 18mm f/3.5 ZE</t>
  </si>
  <si>
    <t>18</t>
  </si>
  <si>
    <t>21</t>
  </si>
  <si>
    <t>25</t>
  </si>
  <si>
    <t>Distagon T* 25mm f/2.8 ZE</t>
  </si>
  <si>
    <t>Distagon T* 35mm f/2 ZE</t>
  </si>
  <si>
    <t>Distagon T* 28mm f/2 ZE</t>
  </si>
  <si>
    <t>Distagon T* 35mm f/1.4 ZE</t>
  </si>
  <si>
    <t>Planar T* 50mm f/1.4 ZE</t>
  </si>
  <si>
    <t>Planar T* 85mm f/1.4 ZE</t>
  </si>
  <si>
    <t>Makro-Planar T* 100mm f/2 ZE</t>
  </si>
  <si>
    <t>100</t>
  </si>
  <si>
    <t>Apo Sonnar T* 135mm f/2 ZE</t>
  </si>
  <si>
    <t>Apo Distagon T* 55mm f/1.4 Otus ZE</t>
  </si>
  <si>
    <t>55</t>
  </si>
  <si>
    <t>Apo Distagon T* 28mm f/1.4 Otus ZE</t>
  </si>
  <si>
    <t>Apo Planar T* 85mm f/1.4 Otus ZE</t>
  </si>
  <si>
    <t>Milvus 21mm f/2.8 ZE</t>
  </si>
  <si>
    <t>Milvus 35mm f/2 ZE</t>
  </si>
  <si>
    <t>Milvus 50mm f/1.4 ZE</t>
  </si>
  <si>
    <t>Milvus 85mm f/1.4 ZE</t>
  </si>
  <si>
    <t>Milvus 50mm f/2M ZE</t>
  </si>
  <si>
    <t>Milvus 100mm f/2M ZE</t>
  </si>
  <si>
    <t>Add Zeiss ZE, Otus, Milvus.  Correct typo in Zeiss 21/2.8 and Nikon 28-300</t>
  </si>
  <si>
    <t>Distagon T* 21mm f/2.8 ZE</t>
  </si>
  <si>
    <t>AF-S Nikkor 28-300mm f/3.5-5.6G ED VR</t>
  </si>
  <si>
    <t>Loxia Biogon T* 35mm f/2</t>
  </si>
  <si>
    <t>Loxia Distagon T* 21mm f/2.8</t>
  </si>
  <si>
    <t>Loxia Planar T* 50mm f/2</t>
  </si>
  <si>
    <t>Add Zeiss Loxia, Batis, Sony FE</t>
  </si>
  <si>
    <t>Sony</t>
  </si>
  <si>
    <t>Sonnar T* FE 55mm f/1.8 ZA</t>
  </si>
  <si>
    <t>Sonnar T* FE 35mm f/2.8 ZA</t>
  </si>
  <si>
    <t>Distagon T* FE 35mm f/1.4 ZA</t>
  </si>
  <si>
    <t>FE 28mm f/2</t>
  </si>
  <si>
    <t>FE 90mm f/2.8 Macro G OSS</t>
  </si>
  <si>
    <t>90</t>
  </si>
  <si>
    <t>Vario-Tessar T* FE 16-35mm f/4 ZA OSS</t>
  </si>
  <si>
    <t>Vario-Tessar T* FE 24-70mm f/4 ZA OSS</t>
  </si>
  <si>
    <t>FE 24-240mm f/3.5-6.3 OSS</t>
  </si>
  <si>
    <t>FE PZ 28-135mm f/4 G OSS</t>
  </si>
  <si>
    <t>Zoom</t>
  </si>
  <si>
    <t>0</t>
  </si>
  <si>
    <t>1</t>
  </si>
  <si>
    <t>Add Zoom metadata</t>
  </si>
  <si>
    <t>Tamron</t>
  </si>
  <si>
    <t>SP 15-30mm f/2.8 Di VC USD</t>
  </si>
  <si>
    <t>SP 70-200mm f/2.8 Di VC USD</t>
  </si>
  <si>
    <t>SP 150-600mm f/5-6.3 Di VC USD</t>
  </si>
  <si>
    <t>SP 70-300mm f/4-5.6 Di VC USD</t>
  </si>
  <si>
    <t>28-300mm f/3.5-6.3 Di VC PZD</t>
  </si>
  <si>
    <t>SP 35mm f/1.8 Di VC USD</t>
  </si>
  <si>
    <t>SP 45mm f/1.8 Di VC USD</t>
  </si>
  <si>
    <t>Add bulk of relevant Tamron lenses</t>
  </si>
  <si>
    <t>Tokina</t>
  </si>
  <si>
    <t>AT-X 16-28mm f/2.8 Pro FX</t>
  </si>
  <si>
    <t>AT-X 24-70mm f/2.8 Pro FX</t>
  </si>
  <si>
    <t>AT-X 70-200mm f/4 Pro FX VCM-S</t>
  </si>
  <si>
    <t>17-35mm f/4 Pro FX</t>
  </si>
  <si>
    <t>100mm f/2.8 AT-X M100 AF Pro D</t>
  </si>
  <si>
    <t>Add Tokina - NOTE: 100mm Macro release year from KR, not sure if accurate</t>
  </si>
  <si>
    <t>Re-format Tamron 90mm Macro VC name for leading SP</t>
  </si>
  <si>
    <t>SP 90mm f/2.8 Di Macro 1:1 VC USD</t>
  </si>
  <si>
    <t>SP 24-70mm f/2.8 Di VC USD</t>
  </si>
  <si>
    <t>Add Rokinon XEEN, Zeiss M mount</t>
  </si>
  <si>
    <t>Distagon T* 15mm f/2.8 ZM</t>
  </si>
  <si>
    <t>Distagon T* 18mm f/4 ZM</t>
  </si>
  <si>
    <t>Biogon T* 21mm f/4.5 C ZM</t>
  </si>
  <si>
    <t>Biogon T* 25mm f/2.8 ZM</t>
  </si>
  <si>
    <t>Biogon T* 28mm f/2.8 ZM</t>
  </si>
  <si>
    <t>Distagon T* 35mm f/1.4 ZM</t>
  </si>
  <si>
    <t>Biogon T* 35mm f/2.8 C ZM</t>
  </si>
  <si>
    <t>Biogon T* 35mm f/2 ZM</t>
  </si>
  <si>
    <t>Sonnar T* 50mm f/1.5 C ZM</t>
  </si>
  <si>
    <t>Planar T* 50mm f/2 ZM</t>
  </si>
  <si>
    <t>Tele-Tessar T* 85mm f/4 ZM</t>
  </si>
  <si>
    <t>Schneider</t>
  </si>
  <si>
    <t>PC-TS Super-Angulon 28mm f/4.5 HM Aspheric</t>
  </si>
  <si>
    <t>Voigtlander</t>
  </si>
  <si>
    <t>12</t>
  </si>
  <si>
    <t>Super-Wide Heliar 15mm f/4.5 III</t>
  </si>
  <si>
    <t>Ultra-Wide Heliar 12mm f/5.6 II</t>
  </si>
  <si>
    <t>Color-Skopar 21mm f/4 P II</t>
  </si>
  <si>
    <t>Ultron 28mm f/2</t>
  </si>
  <si>
    <t>Ultron Aspherical 35mm f/1.7</t>
  </si>
  <si>
    <t>Nokton Aspherical 35mm f/1.2 II</t>
  </si>
  <si>
    <t>40</t>
  </si>
  <si>
    <t>Nokton 50mm f/1.1</t>
  </si>
  <si>
    <t>Heliar 75mm f/1.8</t>
  </si>
  <si>
    <t>75</t>
  </si>
  <si>
    <t>Leica</t>
  </si>
  <si>
    <t>18mm f/3.8 Super-Elmar-M Aspherical</t>
  </si>
  <si>
    <t>21mm f/3.4 Super-Elmar-M Aspherical</t>
  </si>
  <si>
    <t>21mm f/1.4 Summilux-M Aspherical</t>
  </si>
  <si>
    <t>24mm f/3.8 Elmar-M Aspherical</t>
  </si>
  <si>
    <t>24mm f/1.4 Summilux-M Aspherical</t>
  </si>
  <si>
    <t>28mm f/2.8 Elmarit-M Aspherical</t>
  </si>
  <si>
    <t>28mm f/2 Summicron-M Aspherical</t>
  </si>
  <si>
    <t>28mm f/2 Summicron-M Aspherical (2016)</t>
  </si>
  <si>
    <t>28mm f/1.4 Summilux-M Aspherical</t>
  </si>
  <si>
    <t>35mm f/2.5 Summarit-M</t>
  </si>
  <si>
    <t>35mm f/1.4 Summilux-M Aspherical</t>
  </si>
  <si>
    <t>35mm f/2.4 Summarit-M Aspherical</t>
  </si>
  <si>
    <t>35mm f/2 Summicron-M Aspherical</t>
  </si>
  <si>
    <t>2.5</t>
  </si>
  <si>
    <t>2.4</t>
  </si>
  <si>
    <t>2</t>
  </si>
  <si>
    <t>1.4</t>
  </si>
  <si>
    <t>50mm f/2 Summicron-M</t>
  </si>
  <si>
    <t>50mm f/2 Apo-Summicron-M Aspherical</t>
  </si>
  <si>
    <t>50mm f/1.4 Summilux-M Aspherical</t>
  </si>
  <si>
    <t>50mm f/0.95 Noctilux-M Aspherical</t>
  </si>
  <si>
    <t>Add Schneider PC-TS, Voigtlander M, Leica M</t>
  </si>
  <si>
    <t>Summilux-M 50mm f/2, produced from 1979-, new mechanics in 1994</t>
  </si>
  <si>
    <t>75mm f/2.4 Summarit-M</t>
  </si>
  <si>
    <t>135mm f/3.4 Apo-Telyt-M</t>
  </si>
  <si>
    <t>90mm f/4 Macro-Elmar</t>
  </si>
  <si>
    <t>90mm f/2.4 Summarit-M</t>
  </si>
  <si>
    <t>90mm f/2 Apo-Summicron-M Aspherical</t>
  </si>
  <si>
    <t>Makro-Planar T* 50mm f/2 ZE</t>
  </si>
  <si>
    <t>Delete leading space on Makro-Planar 50mm</t>
  </si>
  <si>
    <t>Venus</t>
  </si>
  <si>
    <t>Laowa 15mm f/4 Wide Angle 1:1 Macro</t>
  </si>
  <si>
    <t>Laowa 60mm f/2.8 2X Ultra-Macro</t>
  </si>
  <si>
    <t>Add Venus Optics lenses</t>
  </si>
  <si>
    <t>Correct typos in Schneider PC-TS entries</t>
  </si>
  <si>
    <t>PC-TS Super-Angulon 50mm f/2.8 HM</t>
  </si>
  <si>
    <t>PC-TS Makro-Symmar 90mm f/4.5 HM</t>
  </si>
  <si>
    <t>Add Rokinon 24mm f/1.4 likely weight, correct typo in FE 35/1.4 length, Canon 100/2 diameter</t>
  </si>
  <si>
    <t>50mm f/2.5 Summarit-M</t>
  </si>
  <si>
    <t>50mm f/2.4 Summarit-M</t>
  </si>
  <si>
    <t>75mm f/2.5 Summarit-M</t>
  </si>
  <si>
    <t>75mm f/2 Apo-Summicron-M</t>
  </si>
  <si>
    <t>Ultron 21mm f/1.8</t>
  </si>
  <si>
    <t>Color-Skopar 25mm f/4P</t>
  </si>
  <si>
    <t>Nokton Classic 35mm f/1.4</t>
  </si>
  <si>
    <t>Nokton 40mm f/1.4</t>
  </si>
  <si>
    <t>Nokton Aspherical 50mm f/1.5</t>
  </si>
  <si>
    <t>Biogon T* 21mm f/2.8 ZM</t>
  </si>
  <si>
    <t>Add Zeiss ZM 21mm f/2.8.  Correct misc. trailing spaces for Leica &amp; Voigtlander</t>
  </si>
  <si>
    <t>Format</t>
  </si>
  <si>
    <t>Full-Frame</t>
  </si>
  <si>
    <t>25mm f/0.95 Type II</t>
  </si>
  <si>
    <t>10.5mm f/0.95 Aspherical</t>
  </si>
  <si>
    <t>17.5mm f/0.95 Aspherical</t>
  </si>
  <si>
    <t>42.5mm f/0.95 Aspherical</t>
  </si>
  <si>
    <t>10.5</t>
  </si>
  <si>
    <t>17.5</t>
  </si>
  <si>
    <t>42.5</t>
  </si>
  <si>
    <t>Micro Four Thirds</t>
  </si>
  <si>
    <t>Handevision</t>
  </si>
  <si>
    <t xml:space="preserve">Ibelux 40mm f/0.85 </t>
  </si>
  <si>
    <t>Mitakon Zhongyi</t>
  </si>
  <si>
    <t xml:space="preserve">FreeWalker 24mm f/1.7 </t>
  </si>
  <si>
    <t>Speedmaster 25mm f/0.95</t>
  </si>
  <si>
    <t xml:space="preserve">FreeWalker 42.5mm f/1.2 </t>
  </si>
  <si>
    <t>APS-C</t>
  </si>
  <si>
    <t>19</t>
  </si>
  <si>
    <t>30</t>
  </si>
  <si>
    <t>19mm f/2.8 DN Art</t>
  </si>
  <si>
    <t>30mm f/2.8 DN Art</t>
  </si>
  <si>
    <t>60mm f/2.8 DN Art</t>
  </si>
  <si>
    <t>30mm f/1.4 DC Contemporary</t>
  </si>
  <si>
    <t xml:space="preserve">New Format column.  Add M4/3, Voigtlander, Handevision, Mitakon, Sigma </t>
  </si>
  <si>
    <t>FE 85mm f/1.4 GM</t>
  </si>
  <si>
    <t>Add Sony GM</t>
  </si>
  <si>
    <t>FE 50mm f/1.8</t>
  </si>
  <si>
    <t>FE 70-300mm f/4.5-5.6G OSS</t>
  </si>
  <si>
    <t>Add Sony 50/1.8 and 70-300.  New releases today.</t>
  </si>
  <si>
    <t>FE 70-200mm f/2.8 GM OSS</t>
  </si>
  <si>
    <t>FE 24-70mm f/2.8 GM</t>
  </si>
  <si>
    <t>Add "mm" to FE 24-70 and 70-200 f/2.8</t>
  </si>
  <si>
    <t>Add Leica SL</t>
  </si>
  <si>
    <t>Vario-Elmarit-SL 24-90mm f/2.8-4 Asph</t>
  </si>
  <si>
    <t>Apo-Vario-Elmarit-SL 90-280mm f/2.8-4</t>
  </si>
  <si>
    <t>EF 100-400mm f/4.5-5.6L IS USM</t>
  </si>
  <si>
    <t>Add Canon 100-400mm version 1</t>
  </si>
  <si>
    <t>Compact Prime CP.2 50mm T2.1</t>
  </si>
  <si>
    <t>Compact Prime CP.2 35mm T1.5 Super Speed</t>
  </si>
  <si>
    <t>Compact Prime CP.2 100mm T2.1</t>
  </si>
  <si>
    <t>Compact Prime CP.2 85mm T1.5 Super Speed</t>
  </si>
  <si>
    <t>Compact Prime CP.2 85mm T2.1</t>
  </si>
  <si>
    <t>Compact Prime CP.2 135mm T2.1</t>
  </si>
  <si>
    <t>Compact Prime CP.2 15mm T2.9</t>
  </si>
  <si>
    <t>Compact Prime CP.2 35mm T2.1</t>
  </si>
  <si>
    <t>Compact Prime CP.2 50mm T1.5 Super Speed</t>
  </si>
  <si>
    <t>Compact Prime CP.2 18mm T3.6</t>
  </si>
  <si>
    <t>Compact Prime CP.2 50mm T2.1 Makro</t>
  </si>
  <si>
    <t>Compact Prime CP.2 25mm T2.1</t>
  </si>
  <si>
    <t>Compact Zoom CZ.2 15-30mm T2.9</t>
  </si>
  <si>
    <t>Compact Zoom CZ.2 28-80mm T2.9</t>
  </si>
  <si>
    <t>Compact Zoom CZ.2 70-200mm T2.9</t>
  </si>
  <si>
    <t>Compact Prime CP.2 21mm T2.9</t>
  </si>
  <si>
    <t>Compact Prime CP.2 28mm T2.1</t>
  </si>
  <si>
    <t>Add Zeiss CP.2 and CZ.2</t>
  </si>
  <si>
    <t>Planar T* FE 50mm f/1.4 ZA</t>
  </si>
  <si>
    <t>Added Sony FE 50mm f1.4 ZA</t>
  </si>
  <si>
    <t>Batis 85mm f/1.8</t>
  </si>
  <si>
    <t>AF 28-75mm f2.8 XR DI LD</t>
  </si>
  <si>
    <t>Added Tamron 28-75mm f2.8</t>
  </si>
  <si>
    <t>EF 100mm f/2.8L Macro IS USM</t>
  </si>
  <si>
    <t>EF 17-40mm f/4L USM</t>
  </si>
  <si>
    <t>EF 24-70mm f/2.8L II USM</t>
  </si>
  <si>
    <t>EF 24-70mm f/4L IS USM</t>
  </si>
  <si>
    <t>EF 28-300mm f/3.5-5.6L IS USM</t>
  </si>
  <si>
    <t>EF 400mm f/4 DO IS USM</t>
  </si>
  <si>
    <t>150-600mm f/5-6.3 DG OS HSM</t>
  </si>
  <si>
    <t>150-600mm f/5-6.3 DG OS HSM Sport</t>
  </si>
  <si>
    <t>AF-S Nikkor 35mm f/1.8G ED DX</t>
  </si>
  <si>
    <t>Added Nikon 35mm f1.8 DX</t>
  </si>
  <si>
    <t>AF 50mm f/1.4 FE</t>
  </si>
  <si>
    <t>Added Rokinon AF 50mm f1.4</t>
  </si>
  <si>
    <t>Added Rokinon Xeen 135mm T2.2</t>
  </si>
  <si>
    <t>EF 70-300mm f/4.5-5.6 IS II USM</t>
  </si>
  <si>
    <t>70-300</t>
  </si>
  <si>
    <t>EF 16-35mm f/2.8L III USM</t>
  </si>
  <si>
    <t>16-35</t>
  </si>
  <si>
    <t>EF 24-105mm f/4L IS II USM</t>
  </si>
  <si>
    <t>24-105</t>
  </si>
  <si>
    <t>EF-S 18-135mm f/3.5-5.6 IS USM</t>
  </si>
  <si>
    <t>18-135</t>
  </si>
  <si>
    <t>EF 24-105mm f/3.5-5.6 IS STM</t>
  </si>
  <si>
    <t>PC-E Nikkor 19mm f/4E ED Tilt-Shift</t>
  </si>
  <si>
    <t>AF-S Nikkor 70-200mm f/2.8E FL ED VR</t>
  </si>
  <si>
    <t>70-200</t>
  </si>
  <si>
    <t xml:space="preserve">Nikon </t>
  </si>
  <si>
    <t>AF-P DX Nikkor 18-55mm f/3.5-5.6G</t>
  </si>
  <si>
    <t>18-55</t>
  </si>
  <si>
    <t>AF-P DX Nikkor 70-300mm f/4.5-6.3G ED VR</t>
  </si>
  <si>
    <t>AF-P DX Nikkor 18-55mm f/3.5-5.6G VR</t>
  </si>
  <si>
    <t>AF-P DX Nikkor 70-300mm f/4.5-6.3G ED</t>
  </si>
  <si>
    <t>AF-S Nikkor 105mm f/1.4E ED</t>
  </si>
  <si>
    <t>Fujifilm</t>
  </si>
  <si>
    <t>Fujinon XF 14mm f/2.8 R</t>
  </si>
  <si>
    <t>Fujinon XF 16mm f/1.4 R WR</t>
  </si>
  <si>
    <t>16</t>
  </si>
  <si>
    <t>Fujinon XF 18mm f/2 R</t>
  </si>
  <si>
    <t>Fujinon XF 23mm f/1.4 R</t>
  </si>
  <si>
    <t>23</t>
  </si>
  <si>
    <t>Fujinon XF 23mm f/2 R WR</t>
  </si>
  <si>
    <t>Fujinon XF 27mm f/2.8</t>
  </si>
  <si>
    <t>27</t>
  </si>
  <si>
    <t>Fujinon XF 35mm f/1.4 R</t>
  </si>
  <si>
    <t>Fujinon XF 35mm f/2 R WR</t>
  </si>
  <si>
    <t>Fujinon XF 56mm f/1.2 R</t>
  </si>
  <si>
    <t>56</t>
  </si>
  <si>
    <t>Fujinon XF 56mm f/1.2 R APD</t>
  </si>
  <si>
    <t>Fujinon XF 60mm f/2.4 R Macro</t>
  </si>
  <si>
    <t>Fujinon XF 90mm f/2 R LM WR</t>
  </si>
  <si>
    <t>Fujinon XF 10-24mm f/4 R OIS</t>
  </si>
  <si>
    <t>10-24</t>
  </si>
  <si>
    <t>Fujinon XF 16-55mm f/2.8 R LM WR</t>
  </si>
  <si>
    <t>16-55</t>
  </si>
  <si>
    <t>Fujinon XF 18-55mm f/2.8-4 R LM OIS</t>
  </si>
  <si>
    <t>Fujinon XF 18-135mm f/3.5-5.6 R LM  OIS WR</t>
  </si>
  <si>
    <t>Fujinon XF 50-140mm f/2.8 R LM OIS WR</t>
  </si>
  <si>
    <t>50-140</t>
  </si>
  <si>
    <t>Fujinon XF 55-200mm f/3.5-4.8 R LM OIS</t>
  </si>
  <si>
    <t>55-200</t>
  </si>
  <si>
    <t>100-400</t>
  </si>
  <si>
    <t>Fujinon XF 100-400mm f/4.5-5.6 R LM OIS WR</t>
  </si>
  <si>
    <t>Fujinon XC 16-50mm f/3.5-5.6 OIS II</t>
  </si>
  <si>
    <t>16-50</t>
  </si>
  <si>
    <t>Fujinon XC 50-230mm f/4.5-6.7 OIS II</t>
  </si>
  <si>
    <t>50-230</t>
  </si>
  <si>
    <t>85mm f/1.4 DG HSM Art</t>
  </si>
  <si>
    <t>12-24mm f/4 DG HSM Art</t>
  </si>
  <si>
    <t>12-24</t>
  </si>
  <si>
    <t>500mm f/4 DG OS HSM Sport</t>
  </si>
  <si>
    <t>500</t>
  </si>
  <si>
    <t>50-100mm f/1.8 DC HSM Art</t>
  </si>
  <si>
    <t>50-100</t>
  </si>
  <si>
    <t>SP 150-600mm f/5-6.3 Di VC USD G2</t>
  </si>
  <si>
    <t>150-600</t>
  </si>
  <si>
    <t>SP 85mm f/1.8 Di VC USD</t>
  </si>
  <si>
    <t>Milvus 18mm f/2.8 ZE</t>
  </si>
  <si>
    <t>Milvus 135mm f/2 ZE</t>
  </si>
  <si>
    <t>Milvus 15mm f/2.8 ZE</t>
  </si>
  <si>
    <t>Loxia 85mm f/2.4</t>
  </si>
  <si>
    <t>Batis 18mm f/2.8</t>
  </si>
  <si>
    <t>Summaron-M 28mm f/5.6</t>
  </si>
  <si>
    <t>FiRIN 20mm f/2 FE MF</t>
  </si>
  <si>
    <t>Laowa 12mm f/2.8 Zero-D</t>
  </si>
  <si>
    <t>Irix</t>
  </si>
  <si>
    <t>Firefly 15mm f/2.4</t>
  </si>
  <si>
    <t>Blackstone 15mm f/2.4</t>
  </si>
  <si>
    <t>Samyang</t>
  </si>
  <si>
    <t>14mm Ultra Wide-Angle f/2.8 IF ED UMC</t>
  </si>
  <si>
    <t>8mm f/3.5 HD Fisheye</t>
  </si>
  <si>
    <t>8</t>
  </si>
  <si>
    <t>85mm f/1.4 Aspherical</t>
  </si>
  <si>
    <t>Olympus</t>
  </si>
  <si>
    <t>M.Zuiko Digital ED 30mm f/3.5 Macro</t>
  </si>
  <si>
    <t>M.Zuiko Digital ED 25mm f/1.2 PRO</t>
  </si>
  <si>
    <t>M.Zuiko Digital ED 12-100mm f/4 IS PRO</t>
  </si>
  <si>
    <t>12-100</t>
  </si>
  <si>
    <t>Added a slew of 2016 lenses</t>
  </si>
  <si>
    <t>MK 18-55mm T2.9</t>
  </si>
  <si>
    <t>28-80</t>
  </si>
  <si>
    <t>15-30</t>
  </si>
  <si>
    <t>Super 35</t>
  </si>
  <si>
    <t>24-70</t>
  </si>
  <si>
    <t>17-35</t>
  </si>
  <si>
    <t>16-28</t>
  </si>
  <si>
    <t>28-75</t>
  </si>
  <si>
    <t>28-300</t>
  </si>
  <si>
    <t>28-135</t>
  </si>
  <si>
    <t>24-240</t>
  </si>
  <si>
    <t>16-36</t>
  </si>
  <si>
    <t>24-35</t>
  </si>
  <si>
    <t>120-300</t>
  </si>
  <si>
    <t>80-400</t>
  </si>
  <si>
    <t>24-85</t>
  </si>
  <si>
    <t>24-120</t>
  </si>
  <si>
    <t>200-500</t>
  </si>
  <si>
    <t>18-35</t>
  </si>
  <si>
    <t>14-24</t>
  </si>
  <si>
    <t>90-280</t>
  </si>
  <si>
    <t>24-90</t>
  </si>
  <si>
    <t>30-105</t>
  </si>
  <si>
    <t>200-400</t>
  </si>
  <si>
    <t>17-40</t>
  </si>
  <si>
    <t>15.5-47</t>
  </si>
  <si>
    <t>11-24</t>
  </si>
  <si>
    <t>MK 50-135mm T2.9</t>
  </si>
  <si>
    <t>50-135</t>
  </si>
  <si>
    <t>14mm f/1.8 DG HSM Art</t>
  </si>
  <si>
    <t>135mm f/1.8 DG HSM Art</t>
  </si>
  <si>
    <t>100-400mm f/5-6.3 DG OS HSM Contemporary</t>
  </si>
  <si>
    <t>Added Fuji 18-55 &amp; 55-140 cine lenses and sigma 14mm f/1.8, 135mm f/1.8, 24-70 Art, and 100-400 contemporary, standardized zoom format</t>
  </si>
  <si>
    <t>Correct typo on sigma 100-400mm efl</t>
  </si>
  <si>
    <t>70-135-200</t>
  </si>
  <si>
    <t>EF 70-200mm f/2.8L</t>
  </si>
  <si>
    <t>18-27-35</t>
  </si>
  <si>
    <t>50-90-135</t>
  </si>
  <si>
    <t>AT-X 50-135mm T3</t>
  </si>
  <si>
    <t>18-35mm T2 Cine</t>
  </si>
  <si>
    <t>18-80</t>
  </si>
  <si>
    <t>CN7x17 KAS S 17-120mm T2.95</t>
  </si>
  <si>
    <t>17-120</t>
  </si>
  <si>
    <t>CN-E 70-200mm T4.4</t>
  </si>
  <si>
    <t>CN-E 18-80mm T4.4</t>
  </si>
  <si>
    <t>CN-E 30-300mm T2.95-3.7 L SP</t>
  </si>
  <si>
    <t>30-300</t>
  </si>
  <si>
    <t>14.5-60</t>
  </si>
  <si>
    <t>Cine-Xenar III 50mm T2</t>
  </si>
  <si>
    <t>Cine-Xenar III 75mm T2</t>
  </si>
  <si>
    <t>Cine-Xenar III 95mm T2</t>
  </si>
  <si>
    <t>Cine-Xenar III 18mm T2.2</t>
  </si>
  <si>
    <t>Cine-Xenar III 25mm T2.2</t>
  </si>
  <si>
    <t>Cine-Xenar III 35mm T2.1</t>
  </si>
  <si>
    <t>95</t>
  </si>
  <si>
    <t>CN-E 15.5-47mm T2.8 L SP</t>
  </si>
  <si>
    <t>CN-E 14.5-60mm T2.6 L SP</t>
  </si>
  <si>
    <t>Angenieux</t>
  </si>
  <si>
    <t>Optimo 15-40mm T2</t>
  </si>
  <si>
    <t>15-20</t>
  </si>
  <si>
    <t>Optimo 22-60mm T3</t>
  </si>
  <si>
    <t>Optimo 30-90mm T2</t>
  </si>
  <si>
    <t>Optimo 45-135mm T3</t>
  </si>
  <si>
    <t>22-60</t>
  </si>
  <si>
    <t>30-90</t>
  </si>
  <si>
    <t>45-135</t>
  </si>
  <si>
    <t>Optimo Style 48-130mm T3</t>
  </si>
  <si>
    <t>48-130</t>
  </si>
  <si>
    <t>Optimo Style 16-40mm T2.8</t>
  </si>
  <si>
    <t>16-40</t>
  </si>
  <si>
    <t>Optimo Style 30-76mm T2.8</t>
  </si>
  <si>
    <t>30-76</t>
  </si>
  <si>
    <t>Optimo Style 25-250mm T3.5</t>
  </si>
  <si>
    <t>25-250</t>
  </si>
  <si>
    <t>Optimo 15-40mm T2.6</t>
  </si>
  <si>
    <t>Optimo 28-76mm T2.6</t>
  </si>
  <si>
    <t>28-76</t>
  </si>
  <si>
    <t>Optimo 45-120mm T2.8</t>
  </si>
  <si>
    <t>45-120</t>
  </si>
  <si>
    <t>Optimo 28-340mm T3.2</t>
  </si>
  <si>
    <t>28-340</t>
  </si>
  <si>
    <t>Optimo 24-290mm T2.8</t>
  </si>
  <si>
    <t>24-290</t>
  </si>
  <si>
    <t>Optimo 19.5-94mm T2.6</t>
  </si>
  <si>
    <t>19.5-94</t>
  </si>
  <si>
    <t>Optimo Anamorphic 44-440mm T4.5 A2S</t>
  </si>
  <si>
    <t>44-440</t>
  </si>
  <si>
    <t>Optimo Anamorphic 30-72mm T4 A2S</t>
  </si>
  <si>
    <t>30-72</t>
  </si>
  <si>
    <t>Optimo Anamorphic 56-152mm T4 A2S</t>
  </si>
  <si>
    <t>56-152</t>
  </si>
  <si>
    <t>ZK 14-35mm T2.9 Cabrio Premier</t>
  </si>
  <si>
    <t>14-35</t>
  </si>
  <si>
    <t>XK 20-120mm T3.5 Cabrio Premier</t>
  </si>
  <si>
    <t>20-120</t>
  </si>
  <si>
    <t>ZK 19-90mm T2.9 Cabrio Premier</t>
  </si>
  <si>
    <t>19-90</t>
  </si>
  <si>
    <t>18-85mm T2 Premier</t>
  </si>
  <si>
    <t>18-85</t>
  </si>
  <si>
    <t>ZK 25-300mm T3.5-3.85 Cabrio Premier</t>
  </si>
  <si>
    <t>25-300</t>
  </si>
  <si>
    <t>75-400mm T2.8-3.8 Premier</t>
  </si>
  <si>
    <t>75-400</t>
  </si>
  <si>
    <t>14.5-45mm T2 Premier</t>
  </si>
  <si>
    <t>14.5-45</t>
  </si>
  <si>
    <t>24-180mm T2.6 Premier</t>
  </si>
  <si>
    <t>24-180</t>
  </si>
  <si>
    <t>ZK 85-300mm T2.9-4 Lightweight</t>
  </si>
  <si>
    <t>85-300</t>
  </si>
  <si>
    <t>50-100mm T2 Cine</t>
  </si>
  <si>
    <t>85mm T1.5 FF</t>
  </si>
  <si>
    <t>14mm T2 FF</t>
  </si>
  <si>
    <t>20mm T1.5 FF</t>
  </si>
  <si>
    <t>24mm T1.5 FF</t>
  </si>
  <si>
    <t>35mm T1.5 FF</t>
  </si>
  <si>
    <t>135mm T2 FF</t>
  </si>
  <si>
    <t>50mm T1.5 FF</t>
  </si>
  <si>
    <t>AT-X 16-28mm T3</t>
  </si>
  <si>
    <t>Vista 16-28mm II T3</t>
  </si>
  <si>
    <t>35mm T1.5 Vista</t>
  </si>
  <si>
    <t>50mm T1.5 Vista</t>
  </si>
  <si>
    <t>AT-X  11-16mm T3</t>
  </si>
  <si>
    <t>11-16</t>
  </si>
  <si>
    <t>AT-X 100mm T2.9 Macro</t>
  </si>
  <si>
    <t>85mm T1.5 Vista</t>
  </si>
  <si>
    <t>21-100mm T2.9-3.9 LWZ.3</t>
  </si>
  <si>
    <t>21-100</t>
  </si>
  <si>
    <t>EF-S 35mm f/2.8 Macro IS STM</t>
  </si>
  <si>
    <t>SP 70-200mm f/2.8 Di VC USD G2</t>
  </si>
  <si>
    <t>Variety</t>
  </si>
  <si>
    <t>Ultra Wide Angle</t>
  </si>
  <si>
    <t>Tilt Shift</t>
  </si>
  <si>
    <t>Wide Angle</t>
  </si>
  <si>
    <t>Normal</t>
  </si>
  <si>
    <t>Macro</t>
  </si>
  <si>
    <t>Short Telephoto</t>
  </si>
  <si>
    <t>Medium Telephoto</t>
  </si>
  <si>
    <t>Long Telephoto</t>
  </si>
  <si>
    <t>Superzoom</t>
  </si>
  <si>
    <t>Telephoto</t>
  </si>
  <si>
    <t>Batis 135mm f/2.8</t>
  </si>
  <si>
    <t>FE 12-24mm f/4 G</t>
  </si>
  <si>
    <t>FE 16-35mm f/2.8 GM</t>
  </si>
  <si>
    <t>FE 100-400mm f/4.5-5.6 GM OSS</t>
  </si>
  <si>
    <t>Laowa 15mm f/2 FE Zero-D</t>
  </si>
  <si>
    <t>Laowa 7.5mm f/2 MFT Zero-D</t>
  </si>
  <si>
    <t>7.5</t>
  </si>
  <si>
    <t>GF 63mm f/2.8 R WR</t>
  </si>
  <si>
    <t>63</t>
  </si>
  <si>
    <t>Crop Medium Format Digital</t>
  </si>
  <si>
    <t>GF 120mm f/4 R LM OIS WR</t>
  </si>
  <si>
    <t>120</t>
  </si>
  <si>
    <t>GF 32-64mm f/4 R LM WR</t>
  </si>
  <si>
    <t>32-64</t>
  </si>
  <si>
    <t>GF 45mm f/2.8 R WR</t>
  </si>
  <si>
    <t>Hasselblad</t>
  </si>
  <si>
    <t>XCD 45mm f/3.5</t>
  </si>
  <si>
    <t>XCD 90mm f/3.2</t>
  </si>
  <si>
    <t>28mm Summaron and tokina firin prices, 70-200 G2 and 135mm batis added, delete samyang (duplicate rokinon), new variety column</t>
  </si>
  <si>
    <t>Add unique ID/index</t>
  </si>
  <si>
    <t>Add Sony FE 16-35, 12-24, 100-400, Laowa 15mm f/2, Laowa 7.5mm f/2, Fuji GFX, Hasselblad XD</t>
  </si>
  <si>
    <t>Correct metadata on CN-E 18-80, 70-200, 14.5-60, and 30-300</t>
  </si>
  <si>
    <t>Added Angenieux Cine, Schneider Xenon and Cine-Xenar III, Sigma Cine Primes, Fujifilm Cabrio Premier, Tokina Vista Cines. Rows 322-380</t>
  </si>
  <si>
    <t>Removed duplicate CN-E 18-80</t>
  </si>
  <si>
    <t>Fisheye</t>
  </si>
  <si>
    <t>Correct metadata in entries 354-383</t>
  </si>
  <si>
    <t>Coastal Optics</t>
  </si>
  <si>
    <t>Added Coastal Optics 60mm &amp; 105mm lenses</t>
  </si>
  <si>
    <t>UV-VIS-IR 60mm 1:4 APO Macro</t>
  </si>
  <si>
    <t>105mm f/4.5 250-650nm</t>
  </si>
  <si>
    <t>AF-S Nikkor 28mm f/1.4E ED</t>
  </si>
  <si>
    <t>AF-S Fisheye Nikkor 8-15mm f/3.5-4.5E ED</t>
  </si>
  <si>
    <t>8-15</t>
  </si>
  <si>
    <t>AF-P DX Nikkor 10-20mm f/4.5-5.6G VR</t>
  </si>
  <si>
    <t>10-20</t>
  </si>
  <si>
    <t>Add Nikon 28mm f/1.4, 10-20mm AF-P, and 8-15mm fisheye</t>
  </si>
  <si>
    <t>Designed In</t>
  </si>
  <si>
    <t>Made In</t>
  </si>
  <si>
    <t>Japan</t>
  </si>
  <si>
    <t>France</t>
  </si>
  <si>
    <t>USA</t>
  </si>
  <si>
    <t>Germany</t>
  </si>
  <si>
    <t>China</t>
  </si>
  <si>
    <t>New Designed in and Made In columns (needs substantial additions).  Variety for CN-E 14.5-45mm, Format for Angenieux Lenses</t>
  </si>
  <si>
    <t>FE 85mm f/1.8</t>
  </si>
  <si>
    <t>Added Sony FE 85mm f/1.8</t>
  </si>
  <si>
    <t>Prices for new Sigma lenses</t>
  </si>
  <si>
    <t>Korea</t>
  </si>
  <si>
    <t>24-70mm f/2.8 DI VC USD G2</t>
  </si>
  <si>
    <t>Misc. metadata, Tamron 24-70 G2</t>
  </si>
  <si>
    <t>18-400mm f/3.5-6.3 Di II VC HLD</t>
  </si>
  <si>
    <t>18-400</t>
  </si>
  <si>
    <t>Add Tamron 18-400</t>
  </si>
  <si>
    <t>Cine lens metadata</t>
  </si>
  <si>
    <t>Lensbaby</t>
  </si>
  <si>
    <t>Velvet 85mm f/1.8</t>
  </si>
  <si>
    <t>Lensbaby Velvet 85mm added</t>
  </si>
  <si>
    <t>CP.3 XD 100mm T2.1 Compact Prime</t>
  </si>
  <si>
    <t>CP.3 XD 15mm T2.9 Compact Prime</t>
  </si>
  <si>
    <t>CP.3 XD 18mm T2.9 Compact Prime</t>
  </si>
  <si>
    <t>CP.3 XD 21mm T2.9 Compact Prime</t>
  </si>
  <si>
    <t>CP.3 XD 25mm T2.1 Compact Prime</t>
  </si>
  <si>
    <t>CP.3 XD 28mm T2.1 Compact Prime</t>
  </si>
  <si>
    <t>CP.3 XD 35mm T2.1 Compact Prime</t>
  </si>
  <si>
    <t>CP.3 XD 50mm T2.1 Compact Prime</t>
  </si>
  <si>
    <t>CP.3 XD 85mm T2.1 Compact Prime</t>
  </si>
  <si>
    <t>GF 23mm f/4 R LM WR</t>
  </si>
  <si>
    <t>GF 110mm f/2 R LM WR</t>
  </si>
  <si>
    <t>110</t>
  </si>
  <si>
    <t>Restore CP.3 lenses, + GF 23mm and GF 110mm</t>
  </si>
  <si>
    <t>Milvus 35mm f/1.4 ZE</t>
  </si>
  <si>
    <t>Veydra</t>
  </si>
  <si>
    <t>12mm T2.2 Mini Prime</t>
  </si>
  <si>
    <t>16mm T2.2 Mini Prime</t>
  </si>
  <si>
    <t>25mm T2.2 Mini Prime</t>
  </si>
  <si>
    <t>35mm T2.2 Mini Prime</t>
  </si>
  <si>
    <t>50mm T2.2 Mini Prime</t>
  </si>
  <si>
    <t>19mm T2.6 Mini Prime</t>
  </si>
  <si>
    <t>85mm T2.2 Mini Prime</t>
  </si>
  <si>
    <t>Veydra lenses, Tamron 24-70 G2 metadata</t>
  </si>
  <si>
    <t>New lenses from Canon</t>
  </si>
  <si>
    <t>85mm f/1.4L IS USM</t>
  </si>
  <si>
    <t>TS-E 50mm f/2.8L Macro</t>
  </si>
  <si>
    <t>TS-E 90mm f/2.8L Macro</t>
  </si>
  <si>
    <t>TS-E 135mm f/4L Macro</t>
  </si>
  <si>
    <t>Xeen 14mm T3.1</t>
  </si>
  <si>
    <t>Xeen 24mm T1.5</t>
  </si>
  <si>
    <t>Xeen 35mm T1.5</t>
  </si>
  <si>
    <t>Xeen 50mm T1.5</t>
  </si>
  <si>
    <t>Xeen 85mm T1.5</t>
  </si>
  <si>
    <t>Xeen 135mm T2.2</t>
  </si>
  <si>
    <t>Laowa STF 105mm f/2 (T3.2)</t>
  </si>
  <si>
    <t>Xenon FF 50mm T2.1</t>
  </si>
  <si>
    <t>Xenon FF 35mm T2.1</t>
  </si>
  <si>
    <t>Xenon FF 75mm T2.1</t>
  </si>
  <si>
    <t>150</t>
  </si>
  <si>
    <t>150mm f/2.8 EX DG OS HSM APO Macro</t>
  </si>
  <si>
    <t>Added Sigma 150mm APO Macro</t>
  </si>
  <si>
    <t>Added Fno to title of lens id 318</t>
  </si>
  <si>
    <t>Moved index to first column and re-named it UUID</t>
  </si>
  <si>
    <t>24-70mm f/2.8 DG OS HSM Art</t>
  </si>
  <si>
    <t>UUID</t>
  </si>
  <si>
    <t>Distagon T* 25mm f/2 ZE</t>
  </si>
  <si>
    <t>Batis 25mm f/2</t>
  </si>
  <si>
    <t>135mm f/2 ED UMC</t>
  </si>
  <si>
    <t>FE 70-200mm f/4 G OSS</t>
  </si>
  <si>
    <t>Macro Apo-Lanthar 65mm f/2 Aspherical</t>
  </si>
  <si>
    <t>65</t>
  </si>
  <si>
    <t>Nokton 40mm f/1.2 Aspherical</t>
  </si>
  <si>
    <t>Milvus 25mm f/1.4 ZE</t>
  </si>
  <si>
    <t>Added Voigtlander 65mm, 40mm FE.  Added Zeiss 25/1.4.  Some sigma metadata.</t>
  </si>
  <si>
    <t>Add Sony 24-105 G</t>
  </si>
  <si>
    <t>Panasonic</t>
  </si>
  <si>
    <t>Leica DG Elmarit 200mm f/2.8 POWER O.I.S.</t>
  </si>
  <si>
    <t>Add Panasonic 200/2.8</t>
  </si>
  <si>
    <t>M.Zuiko Digital 25mm f/1.8</t>
  </si>
  <si>
    <t>M.Zuiko Digital ED 17mm f/1.2 PRO</t>
  </si>
  <si>
    <t>17</t>
  </si>
  <si>
    <t>M.Zuiko Digital ED 75mm f/1.8</t>
  </si>
  <si>
    <t>M.Zuiko Digital ED 45mm f/1.2 PRO</t>
  </si>
  <si>
    <t>M.Zuiko Digital 45mm f/1.8</t>
  </si>
  <si>
    <t>M.Zuiko Digital 17mm f/1.8</t>
  </si>
  <si>
    <t>Leica DG Summilux 25mm f/1.4 ASPH</t>
  </si>
  <si>
    <t>Leica DG Summilux 12mm f/1.4 ASPH</t>
  </si>
  <si>
    <t>Leica DG Nocticron 42.5mm f/1.2 ASPH POWER OIS</t>
  </si>
  <si>
    <t>Added Micro 4/3 Panasonic Summilux  25, 12 mm; Nocticron 42.5mm, Olympus M.Zuiko 17/45mm f/1.2 &amp; f1.8; 25mm</t>
  </si>
  <si>
    <t>AF-S Nikkor 180-400mm f/4E TC1.4 FL ED VR</t>
  </si>
  <si>
    <t>180-400</t>
  </si>
  <si>
    <t>Supertelephoto</t>
  </si>
  <si>
    <t>Added Nikon 180-400 f/4E</t>
  </si>
  <si>
    <t>24-105mm f/4 DG OS HSM Art</t>
  </si>
  <si>
    <t>FE 24-105mm f/4G OSS</t>
  </si>
  <si>
    <t>APO-Summicron-SL 75mm f/2 ASPH</t>
  </si>
  <si>
    <t>APO-Summicron-SL 90mm f/2 ASPH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</si>
</sst>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  <xf numFmtId="0" fontId="0" fillId="0" borderId="0" xfId="0"/>
    <xf numFmtId="14" fontId="0" fillId="0" borderId="0" xfId="0" applyNumberFormat="1"/>
    <xf numFmtId="0" fontId="1" fillId="2" borderId="1" xfId="1" applyBorder="1"/>
    <xf numFmtId="0" fontId="0" fillId="3" borderId="2" xfId="0" applyFont="1" applyFill="1" applyBorder="1"/>
    <xf numFmtId="0" fontId="0" fillId="3" borderId="2" xfId="0" applyNumberFormat="1" applyFont="1" applyFill="1" applyBorder="1"/>
    <xf numFmtId="49" fontId="0" fillId="3" borderId="2" xfId="0" applyNumberFormat="1" applyFont="1" applyFill="1" applyBorder="1"/>
    <xf numFmtId="0" fontId="1" fillId="2" borderId="3" xfId="1" applyFont="1" applyFill="1" applyBorder="1"/>
    <xf numFmtId="0" fontId="0" fillId="0" borderId="0" xfId="0" applyBorder="1"/>
  </cellXfs>
  <cellStyles count="2">
    <cellStyle name="Bad" xfId="1" builtinId="27"/>
    <cellStyle name="Normal" xfId="0" builtinId="0"/>
  </cellStyles>
  <dxfs count="3"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Q448" totalsRowShown="0">
  <autoFilter ref="A1:Q448"/>
  <tableColumns count="17">
    <tableColumn id="15" name="UUID"/>
    <tableColumn id="1" name="Manufacture"/>
    <tableColumn id="2" name="Model"/>
    <tableColumn id="3" name="Release Year"/>
    <tableColumn id="4" name="MSRP"/>
    <tableColumn id="5" name="Weight"/>
    <tableColumn id="6" name="Length"/>
    <tableColumn id="7" name="Max Diameter" dataDxfId="2"/>
    <tableColumn id="10" name="Max Aperture"/>
    <tableColumn id="12" name="EFL" dataDxfId="1"/>
    <tableColumn id="11" name="Zoom" dataDxfId="0"/>
    <tableColumn id="8" name="Stabilized"/>
    <tableColumn id="9" name="Cinema"/>
    <tableColumn id="13" name="Format"/>
    <tableColumn id="14" name="Variety"/>
    <tableColumn id="17" name="Designed In"/>
    <tableColumn id="16" name="Made 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48"/>
  <sheetViews>
    <sheetView topLeftCell="A421" workbookViewId="0">
      <selection activeCell="I448" sqref="I448"/>
    </sheetView>
  </sheetViews>
  <sheetFormatPr defaultColWidth="8.7109375" defaultRowHeight="15" x14ac:dyDescent="0.25"/>
  <cols>
    <col min="2" max="2" width="8.140625" customWidth="1"/>
    <col min="3" max="3" width="49.5703125" customWidth="1"/>
    <col min="4" max="4" width="5.42578125" customWidth="1"/>
    <col min="5" max="5" width="6.42578125" customWidth="1"/>
    <col min="6" max="6" width="10.42578125" customWidth="1"/>
    <col min="8" max="8" width="8.7109375" customWidth="1"/>
    <col min="9" max="9" width="12.42578125" style="1" customWidth="1"/>
    <col min="10" max="10" width="6.140625" style="3" customWidth="1"/>
    <col min="11" max="11" width="5.7109375" style="3" customWidth="1"/>
    <col min="12" max="12" width="10.140625" customWidth="1"/>
    <col min="13" max="13" width="9" customWidth="1"/>
    <col min="14" max="14" width="11.7109375" customWidth="1"/>
    <col min="16" max="17" width="8.7109375" style="11"/>
  </cols>
  <sheetData>
    <row r="1" spans="1:17" x14ac:dyDescent="0.25">
      <c r="A1" s="5" t="s">
        <v>673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25</v>
      </c>
      <c r="J1" s="3" t="s">
        <v>28</v>
      </c>
      <c r="K1" s="3" t="s">
        <v>176</v>
      </c>
      <c r="L1" t="s">
        <v>8</v>
      </c>
      <c r="M1" t="s">
        <v>38</v>
      </c>
      <c r="N1" t="s">
        <v>275</v>
      </c>
      <c r="O1" s="5" t="s">
        <v>561</v>
      </c>
      <c r="P1" s="11" t="s">
        <v>608</v>
      </c>
      <c r="Q1" s="11" t="s">
        <v>609</v>
      </c>
    </row>
    <row r="2" spans="1:17" x14ac:dyDescent="0.25">
      <c r="A2" s="5">
        <v>1</v>
      </c>
      <c r="B2" s="1" t="s">
        <v>7</v>
      </c>
      <c r="C2" t="s">
        <v>61</v>
      </c>
      <c r="D2" s="11">
        <v>2007</v>
      </c>
      <c r="E2">
        <v>2099</v>
      </c>
      <c r="F2">
        <v>645</v>
      </c>
      <c r="G2">
        <f>3.7*25.4</f>
        <v>93.98</v>
      </c>
      <c r="H2" s="11">
        <f>3.1*25.4</f>
        <v>78.739999999999995</v>
      </c>
      <c r="I2" s="1">
        <v>2.8</v>
      </c>
      <c r="J2" s="3">
        <v>14</v>
      </c>
      <c r="K2" s="3" t="s">
        <v>177</v>
      </c>
      <c r="L2">
        <v>0</v>
      </c>
      <c r="M2">
        <v>0</v>
      </c>
      <c r="N2" t="s">
        <v>276</v>
      </c>
      <c r="O2" s="5" t="s">
        <v>562</v>
      </c>
      <c r="P2" s="11" t="s">
        <v>610</v>
      </c>
      <c r="Q2" s="11" t="s">
        <v>610</v>
      </c>
    </row>
    <row r="3" spans="1:17" x14ac:dyDescent="0.25">
      <c r="A3" s="5">
        <v>2</v>
      </c>
      <c r="B3" s="1" t="s">
        <v>7</v>
      </c>
      <c r="C3" t="s">
        <v>123</v>
      </c>
      <c r="D3" s="11">
        <v>2013</v>
      </c>
      <c r="E3">
        <v>5220</v>
      </c>
      <c r="F3">
        <v>1200</v>
      </c>
      <c r="G3">
        <f>3.7*25.4</f>
        <v>93.98</v>
      </c>
      <c r="H3" s="2">
        <f>4.66*25.4</f>
        <v>118.36399999999999</v>
      </c>
      <c r="I3" s="1">
        <v>3.1</v>
      </c>
      <c r="J3" s="3" t="s">
        <v>110</v>
      </c>
      <c r="K3" s="3" t="s">
        <v>177</v>
      </c>
      <c r="L3">
        <v>0</v>
      </c>
      <c r="M3">
        <v>1</v>
      </c>
      <c r="N3" s="1" t="s">
        <v>276</v>
      </c>
      <c r="O3" s="5" t="s">
        <v>562</v>
      </c>
      <c r="P3" s="11" t="s">
        <v>610</v>
      </c>
      <c r="Q3" s="11" t="s">
        <v>610</v>
      </c>
    </row>
    <row r="4" spans="1:17" x14ac:dyDescent="0.25">
      <c r="A4" s="5">
        <v>3</v>
      </c>
      <c r="B4" s="1" t="s">
        <v>7</v>
      </c>
      <c r="C4" t="s">
        <v>26</v>
      </c>
      <c r="D4" s="11">
        <v>2009</v>
      </c>
      <c r="E4">
        <v>2149</v>
      </c>
      <c r="F4">
        <v>820</v>
      </c>
      <c r="G4">
        <f>4.2*25.4</f>
        <v>106.67999999999999</v>
      </c>
      <c r="H4" s="11">
        <f>3.5*25.4</f>
        <v>88.899999999999991</v>
      </c>
      <c r="I4" s="1">
        <v>4</v>
      </c>
      <c r="J4" s="3">
        <v>17</v>
      </c>
      <c r="K4" s="3" t="s">
        <v>177</v>
      </c>
      <c r="L4">
        <v>0</v>
      </c>
      <c r="M4">
        <v>0</v>
      </c>
      <c r="N4" s="1" t="s">
        <v>276</v>
      </c>
      <c r="O4" s="5" t="s">
        <v>563</v>
      </c>
      <c r="P4" s="11" t="s">
        <v>610</v>
      </c>
      <c r="Q4" s="11" t="s">
        <v>610</v>
      </c>
    </row>
    <row r="5" spans="1:17" x14ac:dyDescent="0.25">
      <c r="A5" s="5">
        <v>4</v>
      </c>
      <c r="B5" s="1" t="s">
        <v>7</v>
      </c>
      <c r="C5" t="s">
        <v>23</v>
      </c>
      <c r="D5" s="11">
        <v>1992</v>
      </c>
      <c r="E5">
        <v>539</v>
      </c>
      <c r="F5">
        <v>405</v>
      </c>
      <c r="G5">
        <f>2.78*25.4</f>
        <v>70.611999999999995</v>
      </c>
      <c r="H5" s="11">
        <f>3.05*25.4</f>
        <v>77.469999999999985</v>
      </c>
      <c r="I5" s="1">
        <v>2.8</v>
      </c>
      <c r="J5" s="3">
        <v>20</v>
      </c>
      <c r="K5" s="3" t="s">
        <v>177</v>
      </c>
      <c r="L5">
        <v>0</v>
      </c>
      <c r="M5">
        <v>0</v>
      </c>
      <c r="N5" s="1" t="s">
        <v>276</v>
      </c>
      <c r="O5" s="5" t="s">
        <v>562</v>
      </c>
      <c r="P5" s="11" t="s">
        <v>610</v>
      </c>
      <c r="Q5" s="11" t="s">
        <v>610</v>
      </c>
    </row>
    <row r="6" spans="1:17" x14ac:dyDescent="0.25">
      <c r="A6" s="5">
        <v>5</v>
      </c>
      <c r="B6" s="1" t="s">
        <v>7</v>
      </c>
      <c r="C6" t="s">
        <v>21</v>
      </c>
      <c r="D6">
        <v>2012</v>
      </c>
      <c r="E6">
        <v>599</v>
      </c>
      <c r="F6">
        <v>281</v>
      </c>
      <c r="G6">
        <f>2.19*25.4</f>
        <v>55.625999999999998</v>
      </c>
      <c r="H6" s="11">
        <f>2.69*25.4</f>
        <v>68.325999999999993</v>
      </c>
      <c r="I6" s="1">
        <v>2.8</v>
      </c>
      <c r="J6" s="3">
        <v>24</v>
      </c>
      <c r="K6" s="3" t="s">
        <v>177</v>
      </c>
      <c r="L6">
        <v>1</v>
      </c>
      <c r="M6">
        <v>0</v>
      </c>
      <c r="N6" s="1" t="s">
        <v>276</v>
      </c>
      <c r="O6" s="5" t="s">
        <v>564</v>
      </c>
      <c r="P6" s="11" t="s">
        <v>610</v>
      </c>
      <c r="Q6" s="11" t="s">
        <v>610</v>
      </c>
    </row>
    <row r="7" spans="1:17" x14ac:dyDescent="0.25">
      <c r="A7" s="5">
        <v>6</v>
      </c>
      <c r="B7" s="1" t="s">
        <v>7</v>
      </c>
      <c r="C7" t="s">
        <v>22</v>
      </c>
      <c r="D7">
        <v>2008</v>
      </c>
      <c r="E7">
        <v>1549</v>
      </c>
      <c r="F7">
        <v>650</v>
      </c>
      <c r="G7">
        <f>3.42*25.4</f>
        <v>86.867999999999995</v>
      </c>
      <c r="H7" s="11">
        <f>3.29*25.4</f>
        <v>83.566000000000003</v>
      </c>
      <c r="I7" s="1">
        <v>1.4</v>
      </c>
      <c r="J7" s="3">
        <v>24</v>
      </c>
      <c r="K7" s="3" t="s">
        <v>177</v>
      </c>
      <c r="L7">
        <v>0</v>
      </c>
      <c r="M7">
        <v>0</v>
      </c>
      <c r="N7" s="1" t="s">
        <v>276</v>
      </c>
      <c r="O7" s="5" t="s">
        <v>564</v>
      </c>
      <c r="P7" s="11" t="s">
        <v>610</v>
      </c>
      <c r="Q7" s="11" t="s">
        <v>610</v>
      </c>
    </row>
    <row r="8" spans="1:17" x14ac:dyDescent="0.25">
      <c r="A8" s="5">
        <v>7</v>
      </c>
      <c r="B8" s="1" t="s">
        <v>7</v>
      </c>
      <c r="C8" t="s">
        <v>24</v>
      </c>
      <c r="D8">
        <v>2009</v>
      </c>
      <c r="E8">
        <v>1899</v>
      </c>
      <c r="F8">
        <v>780</v>
      </c>
      <c r="G8">
        <f>4.21*25.4</f>
        <v>106.934</v>
      </c>
      <c r="H8" s="11">
        <f>3.48*25.4</f>
        <v>88.391999999999996</v>
      </c>
      <c r="I8" s="1">
        <v>3.5</v>
      </c>
      <c r="J8" s="3">
        <v>24</v>
      </c>
      <c r="K8" s="3" t="s">
        <v>177</v>
      </c>
      <c r="L8">
        <v>0</v>
      </c>
      <c r="M8">
        <v>0</v>
      </c>
      <c r="N8" s="1" t="s">
        <v>276</v>
      </c>
      <c r="O8" s="11" t="s">
        <v>563</v>
      </c>
      <c r="P8" s="11" t="s">
        <v>610</v>
      </c>
      <c r="Q8" s="11" t="s">
        <v>610</v>
      </c>
    </row>
    <row r="9" spans="1:17" x14ac:dyDescent="0.25">
      <c r="A9" s="5">
        <v>8</v>
      </c>
      <c r="B9" s="1" t="s">
        <v>7</v>
      </c>
      <c r="C9" t="s">
        <v>126</v>
      </c>
      <c r="D9">
        <v>2013</v>
      </c>
      <c r="E9">
        <v>5220</v>
      </c>
      <c r="F9">
        <v>1200</v>
      </c>
      <c r="G9">
        <f>4*25.4</f>
        <v>101.6</v>
      </c>
      <c r="H9" s="2">
        <f>4.66*25.4</f>
        <v>118.36399999999999</v>
      </c>
      <c r="I9" s="1">
        <v>1.5</v>
      </c>
      <c r="J9" s="3" t="s">
        <v>96</v>
      </c>
      <c r="K9" s="3" t="s">
        <v>177</v>
      </c>
      <c r="L9">
        <v>0</v>
      </c>
      <c r="M9">
        <v>1</v>
      </c>
      <c r="N9" s="1" t="s">
        <v>276</v>
      </c>
      <c r="O9" s="11" t="s">
        <v>564</v>
      </c>
      <c r="P9" s="11" t="s">
        <v>610</v>
      </c>
      <c r="Q9" s="11" t="s">
        <v>610</v>
      </c>
    </row>
    <row r="10" spans="1:17" x14ac:dyDescent="0.25">
      <c r="A10" s="5">
        <v>9</v>
      </c>
      <c r="B10" s="1" t="s">
        <v>7</v>
      </c>
      <c r="C10" t="s">
        <v>19</v>
      </c>
      <c r="D10">
        <v>2012</v>
      </c>
      <c r="E10">
        <v>509</v>
      </c>
      <c r="F10">
        <v>261</v>
      </c>
      <c r="G10">
        <f>2.02*25.4</f>
        <v>51.308</v>
      </c>
      <c r="H10" s="11">
        <f>2.69*25.4</f>
        <v>68.325999999999993</v>
      </c>
      <c r="I10" s="1">
        <v>2.8</v>
      </c>
      <c r="J10" s="3">
        <v>28</v>
      </c>
      <c r="K10" s="3" t="s">
        <v>177</v>
      </c>
      <c r="L10">
        <v>1</v>
      </c>
      <c r="M10">
        <v>0</v>
      </c>
      <c r="N10" s="1" t="s">
        <v>276</v>
      </c>
      <c r="O10" s="5" t="s">
        <v>564</v>
      </c>
      <c r="P10" s="11" t="s">
        <v>610</v>
      </c>
      <c r="Q10" s="11" t="s">
        <v>610</v>
      </c>
    </row>
    <row r="11" spans="1:17" x14ac:dyDescent="0.25">
      <c r="A11" s="5">
        <v>10</v>
      </c>
      <c r="B11" s="1" t="s">
        <v>7</v>
      </c>
      <c r="C11" t="s">
        <v>20</v>
      </c>
      <c r="D11">
        <v>1995</v>
      </c>
      <c r="E11">
        <v>549</v>
      </c>
      <c r="F11">
        <v>310</v>
      </c>
      <c r="G11">
        <f>2.2*25.4</f>
        <v>55.88</v>
      </c>
      <c r="H11" s="11">
        <f>2.69*25.4</f>
        <v>68.325999999999993</v>
      </c>
      <c r="I11" s="1">
        <v>1.8</v>
      </c>
      <c r="J11" s="3">
        <v>28</v>
      </c>
      <c r="K11" s="3" t="s">
        <v>177</v>
      </c>
      <c r="L11">
        <v>0</v>
      </c>
      <c r="M11">
        <v>0</v>
      </c>
      <c r="N11" s="1" t="s">
        <v>276</v>
      </c>
      <c r="O11" s="5" t="s">
        <v>564</v>
      </c>
      <c r="P11" s="11" t="s">
        <v>610</v>
      </c>
      <c r="Q11" s="11" t="s">
        <v>610</v>
      </c>
    </row>
    <row r="12" spans="1:17" x14ac:dyDescent="0.25">
      <c r="A12" s="5">
        <v>11</v>
      </c>
      <c r="B12" s="1" t="s">
        <v>7</v>
      </c>
      <c r="C12" t="s">
        <v>16</v>
      </c>
      <c r="D12">
        <v>1998</v>
      </c>
      <c r="E12">
        <v>1099</v>
      </c>
      <c r="F12">
        <v>580</v>
      </c>
      <c r="G12">
        <f>3.4*25.4</f>
        <v>86.36</v>
      </c>
      <c r="H12" s="11">
        <f>3.1*25.4</f>
        <v>78.739999999999995</v>
      </c>
      <c r="I12" s="1">
        <v>1.4</v>
      </c>
      <c r="J12" s="3">
        <v>35</v>
      </c>
      <c r="K12" s="3" t="s">
        <v>177</v>
      </c>
      <c r="L12">
        <v>0</v>
      </c>
      <c r="M12">
        <v>0</v>
      </c>
      <c r="N12" s="1" t="s">
        <v>276</v>
      </c>
      <c r="O12" s="5" t="s">
        <v>564</v>
      </c>
      <c r="P12" s="11" t="s">
        <v>610</v>
      </c>
      <c r="Q12" s="11" t="s">
        <v>610</v>
      </c>
    </row>
    <row r="13" spans="1:17" x14ac:dyDescent="0.25">
      <c r="A13" s="5">
        <v>12</v>
      </c>
      <c r="B13" s="1" t="s">
        <v>7</v>
      </c>
      <c r="C13" t="s">
        <v>17</v>
      </c>
      <c r="D13">
        <v>2015</v>
      </c>
      <c r="E13">
        <v>1799</v>
      </c>
      <c r="F13">
        <v>760</v>
      </c>
      <c r="G13">
        <f>4.15*25.4</f>
        <v>105.41</v>
      </c>
      <c r="H13" s="11">
        <f>3.17*25.4</f>
        <v>80.518000000000001</v>
      </c>
      <c r="I13" s="1">
        <v>1.4</v>
      </c>
      <c r="J13" s="3">
        <v>35</v>
      </c>
      <c r="K13" s="3" t="s">
        <v>177</v>
      </c>
      <c r="L13">
        <v>0</v>
      </c>
      <c r="M13">
        <v>0</v>
      </c>
      <c r="N13" s="1" t="s">
        <v>276</v>
      </c>
      <c r="O13" s="5" t="s">
        <v>564</v>
      </c>
      <c r="P13" s="11" t="s">
        <v>610</v>
      </c>
      <c r="Q13" s="11" t="s">
        <v>610</v>
      </c>
    </row>
    <row r="14" spans="1:17" x14ac:dyDescent="0.25">
      <c r="A14" s="5">
        <v>13</v>
      </c>
      <c r="B14" s="1" t="s">
        <v>7</v>
      </c>
      <c r="C14" t="s">
        <v>18</v>
      </c>
      <c r="D14">
        <v>2012</v>
      </c>
      <c r="E14">
        <v>599</v>
      </c>
      <c r="F14">
        <v>335</v>
      </c>
      <c r="G14">
        <f>2.46*25.4</f>
        <v>62.483999999999995</v>
      </c>
      <c r="H14" s="11">
        <f>3.07*25.4</f>
        <v>77.977999999999994</v>
      </c>
      <c r="I14" s="1">
        <v>2</v>
      </c>
      <c r="J14" s="3">
        <v>35</v>
      </c>
      <c r="K14" s="3" t="s">
        <v>177</v>
      </c>
      <c r="L14">
        <v>1</v>
      </c>
      <c r="M14">
        <v>0</v>
      </c>
      <c r="N14" s="1" t="s">
        <v>276</v>
      </c>
      <c r="O14" s="5" t="s">
        <v>564</v>
      </c>
      <c r="P14" s="11" t="s">
        <v>610</v>
      </c>
      <c r="Q14" s="11" t="s">
        <v>610</v>
      </c>
    </row>
    <row r="15" spans="1:17" x14ac:dyDescent="0.25">
      <c r="A15" s="5">
        <v>14</v>
      </c>
      <c r="B15" s="1" t="s">
        <v>7</v>
      </c>
      <c r="C15" t="s">
        <v>127</v>
      </c>
      <c r="D15">
        <v>2013</v>
      </c>
      <c r="E15">
        <v>4950</v>
      </c>
      <c r="F15">
        <v>1100</v>
      </c>
      <c r="G15">
        <f>4*25.4</f>
        <v>101.6</v>
      </c>
      <c r="H15" s="2">
        <f>4.66*25.4</f>
        <v>118.36399999999999</v>
      </c>
      <c r="I15" s="1">
        <v>1.5</v>
      </c>
      <c r="J15" s="3" t="s">
        <v>70</v>
      </c>
      <c r="K15" s="3" t="s">
        <v>177</v>
      </c>
      <c r="L15">
        <v>0</v>
      </c>
      <c r="M15">
        <v>1</v>
      </c>
      <c r="N15" s="1" t="s">
        <v>276</v>
      </c>
      <c r="O15" s="5" t="s">
        <v>564</v>
      </c>
      <c r="P15" s="11" t="s">
        <v>610</v>
      </c>
      <c r="Q15" s="11" t="s">
        <v>610</v>
      </c>
    </row>
    <row r="16" spans="1:17" x14ac:dyDescent="0.25">
      <c r="A16" s="5">
        <v>15</v>
      </c>
      <c r="B16" s="1" t="s">
        <v>7</v>
      </c>
      <c r="C16" t="s">
        <v>15</v>
      </c>
      <c r="D16">
        <v>2012</v>
      </c>
      <c r="E16">
        <v>199</v>
      </c>
      <c r="F16">
        <v>130</v>
      </c>
      <c r="G16">
        <f>0.9*25.4</f>
        <v>22.86</v>
      </c>
      <c r="H16" s="11">
        <f>2.7*25.4</f>
        <v>68.58</v>
      </c>
      <c r="I16" s="1">
        <v>2.8</v>
      </c>
      <c r="J16" s="3">
        <v>40</v>
      </c>
      <c r="K16" s="3" t="s">
        <v>177</v>
      </c>
      <c r="L16">
        <v>0</v>
      </c>
      <c r="M16">
        <v>0</v>
      </c>
      <c r="N16" s="1" t="s">
        <v>276</v>
      </c>
      <c r="O16" s="5" t="s">
        <v>565</v>
      </c>
      <c r="P16" s="11" t="s">
        <v>610</v>
      </c>
      <c r="Q16" s="11" t="s">
        <v>610</v>
      </c>
    </row>
    <row r="17" spans="1:17" x14ac:dyDescent="0.25">
      <c r="A17" s="5">
        <v>16</v>
      </c>
      <c r="B17" s="1" t="s">
        <v>7</v>
      </c>
      <c r="C17" t="s">
        <v>14</v>
      </c>
      <c r="D17">
        <v>1991</v>
      </c>
      <c r="E17">
        <v>1399</v>
      </c>
      <c r="F17">
        <v>645</v>
      </c>
      <c r="G17">
        <f>3.54*25.4</f>
        <v>89.915999999999997</v>
      </c>
      <c r="H17" s="11">
        <f>3.19*25.4</f>
        <v>81.025999999999996</v>
      </c>
      <c r="I17" s="1">
        <v>2.8</v>
      </c>
      <c r="J17" s="3">
        <v>45</v>
      </c>
      <c r="K17" s="3" t="s">
        <v>177</v>
      </c>
      <c r="L17">
        <v>0</v>
      </c>
      <c r="M17">
        <v>0</v>
      </c>
      <c r="N17" s="1" t="s">
        <v>276</v>
      </c>
      <c r="O17" s="5" t="s">
        <v>563</v>
      </c>
      <c r="P17" s="11" t="s">
        <v>610</v>
      </c>
      <c r="Q17" s="11" t="s">
        <v>610</v>
      </c>
    </row>
    <row r="18" spans="1:17" x14ac:dyDescent="0.25">
      <c r="A18" s="5">
        <v>17</v>
      </c>
      <c r="B18" s="1" t="s">
        <v>7</v>
      </c>
      <c r="C18" t="s">
        <v>9</v>
      </c>
      <c r="D18" s="11">
        <v>2015</v>
      </c>
      <c r="E18">
        <v>125</v>
      </c>
      <c r="F18">
        <v>162</v>
      </c>
      <c r="G18">
        <f>1.6*25.4</f>
        <v>40.64</v>
      </c>
      <c r="H18" s="11">
        <f>2.7*25.4</f>
        <v>68.58</v>
      </c>
      <c r="I18" s="1">
        <v>1.8</v>
      </c>
      <c r="J18" s="3">
        <v>50</v>
      </c>
      <c r="K18" s="3" t="s">
        <v>177</v>
      </c>
      <c r="L18">
        <v>0</v>
      </c>
      <c r="M18">
        <v>0</v>
      </c>
      <c r="N18" s="1" t="s">
        <v>276</v>
      </c>
      <c r="O18" s="5" t="s">
        <v>565</v>
      </c>
      <c r="P18" s="11" t="s">
        <v>610</v>
      </c>
      <c r="Q18" s="11" t="s">
        <v>610</v>
      </c>
    </row>
    <row r="19" spans="1:17" x14ac:dyDescent="0.25">
      <c r="A19" s="5">
        <v>18</v>
      </c>
      <c r="B19" s="1" t="s">
        <v>7</v>
      </c>
      <c r="C19" t="s">
        <v>10</v>
      </c>
      <c r="D19">
        <v>1993</v>
      </c>
      <c r="E19">
        <v>399</v>
      </c>
      <c r="F19">
        <v>290</v>
      </c>
      <c r="G19">
        <f>2*25.4</f>
        <v>50.8</v>
      </c>
      <c r="H19" s="11">
        <f>2.9*25.4</f>
        <v>73.66</v>
      </c>
      <c r="I19" s="1">
        <v>1.4</v>
      </c>
      <c r="J19" s="3">
        <v>50</v>
      </c>
      <c r="K19" s="3" t="s">
        <v>177</v>
      </c>
      <c r="L19">
        <v>0</v>
      </c>
      <c r="M19">
        <v>0</v>
      </c>
      <c r="N19" s="1" t="s">
        <v>276</v>
      </c>
      <c r="O19" s="5" t="s">
        <v>565</v>
      </c>
      <c r="P19" s="11" t="s">
        <v>610</v>
      </c>
      <c r="Q19" s="11" t="s">
        <v>610</v>
      </c>
    </row>
    <row r="20" spans="1:17" x14ac:dyDescent="0.25">
      <c r="A20" s="5">
        <v>19</v>
      </c>
      <c r="B20" s="1" t="s">
        <v>7</v>
      </c>
      <c r="C20" t="s">
        <v>11</v>
      </c>
      <c r="D20">
        <v>2006</v>
      </c>
      <c r="E20">
        <v>1449</v>
      </c>
      <c r="F20">
        <v>590</v>
      </c>
      <c r="G20">
        <f>2.58*25.4</f>
        <v>65.531999999999996</v>
      </c>
      <c r="H20" s="11">
        <f>3.38*25.4</f>
        <v>85.85199999999999</v>
      </c>
      <c r="I20" s="1">
        <v>1.2</v>
      </c>
      <c r="J20" s="3">
        <v>50</v>
      </c>
      <c r="K20" s="3" t="s">
        <v>177</v>
      </c>
      <c r="L20">
        <v>0</v>
      </c>
      <c r="M20">
        <v>0</v>
      </c>
      <c r="N20" s="1" t="s">
        <v>276</v>
      </c>
      <c r="O20" s="5" t="s">
        <v>565</v>
      </c>
      <c r="P20" s="11" t="s">
        <v>610</v>
      </c>
      <c r="Q20" s="11" t="s">
        <v>610</v>
      </c>
    </row>
    <row r="21" spans="1:17" x14ac:dyDescent="0.25">
      <c r="A21" s="5">
        <v>20</v>
      </c>
      <c r="B21" s="1" t="s">
        <v>7</v>
      </c>
      <c r="C21" t="s">
        <v>128</v>
      </c>
      <c r="D21">
        <v>2013</v>
      </c>
      <c r="E21">
        <v>4950</v>
      </c>
      <c r="F21">
        <v>1100</v>
      </c>
      <c r="G21">
        <f>4*25.4</f>
        <v>101.6</v>
      </c>
      <c r="H21" s="2">
        <f>4.66*25.4</f>
        <v>118.36399999999999</v>
      </c>
      <c r="I21" s="1">
        <v>1.3</v>
      </c>
      <c r="J21" s="3" t="s">
        <v>74</v>
      </c>
      <c r="K21" s="3" t="s">
        <v>177</v>
      </c>
      <c r="L21">
        <v>0</v>
      </c>
      <c r="M21">
        <v>1</v>
      </c>
      <c r="N21" s="1" t="s">
        <v>276</v>
      </c>
      <c r="O21" s="5" t="s">
        <v>565</v>
      </c>
      <c r="P21" s="11" t="s">
        <v>610</v>
      </c>
      <c r="Q21" s="11" t="s">
        <v>610</v>
      </c>
    </row>
    <row r="22" spans="1:17" x14ac:dyDescent="0.25">
      <c r="A22" s="5">
        <v>21</v>
      </c>
      <c r="B22" s="1" t="s">
        <v>7</v>
      </c>
      <c r="C22" t="s">
        <v>39</v>
      </c>
      <c r="D22">
        <v>2005</v>
      </c>
      <c r="E22">
        <v>469</v>
      </c>
      <c r="F22">
        <v>335</v>
      </c>
      <c r="G22">
        <f>2.75*25.4</f>
        <v>69.849999999999994</v>
      </c>
      <c r="H22" s="11">
        <f>2.87*25.4</f>
        <v>72.897999999999996</v>
      </c>
      <c r="I22" s="1">
        <v>2.8</v>
      </c>
      <c r="J22" s="3">
        <v>60</v>
      </c>
      <c r="K22" s="3" t="s">
        <v>177</v>
      </c>
      <c r="L22">
        <v>0</v>
      </c>
      <c r="M22">
        <v>0</v>
      </c>
      <c r="N22" s="1" t="s">
        <v>276</v>
      </c>
      <c r="O22" s="5" t="s">
        <v>566</v>
      </c>
      <c r="P22" s="11" t="s">
        <v>610</v>
      </c>
      <c r="Q22" s="11" t="s">
        <v>610</v>
      </c>
    </row>
    <row r="23" spans="1:17" x14ac:dyDescent="0.25">
      <c r="A23" s="5">
        <v>22</v>
      </c>
      <c r="B23" s="1" t="s">
        <v>7</v>
      </c>
      <c r="C23" t="s">
        <v>12</v>
      </c>
      <c r="D23">
        <v>1992</v>
      </c>
      <c r="E23">
        <v>419</v>
      </c>
      <c r="F23">
        <v>425</v>
      </c>
      <c r="G23">
        <f>2.81*25.4</f>
        <v>71.373999999999995</v>
      </c>
      <c r="H23" s="11">
        <f>2.95*25.4</f>
        <v>74.930000000000007</v>
      </c>
      <c r="I23" s="1">
        <v>1.8</v>
      </c>
      <c r="J23" s="3">
        <v>85</v>
      </c>
      <c r="K23" s="3" t="s">
        <v>177</v>
      </c>
      <c r="L23">
        <v>0</v>
      </c>
      <c r="M23">
        <v>0</v>
      </c>
      <c r="N23" s="1" t="s">
        <v>276</v>
      </c>
      <c r="O23" s="5" t="s">
        <v>567</v>
      </c>
      <c r="P23" s="11" t="s">
        <v>610</v>
      </c>
      <c r="Q23" s="11" t="s">
        <v>610</v>
      </c>
    </row>
    <row r="24" spans="1:17" x14ac:dyDescent="0.25">
      <c r="A24" s="5">
        <v>23</v>
      </c>
      <c r="B24" s="1" t="s">
        <v>7</v>
      </c>
      <c r="C24" t="s">
        <v>13</v>
      </c>
      <c r="D24">
        <v>2006</v>
      </c>
      <c r="E24">
        <v>1999</v>
      </c>
      <c r="F24">
        <v>1025</v>
      </c>
      <c r="G24">
        <f>3.3*25.4</f>
        <v>83.82</v>
      </c>
      <c r="H24" s="11">
        <f>3.6*25.4</f>
        <v>91.44</v>
      </c>
      <c r="I24" s="1">
        <v>1.2</v>
      </c>
      <c r="J24" s="3">
        <v>85</v>
      </c>
      <c r="K24" s="3" t="s">
        <v>177</v>
      </c>
      <c r="L24">
        <v>0</v>
      </c>
      <c r="M24">
        <v>0</v>
      </c>
      <c r="N24" s="1" t="s">
        <v>276</v>
      </c>
      <c r="O24" s="5" t="s">
        <v>567</v>
      </c>
      <c r="P24" s="11" t="s">
        <v>610</v>
      </c>
      <c r="Q24" s="11" t="s">
        <v>610</v>
      </c>
    </row>
    <row r="25" spans="1:17" x14ac:dyDescent="0.25">
      <c r="A25" s="5">
        <v>24</v>
      </c>
      <c r="B25" s="1" t="s">
        <v>7</v>
      </c>
      <c r="C25" t="s">
        <v>129</v>
      </c>
      <c r="D25">
        <v>2013</v>
      </c>
      <c r="E25">
        <v>4950</v>
      </c>
      <c r="F25">
        <v>1300</v>
      </c>
      <c r="G25">
        <f>4*25.4</f>
        <v>101.6</v>
      </c>
      <c r="H25" s="2">
        <f>4.66*25.4</f>
        <v>118.36399999999999</v>
      </c>
      <c r="I25" s="1">
        <v>1.3</v>
      </c>
      <c r="J25" s="3" t="s">
        <v>77</v>
      </c>
      <c r="K25" s="3" t="s">
        <v>177</v>
      </c>
      <c r="L25">
        <v>0</v>
      </c>
      <c r="M25">
        <v>1</v>
      </c>
      <c r="N25" s="1" t="s">
        <v>276</v>
      </c>
      <c r="O25" s="5" t="s">
        <v>567</v>
      </c>
      <c r="P25" s="11" t="s">
        <v>610</v>
      </c>
      <c r="Q25" s="11" t="s">
        <v>610</v>
      </c>
    </row>
    <row r="26" spans="1:17" x14ac:dyDescent="0.25">
      <c r="A26" s="5">
        <v>25</v>
      </c>
      <c r="B26" s="1" t="s">
        <v>7</v>
      </c>
      <c r="C26" t="s">
        <v>27</v>
      </c>
      <c r="D26">
        <v>1991</v>
      </c>
      <c r="E26">
        <v>1399</v>
      </c>
      <c r="F26">
        <v>565</v>
      </c>
      <c r="G26">
        <f>3.5*25.4</f>
        <v>88.899999999999991</v>
      </c>
      <c r="H26" s="11">
        <f>2.9*25.4</f>
        <v>73.66</v>
      </c>
      <c r="I26" s="1">
        <v>2.8</v>
      </c>
      <c r="J26" s="3">
        <v>90</v>
      </c>
      <c r="K26" s="3" t="s">
        <v>177</v>
      </c>
      <c r="L26">
        <v>0</v>
      </c>
      <c r="M26">
        <v>0</v>
      </c>
      <c r="N26" s="1" t="s">
        <v>276</v>
      </c>
      <c r="O26" s="5" t="s">
        <v>567</v>
      </c>
      <c r="P26" s="11" t="s">
        <v>610</v>
      </c>
      <c r="Q26" s="11" t="s">
        <v>610</v>
      </c>
    </row>
    <row r="27" spans="1:17" x14ac:dyDescent="0.25">
      <c r="A27" s="5">
        <v>26</v>
      </c>
      <c r="B27" s="1" t="s">
        <v>7</v>
      </c>
      <c r="C27" t="s">
        <v>29</v>
      </c>
      <c r="D27" s="11">
        <v>1991</v>
      </c>
      <c r="E27">
        <v>499</v>
      </c>
      <c r="F27">
        <v>460</v>
      </c>
      <c r="G27">
        <f>2.89*25.4</f>
        <v>73.406000000000006</v>
      </c>
      <c r="H27" s="11">
        <f>2.95*25.4</f>
        <v>74.930000000000007</v>
      </c>
      <c r="I27" s="1">
        <v>2</v>
      </c>
      <c r="J27" s="3">
        <v>100</v>
      </c>
      <c r="K27" s="3" t="s">
        <v>177</v>
      </c>
      <c r="L27">
        <v>0</v>
      </c>
      <c r="M27">
        <v>0</v>
      </c>
      <c r="N27" s="1" t="s">
        <v>276</v>
      </c>
      <c r="O27" s="11" t="s">
        <v>567</v>
      </c>
      <c r="P27" s="11" t="s">
        <v>610</v>
      </c>
      <c r="Q27" s="11" t="s">
        <v>610</v>
      </c>
    </row>
    <row r="28" spans="1:17" x14ac:dyDescent="0.25">
      <c r="A28" s="5">
        <v>27</v>
      </c>
      <c r="B28" s="1" t="s">
        <v>7</v>
      </c>
      <c r="C28" t="s">
        <v>35</v>
      </c>
      <c r="D28">
        <v>2000</v>
      </c>
      <c r="E28">
        <v>599</v>
      </c>
      <c r="F28">
        <v>580</v>
      </c>
      <c r="G28">
        <f>4.7*25.4</f>
        <v>119.38</v>
      </c>
      <c r="H28" s="11">
        <f>3.1*25.4</f>
        <v>78.739999999999995</v>
      </c>
      <c r="I28" s="1">
        <v>2.8</v>
      </c>
      <c r="J28" s="3">
        <v>100</v>
      </c>
      <c r="K28" s="3" t="s">
        <v>177</v>
      </c>
      <c r="L28">
        <v>0</v>
      </c>
      <c r="M28">
        <v>0</v>
      </c>
      <c r="N28" s="1" t="s">
        <v>276</v>
      </c>
      <c r="O28" s="5" t="s">
        <v>566</v>
      </c>
      <c r="P28" s="11" t="s">
        <v>610</v>
      </c>
      <c r="Q28" s="11" t="s">
        <v>610</v>
      </c>
    </row>
    <row r="29" spans="1:17" x14ac:dyDescent="0.25">
      <c r="A29" s="5">
        <v>28</v>
      </c>
      <c r="B29" s="1" t="s">
        <v>7</v>
      </c>
      <c r="C29" t="s">
        <v>36</v>
      </c>
      <c r="D29">
        <v>2009</v>
      </c>
      <c r="E29">
        <v>899</v>
      </c>
      <c r="F29">
        <v>625</v>
      </c>
      <c r="G29">
        <f>4.84*25.4</f>
        <v>122.93599999999999</v>
      </c>
      <c r="H29" s="11">
        <f>3.06*25.4</f>
        <v>77.724000000000004</v>
      </c>
      <c r="I29" s="1">
        <v>2.8</v>
      </c>
      <c r="J29" s="3">
        <v>100</v>
      </c>
      <c r="K29" s="3" t="s">
        <v>177</v>
      </c>
      <c r="L29">
        <v>1</v>
      </c>
      <c r="M29">
        <v>0</v>
      </c>
      <c r="N29" s="1" t="s">
        <v>276</v>
      </c>
      <c r="O29" s="5" t="s">
        <v>566</v>
      </c>
      <c r="P29" s="11" t="s">
        <v>610</v>
      </c>
      <c r="Q29" s="11" t="s">
        <v>610</v>
      </c>
    </row>
    <row r="30" spans="1:17" x14ac:dyDescent="0.25">
      <c r="A30" s="5">
        <v>29</v>
      </c>
      <c r="B30" s="1" t="s">
        <v>7</v>
      </c>
      <c r="C30" t="s">
        <v>33</v>
      </c>
      <c r="D30" s="11">
        <v>1996</v>
      </c>
      <c r="E30">
        <v>999</v>
      </c>
      <c r="F30">
        <v>750</v>
      </c>
      <c r="G30">
        <f>4.4*25.4</f>
        <v>111.76</v>
      </c>
      <c r="H30" s="11">
        <f>3.2*25.4</f>
        <v>81.28</v>
      </c>
      <c r="I30" s="1">
        <v>2</v>
      </c>
      <c r="J30" s="3">
        <v>135</v>
      </c>
      <c r="K30" s="3" t="s">
        <v>177</v>
      </c>
      <c r="L30">
        <v>0</v>
      </c>
      <c r="M30">
        <v>0</v>
      </c>
      <c r="N30" s="1" t="s">
        <v>276</v>
      </c>
      <c r="O30" s="11" t="s">
        <v>568</v>
      </c>
      <c r="P30" s="11" t="s">
        <v>610</v>
      </c>
      <c r="Q30" s="11" t="s">
        <v>610</v>
      </c>
    </row>
    <row r="31" spans="1:17" x14ac:dyDescent="0.25">
      <c r="A31" s="5">
        <v>30</v>
      </c>
      <c r="B31" s="1" t="s">
        <v>7</v>
      </c>
      <c r="C31" t="s">
        <v>124</v>
      </c>
      <c r="D31" s="11">
        <v>2013</v>
      </c>
      <c r="E31">
        <v>4950</v>
      </c>
      <c r="F31">
        <v>1400</v>
      </c>
      <c r="G31">
        <f>4.55*25.4</f>
        <v>115.57</v>
      </c>
      <c r="H31" s="2">
        <f>4.66*25.4</f>
        <v>118.36399999999999</v>
      </c>
      <c r="I31" s="1">
        <v>2.2000000000000002</v>
      </c>
      <c r="J31" s="3" t="s">
        <v>125</v>
      </c>
      <c r="K31" s="3" t="s">
        <v>177</v>
      </c>
      <c r="L31">
        <v>0</v>
      </c>
      <c r="M31">
        <v>1</v>
      </c>
      <c r="N31" s="1" t="s">
        <v>276</v>
      </c>
      <c r="O31" s="11" t="s">
        <v>568</v>
      </c>
      <c r="P31" s="11" t="s">
        <v>610</v>
      </c>
      <c r="Q31" s="11" t="s">
        <v>610</v>
      </c>
    </row>
    <row r="32" spans="1:17" x14ac:dyDescent="0.25">
      <c r="A32" s="5">
        <v>31</v>
      </c>
      <c r="B32" s="1" t="s">
        <v>7</v>
      </c>
      <c r="C32" t="s">
        <v>32</v>
      </c>
      <c r="D32" s="11">
        <v>1996</v>
      </c>
      <c r="E32">
        <v>1399</v>
      </c>
      <c r="F32">
        <v>1090</v>
      </c>
      <c r="G32">
        <f>7.35*25.4</f>
        <v>186.68999999999997</v>
      </c>
      <c r="H32" s="11">
        <f>3.25*25.4</f>
        <v>82.55</v>
      </c>
      <c r="I32" s="1">
        <v>3.5</v>
      </c>
      <c r="J32" s="3">
        <v>180</v>
      </c>
      <c r="K32" s="3" t="s">
        <v>177</v>
      </c>
      <c r="L32">
        <v>0</v>
      </c>
      <c r="M32">
        <v>0</v>
      </c>
      <c r="N32" s="1" t="s">
        <v>276</v>
      </c>
      <c r="O32" s="11" t="s">
        <v>566</v>
      </c>
      <c r="P32" s="11" t="s">
        <v>610</v>
      </c>
      <c r="Q32" s="11" t="s">
        <v>610</v>
      </c>
    </row>
    <row r="33" spans="1:17" x14ac:dyDescent="0.25">
      <c r="A33" s="5">
        <v>32</v>
      </c>
      <c r="B33" s="1" t="s">
        <v>7</v>
      </c>
      <c r="C33" t="s">
        <v>31</v>
      </c>
      <c r="D33" s="11">
        <v>1996</v>
      </c>
      <c r="E33">
        <v>749</v>
      </c>
      <c r="F33">
        <v>765</v>
      </c>
      <c r="G33">
        <f>5.4*25.4</f>
        <v>137.16</v>
      </c>
      <c r="H33" s="11">
        <f>3.3*25.4</f>
        <v>83.82</v>
      </c>
      <c r="I33" s="1">
        <v>2.8</v>
      </c>
      <c r="J33" s="3">
        <v>200</v>
      </c>
      <c r="K33" s="3" t="s">
        <v>177</v>
      </c>
      <c r="L33">
        <v>0</v>
      </c>
      <c r="M33">
        <v>0</v>
      </c>
      <c r="N33" s="1" t="s">
        <v>276</v>
      </c>
      <c r="O33" s="11" t="s">
        <v>568</v>
      </c>
      <c r="P33" s="11" t="s">
        <v>610</v>
      </c>
      <c r="Q33" s="11" t="s">
        <v>610</v>
      </c>
    </row>
    <row r="34" spans="1:17" x14ac:dyDescent="0.25">
      <c r="A34" s="5">
        <v>33</v>
      </c>
      <c r="B34" s="1" t="s">
        <v>7</v>
      </c>
      <c r="C34" t="s">
        <v>43</v>
      </c>
      <c r="D34" s="11">
        <v>2008</v>
      </c>
      <c r="E34">
        <v>5699</v>
      </c>
      <c r="F34">
        <v>2540</v>
      </c>
      <c r="G34">
        <f>8.2*25.4</f>
        <v>208.27999999999997</v>
      </c>
      <c r="H34" s="2">
        <f>5*25.4</f>
        <v>127</v>
      </c>
      <c r="I34" s="1">
        <v>2</v>
      </c>
      <c r="J34" s="3">
        <v>200</v>
      </c>
      <c r="K34" s="3" t="s">
        <v>177</v>
      </c>
      <c r="L34">
        <v>1</v>
      </c>
      <c r="M34">
        <v>0</v>
      </c>
      <c r="N34" s="1" t="s">
        <v>276</v>
      </c>
      <c r="O34" s="11" t="s">
        <v>568</v>
      </c>
      <c r="P34" s="11" t="s">
        <v>610</v>
      </c>
      <c r="Q34" s="11" t="s">
        <v>610</v>
      </c>
    </row>
    <row r="35" spans="1:17" x14ac:dyDescent="0.25">
      <c r="A35" s="5">
        <v>34</v>
      </c>
      <c r="B35" s="1" t="s">
        <v>7</v>
      </c>
      <c r="C35" t="s">
        <v>34</v>
      </c>
      <c r="D35">
        <v>1997</v>
      </c>
      <c r="E35">
        <v>1349</v>
      </c>
      <c r="F35">
        <v>1190</v>
      </c>
      <c r="G35">
        <f>8.7*25.4</f>
        <v>220.97999999999996</v>
      </c>
      <c r="H35" s="11">
        <f>3.5*25.4</f>
        <v>88.899999999999991</v>
      </c>
      <c r="I35" s="1">
        <v>4</v>
      </c>
      <c r="J35" s="3">
        <v>300</v>
      </c>
      <c r="K35" s="3" t="s">
        <v>177</v>
      </c>
      <c r="L35">
        <v>1</v>
      </c>
      <c r="M35">
        <v>0</v>
      </c>
      <c r="N35" s="1" t="s">
        <v>276</v>
      </c>
      <c r="O35" s="5" t="s">
        <v>569</v>
      </c>
      <c r="P35" s="11" t="s">
        <v>610</v>
      </c>
      <c r="Q35" s="11" t="s">
        <v>610</v>
      </c>
    </row>
    <row r="36" spans="1:17" x14ac:dyDescent="0.25">
      <c r="A36" s="5">
        <v>35</v>
      </c>
      <c r="B36" s="1" t="s">
        <v>7</v>
      </c>
      <c r="C36" t="s">
        <v>50</v>
      </c>
      <c r="D36">
        <v>2011</v>
      </c>
      <c r="E36">
        <v>6099</v>
      </c>
      <c r="F36">
        <v>2350</v>
      </c>
      <c r="G36">
        <f>9.8*25.4</f>
        <v>248.92000000000002</v>
      </c>
      <c r="H36" s="2">
        <f>5*25.4</f>
        <v>127</v>
      </c>
      <c r="I36" s="1">
        <v>2.8</v>
      </c>
      <c r="J36" s="3">
        <v>300</v>
      </c>
      <c r="K36" s="3" t="s">
        <v>177</v>
      </c>
      <c r="L36">
        <v>1</v>
      </c>
      <c r="M36">
        <v>0</v>
      </c>
      <c r="N36" s="1" t="s">
        <v>276</v>
      </c>
      <c r="O36" s="5" t="s">
        <v>569</v>
      </c>
      <c r="P36" s="11" t="s">
        <v>610</v>
      </c>
      <c r="Q36" s="11" t="s">
        <v>610</v>
      </c>
    </row>
    <row r="37" spans="1:17" s="1" customFormat="1" x14ac:dyDescent="0.25">
      <c r="A37" s="5">
        <v>36</v>
      </c>
      <c r="B37" s="1" t="s">
        <v>7</v>
      </c>
      <c r="C37" s="1" t="s">
        <v>30</v>
      </c>
      <c r="D37" s="1">
        <v>1993</v>
      </c>
      <c r="E37" s="1">
        <v>1249</v>
      </c>
      <c r="F37" s="1">
        <v>1250</v>
      </c>
      <c r="G37" s="1">
        <f>10.1*25.4</f>
        <v>256.53999999999996</v>
      </c>
      <c r="H37" s="11">
        <f>3.5*25.4</f>
        <v>88.899999999999991</v>
      </c>
      <c r="I37" s="1">
        <v>5.6</v>
      </c>
      <c r="J37" s="3">
        <v>400</v>
      </c>
      <c r="K37" s="3" t="s">
        <v>177</v>
      </c>
      <c r="L37" s="1">
        <v>0</v>
      </c>
      <c r="M37" s="1">
        <v>0</v>
      </c>
      <c r="N37" s="1" t="s">
        <v>276</v>
      </c>
      <c r="O37" s="5" t="s">
        <v>569</v>
      </c>
      <c r="P37" s="11" t="s">
        <v>610</v>
      </c>
      <c r="Q37" s="11" t="s">
        <v>610</v>
      </c>
    </row>
    <row r="38" spans="1:17" x14ac:dyDescent="0.25">
      <c r="A38" s="5">
        <v>37</v>
      </c>
      <c r="B38" t="s">
        <v>7</v>
      </c>
      <c r="C38" t="s">
        <v>49</v>
      </c>
      <c r="D38">
        <v>2011</v>
      </c>
      <c r="E38">
        <v>9999</v>
      </c>
      <c r="F38">
        <v>3850</v>
      </c>
      <c r="G38">
        <f>13.5*25.4</f>
        <v>342.9</v>
      </c>
      <c r="H38" s="2">
        <f>6.42*25.4</f>
        <v>163.06799999999998</v>
      </c>
      <c r="I38" s="1">
        <v>2.8</v>
      </c>
      <c r="J38" s="3">
        <v>400</v>
      </c>
      <c r="K38" s="3" t="s">
        <v>177</v>
      </c>
      <c r="L38">
        <v>1</v>
      </c>
      <c r="M38">
        <v>0</v>
      </c>
      <c r="N38" s="1" t="s">
        <v>276</v>
      </c>
      <c r="O38" s="5" t="s">
        <v>569</v>
      </c>
      <c r="P38" s="11" t="s">
        <v>610</v>
      </c>
      <c r="Q38" s="11" t="s">
        <v>610</v>
      </c>
    </row>
    <row r="39" spans="1:17" x14ac:dyDescent="0.25">
      <c r="A39" s="5">
        <v>38</v>
      </c>
      <c r="B39" t="s">
        <v>7</v>
      </c>
      <c r="C39" t="s">
        <v>53</v>
      </c>
      <c r="D39">
        <v>2014</v>
      </c>
      <c r="E39">
        <v>6899</v>
      </c>
      <c r="F39">
        <v>2100</v>
      </c>
      <c r="G39">
        <f>9.16*25.4</f>
        <v>232.66399999999999</v>
      </c>
      <c r="H39" s="2">
        <f>5.04*25.4</f>
        <v>128.01599999999999</v>
      </c>
      <c r="I39" s="1">
        <v>4</v>
      </c>
      <c r="J39" s="3">
        <v>400</v>
      </c>
      <c r="K39" s="3" t="s">
        <v>177</v>
      </c>
      <c r="L39">
        <v>1</v>
      </c>
      <c r="M39">
        <v>0</v>
      </c>
      <c r="N39" s="1" t="s">
        <v>276</v>
      </c>
      <c r="O39" s="5" t="s">
        <v>569</v>
      </c>
      <c r="P39" s="11" t="s">
        <v>610</v>
      </c>
      <c r="Q39" s="11" t="s">
        <v>610</v>
      </c>
    </row>
    <row r="40" spans="1:17" x14ac:dyDescent="0.25">
      <c r="A40" s="5">
        <v>39</v>
      </c>
      <c r="B40" t="s">
        <v>7</v>
      </c>
      <c r="C40" t="s">
        <v>47</v>
      </c>
      <c r="D40">
        <v>2011</v>
      </c>
      <c r="E40">
        <v>8999</v>
      </c>
      <c r="F40">
        <v>3190</v>
      </c>
      <c r="G40">
        <f>15.08*25.4</f>
        <v>383.03199999999998</v>
      </c>
      <c r="H40" s="2">
        <f>5.75*25.4</f>
        <v>146.04999999999998</v>
      </c>
      <c r="I40" s="1">
        <v>4</v>
      </c>
      <c r="J40" s="3">
        <v>500</v>
      </c>
      <c r="K40" s="3" t="s">
        <v>177</v>
      </c>
      <c r="L40">
        <v>1</v>
      </c>
      <c r="M40">
        <v>0</v>
      </c>
      <c r="N40" s="1" t="s">
        <v>276</v>
      </c>
      <c r="O40" s="5" t="s">
        <v>569</v>
      </c>
      <c r="P40" s="11" t="s">
        <v>610</v>
      </c>
      <c r="Q40" s="11" t="s">
        <v>610</v>
      </c>
    </row>
    <row r="41" spans="1:17" x14ac:dyDescent="0.25">
      <c r="A41" s="5">
        <v>40</v>
      </c>
      <c r="B41" t="s">
        <v>7</v>
      </c>
      <c r="C41" t="s">
        <v>48</v>
      </c>
      <c r="D41">
        <v>2011</v>
      </c>
      <c r="E41">
        <v>11490</v>
      </c>
      <c r="F41">
        <v>3920</v>
      </c>
      <c r="G41">
        <f>17.6*25.4</f>
        <v>447.04</v>
      </c>
      <c r="H41" s="2">
        <f>6.6*25.4</f>
        <v>167.64</v>
      </c>
      <c r="I41" s="1">
        <v>4</v>
      </c>
      <c r="J41" s="3">
        <v>600</v>
      </c>
      <c r="K41" s="3" t="s">
        <v>177</v>
      </c>
      <c r="L41">
        <v>1</v>
      </c>
      <c r="M41">
        <v>0</v>
      </c>
      <c r="N41" s="1" t="s">
        <v>276</v>
      </c>
      <c r="O41" s="5" t="s">
        <v>569</v>
      </c>
      <c r="P41" s="11" t="s">
        <v>610</v>
      </c>
      <c r="Q41" s="11" t="s">
        <v>610</v>
      </c>
    </row>
    <row r="42" spans="1:17" x14ac:dyDescent="0.25">
      <c r="A42" s="5">
        <v>41</v>
      </c>
      <c r="B42" t="s">
        <v>7</v>
      </c>
      <c r="C42" t="s">
        <v>44</v>
      </c>
      <c r="D42" s="11">
        <v>2008</v>
      </c>
      <c r="E42">
        <v>12999</v>
      </c>
      <c r="F42">
        <v>4500</v>
      </c>
      <c r="G42">
        <f>18.1*25.4</f>
        <v>459.74</v>
      </c>
      <c r="H42" s="2">
        <f>6.4*25.4</f>
        <v>162.56</v>
      </c>
      <c r="I42" s="1">
        <v>5.6</v>
      </c>
      <c r="J42" s="3">
        <v>800</v>
      </c>
      <c r="K42" s="3" t="s">
        <v>177</v>
      </c>
      <c r="L42">
        <v>1</v>
      </c>
      <c r="M42">
        <v>0</v>
      </c>
      <c r="N42" s="1" t="s">
        <v>276</v>
      </c>
      <c r="O42" s="5" t="s">
        <v>569</v>
      </c>
      <c r="P42" s="11" t="s">
        <v>610</v>
      </c>
      <c r="Q42" s="11" t="s">
        <v>610</v>
      </c>
    </row>
    <row r="43" spans="1:17" x14ac:dyDescent="0.25">
      <c r="A43" s="5">
        <v>42</v>
      </c>
      <c r="B43" t="s">
        <v>7</v>
      </c>
      <c r="C43" t="s">
        <v>55</v>
      </c>
      <c r="D43" s="11">
        <v>2015</v>
      </c>
      <c r="E43">
        <v>2999</v>
      </c>
      <c r="F43">
        <v>1180</v>
      </c>
      <c r="G43">
        <f>5.2*25.4</f>
        <v>132.07999999999998</v>
      </c>
      <c r="H43" s="7">
        <f>4.3*25.4</f>
        <v>109.21999999999998</v>
      </c>
      <c r="I43" s="1">
        <v>4</v>
      </c>
      <c r="J43" s="3" t="s">
        <v>458</v>
      </c>
      <c r="K43" s="3" t="s">
        <v>178</v>
      </c>
      <c r="L43">
        <v>0</v>
      </c>
      <c r="M43">
        <v>0</v>
      </c>
      <c r="N43" s="1" t="s">
        <v>276</v>
      </c>
      <c r="O43" s="5" t="s">
        <v>562</v>
      </c>
      <c r="P43" s="11" t="s">
        <v>610</v>
      </c>
      <c r="Q43" s="11" t="s">
        <v>610</v>
      </c>
    </row>
    <row r="44" spans="1:17" x14ac:dyDescent="0.25">
      <c r="A44" s="5">
        <v>43</v>
      </c>
      <c r="B44" t="s">
        <v>7</v>
      </c>
      <c r="C44" t="s">
        <v>310</v>
      </c>
      <c r="D44">
        <v>1998</v>
      </c>
      <c r="E44">
        <v>1499</v>
      </c>
      <c r="F44">
        <v>1360</v>
      </c>
      <c r="G44">
        <v>189</v>
      </c>
      <c r="H44" s="2">
        <v>92</v>
      </c>
      <c r="I44" s="1">
        <v>5.6</v>
      </c>
      <c r="J44" s="3" t="s">
        <v>394</v>
      </c>
      <c r="K44" s="3" t="s">
        <v>178</v>
      </c>
      <c r="L44">
        <v>1</v>
      </c>
      <c r="M44">
        <v>0</v>
      </c>
      <c r="N44" s="1" t="s">
        <v>276</v>
      </c>
      <c r="O44" s="5" t="s">
        <v>569</v>
      </c>
      <c r="P44" s="11" t="s">
        <v>610</v>
      </c>
      <c r="Q44" s="11" t="s">
        <v>610</v>
      </c>
    </row>
    <row r="45" spans="1:17" x14ac:dyDescent="0.25">
      <c r="A45" s="5">
        <v>44</v>
      </c>
      <c r="B45" t="s">
        <v>7</v>
      </c>
      <c r="C45" t="s">
        <v>54</v>
      </c>
      <c r="D45">
        <v>2014</v>
      </c>
      <c r="E45">
        <v>2199</v>
      </c>
      <c r="F45">
        <v>1590</v>
      </c>
      <c r="G45">
        <f>7.6*25.4</f>
        <v>193.04</v>
      </c>
      <c r="H45" s="2">
        <f>3.7*25.4</f>
        <v>93.98</v>
      </c>
      <c r="I45" s="1">
        <v>5.6</v>
      </c>
      <c r="J45" s="3" t="s">
        <v>394</v>
      </c>
      <c r="K45" s="3" t="s">
        <v>178</v>
      </c>
      <c r="L45">
        <v>1</v>
      </c>
      <c r="M45">
        <v>0</v>
      </c>
      <c r="N45" s="1" t="s">
        <v>276</v>
      </c>
      <c r="O45" s="5" t="s">
        <v>569</v>
      </c>
      <c r="P45" s="11" t="s">
        <v>610</v>
      </c>
      <c r="Q45" s="11" t="s">
        <v>610</v>
      </c>
    </row>
    <row r="46" spans="1:17" x14ac:dyDescent="0.25">
      <c r="A46" s="5">
        <v>45</v>
      </c>
      <c r="B46" t="s">
        <v>7</v>
      </c>
      <c r="C46" t="s">
        <v>487</v>
      </c>
      <c r="D46">
        <v>2012</v>
      </c>
      <c r="E46">
        <v>23875</v>
      </c>
      <c r="F46">
        <v>2190</v>
      </c>
      <c r="G46">
        <f>8.7*25.4</f>
        <v>220.97999999999996</v>
      </c>
      <c r="H46" s="2">
        <f>4.4*25.4</f>
        <v>111.76</v>
      </c>
      <c r="I46" s="1">
        <v>2.8</v>
      </c>
      <c r="J46" s="3" t="s">
        <v>457</v>
      </c>
      <c r="K46" s="3" t="s">
        <v>178</v>
      </c>
      <c r="L46">
        <v>0</v>
      </c>
      <c r="M46">
        <v>1</v>
      </c>
      <c r="N46" s="1" t="s">
        <v>276</v>
      </c>
      <c r="O46" s="5" t="s">
        <v>564</v>
      </c>
      <c r="P46" s="11" t="s">
        <v>610</v>
      </c>
      <c r="Q46" s="11" t="s">
        <v>610</v>
      </c>
    </row>
    <row r="47" spans="1:17" x14ac:dyDescent="0.25">
      <c r="A47" s="5">
        <v>46</v>
      </c>
      <c r="B47" t="s">
        <v>7</v>
      </c>
      <c r="C47" t="s">
        <v>42</v>
      </c>
      <c r="D47">
        <v>2007</v>
      </c>
      <c r="E47" s="1">
        <v>1599</v>
      </c>
      <c r="F47">
        <v>635</v>
      </c>
      <c r="G47">
        <f>4.39*25.4</f>
        <v>111.50599999999999</v>
      </c>
      <c r="H47" s="11">
        <f>3.48*25.4</f>
        <v>88.391999999999996</v>
      </c>
      <c r="I47" s="1">
        <v>2.8</v>
      </c>
      <c r="J47" s="3" t="s">
        <v>351</v>
      </c>
      <c r="K47" s="3" t="s">
        <v>178</v>
      </c>
      <c r="L47">
        <v>0</v>
      </c>
      <c r="M47">
        <v>0</v>
      </c>
      <c r="N47" s="1" t="s">
        <v>276</v>
      </c>
      <c r="O47" s="5" t="s">
        <v>564</v>
      </c>
      <c r="P47" s="11" t="s">
        <v>610</v>
      </c>
      <c r="Q47" s="11" t="s">
        <v>610</v>
      </c>
    </row>
    <row r="48" spans="1:17" x14ac:dyDescent="0.25">
      <c r="A48" s="5">
        <v>47</v>
      </c>
      <c r="B48" t="s">
        <v>7</v>
      </c>
      <c r="C48" t="s">
        <v>52</v>
      </c>
      <c r="D48">
        <v>2014</v>
      </c>
      <c r="E48">
        <v>1099</v>
      </c>
      <c r="F48">
        <v>615</v>
      </c>
      <c r="G48">
        <f>4.44*25.4</f>
        <v>112.77600000000001</v>
      </c>
      <c r="H48" s="2">
        <f>3.25*25.4</f>
        <v>82.55</v>
      </c>
      <c r="I48" s="1">
        <v>4</v>
      </c>
      <c r="J48" s="3" t="s">
        <v>351</v>
      </c>
      <c r="K48" s="3" t="s">
        <v>178</v>
      </c>
      <c r="L48">
        <v>1</v>
      </c>
      <c r="M48">
        <v>0</v>
      </c>
      <c r="N48" s="1" t="s">
        <v>276</v>
      </c>
      <c r="O48" s="5" t="s">
        <v>564</v>
      </c>
      <c r="P48" s="11" t="s">
        <v>610</v>
      </c>
      <c r="Q48" s="11" t="s">
        <v>610</v>
      </c>
    </row>
    <row r="49" spans="1:17" x14ac:dyDescent="0.25">
      <c r="A49" s="5">
        <v>48</v>
      </c>
      <c r="B49" t="s">
        <v>7</v>
      </c>
      <c r="C49" t="s">
        <v>336</v>
      </c>
      <c r="D49">
        <v>2003</v>
      </c>
      <c r="E49">
        <v>799</v>
      </c>
      <c r="F49">
        <v>475</v>
      </c>
      <c r="G49">
        <f>3.81*25.4</f>
        <v>96.774000000000001</v>
      </c>
      <c r="H49" s="11">
        <f>3.29*25.4</f>
        <v>83.566000000000003</v>
      </c>
      <c r="I49" s="1">
        <v>4</v>
      </c>
      <c r="J49" s="3" t="s">
        <v>456</v>
      </c>
      <c r="K49" s="3" t="s">
        <v>178</v>
      </c>
      <c r="L49">
        <v>0</v>
      </c>
      <c r="M49">
        <v>0</v>
      </c>
      <c r="N49" s="1" t="s">
        <v>276</v>
      </c>
      <c r="O49" s="5" t="s">
        <v>564</v>
      </c>
      <c r="P49" s="11" t="s">
        <v>610</v>
      </c>
      <c r="Q49" s="11" t="s">
        <v>610</v>
      </c>
    </row>
    <row r="50" spans="1:17" x14ac:dyDescent="0.25">
      <c r="A50" s="5">
        <v>49</v>
      </c>
      <c r="B50" t="s">
        <v>7</v>
      </c>
      <c r="C50" t="s">
        <v>51</v>
      </c>
      <c r="D50" s="11">
        <v>2013</v>
      </c>
      <c r="E50">
        <v>10999</v>
      </c>
      <c r="F50">
        <v>3620</v>
      </c>
      <c r="G50">
        <f>14.41*25.4</f>
        <v>366.01400000000001</v>
      </c>
      <c r="H50" s="2">
        <f>5.04*25.4</f>
        <v>128.01599999999999</v>
      </c>
      <c r="I50" s="1">
        <v>4</v>
      </c>
      <c r="J50" s="3" t="s">
        <v>455</v>
      </c>
      <c r="K50" s="3" t="s">
        <v>178</v>
      </c>
      <c r="L50">
        <v>1</v>
      </c>
      <c r="M50">
        <v>0</v>
      </c>
      <c r="N50" s="1" t="s">
        <v>276</v>
      </c>
      <c r="O50" s="5" t="s">
        <v>569</v>
      </c>
      <c r="P50" s="11" t="s">
        <v>610</v>
      </c>
      <c r="Q50" s="11" t="s">
        <v>610</v>
      </c>
    </row>
    <row r="51" spans="1:17" x14ac:dyDescent="0.25">
      <c r="A51" s="5">
        <v>50</v>
      </c>
      <c r="B51" t="s">
        <v>7</v>
      </c>
      <c r="C51" t="s">
        <v>101</v>
      </c>
      <c r="D51">
        <v>2005</v>
      </c>
      <c r="E51">
        <v>999</v>
      </c>
      <c r="F51">
        <v>670</v>
      </c>
      <c r="G51">
        <f>4.2*25.4</f>
        <v>106.67999999999999</v>
      </c>
      <c r="H51" s="11">
        <f>3.3*25.4</f>
        <v>83.82</v>
      </c>
      <c r="I51" s="1">
        <v>4</v>
      </c>
      <c r="J51" s="3" t="s">
        <v>436</v>
      </c>
      <c r="K51" s="3" t="s">
        <v>178</v>
      </c>
      <c r="L51">
        <v>1</v>
      </c>
      <c r="M51">
        <v>0</v>
      </c>
      <c r="N51" s="1" t="s">
        <v>276</v>
      </c>
      <c r="O51" s="5" t="s">
        <v>565</v>
      </c>
      <c r="P51" s="11" t="s">
        <v>610</v>
      </c>
      <c r="Q51" s="11" t="s">
        <v>610</v>
      </c>
    </row>
    <row r="52" spans="1:17" x14ac:dyDescent="0.25">
      <c r="A52" s="5">
        <v>51</v>
      </c>
      <c r="B52" t="s">
        <v>7</v>
      </c>
      <c r="C52" t="s">
        <v>337</v>
      </c>
      <c r="D52">
        <v>2012</v>
      </c>
      <c r="E52">
        <v>1899</v>
      </c>
      <c r="F52">
        <v>805</v>
      </c>
      <c r="G52">
        <f>4.45*25.4</f>
        <v>113.03</v>
      </c>
      <c r="H52" s="2">
        <f>3.48*25.4</f>
        <v>88.391999999999996</v>
      </c>
      <c r="I52" s="1">
        <v>2.8</v>
      </c>
      <c r="J52" s="3" t="s">
        <v>436</v>
      </c>
      <c r="K52" s="3" t="s">
        <v>178</v>
      </c>
      <c r="L52">
        <v>0</v>
      </c>
      <c r="M52">
        <v>0</v>
      </c>
      <c r="N52" s="1" t="s">
        <v>276</v>
      </c>
      <c r="O52" s="5" t="s">
        <v>565</v>
      </c>
      <c r="P52" s="11" t="s">
        <v>610</v>
      </c>
      <c r="Q52" s="11" t="s">
        <v>610</v>
      </c>
    </row>
    <row r="53" spans="1:17" x14ac:dyDescent="0.25">
      <c r="A53" s="5">
        <v>52</v>
      </c>
      <c r="B53" t="s">
        <v>7</v>
      </c>
      <c r="C53" t="s">
        <v>338</v>
      </c>
      <c r="D53">
        <v>2012</v>
      </c>
      <c r="E53">
        <v>999</v>
      </c>
      <c r="F53">
        <v>600</v>
      </c>
      <c r="G53">
        <f>3.66*25.4</f>
        <v>92.963999999999999</v>
      </c>
      <c r="H53" s="2">
        <f>3.28*25.4</f>
        <v>83.311999999999983</v>
      </c>
      <c r="I53" s="1">
        <v>4</v>
      </c>
      <c r="J53" s="3" t="s">
        <v>436</v>
      </c>
      <c r="K53" s="3" t="s">
        <v>178</v>
      </c>
      <c r="L53">
        <v>1</v>
      </c>
      <c r="M53">
        <v>0</v>
      </c>
      <c r="N53" s="1" t="s">
        <v>276</v>
      </c>
      <c r="O53" s="5" t="s">
        <v>565</v>
      </c>
      <c r="P53" s="11" t="s">
        <v>610</v>
      </c>
      <c r="Q53" s="11" t="s">
        <v>610</v>
      </c>
    </row>
    <row r="54" spans="1:17" x14ac:dyDescent="0.25">
      <c r="A54" s="5">
        <v>53</v>
      </c>
      <c r="B54" t="s">
        <v>7</v>
      </c>
      <c r="C54" t="s">
        <v>339</v>
      </c>
      <c r="D54">
        <v>2004</v>
      </c>
      <c r="E54">
        <v>2449</v>
      </c>
      <c r="F54">
        <v>1660</v>
      </c>
      <c r="G54">
        <f>7.2*25.4</f>
        <v>182.88</v>
      </c>
      <c r="H54" s="11">
        <f>3.6*25.4</f>
        <v>91.44</v>
      </c>
      <c r="I54" s="1">
        <v>5.6</v>
      </c>
      <c r="J54" s="3" t="s">
        <v>440</v>
      </c>
      <c r="K54" s="3" t="s">
        <v>178</v>
      </c>
      <c r="L54">
        <v>1</v>
      </c>
      <c r="M54">
        <v>0</v>
      </c>
      <c r="N54" s="1" t="s">
        <v>276</v>
      </c>
      <c r="O54" s="5" t="s">
        <v>570</v>
      </c>
      <c r="P54" s="11" t="s">
        <v>610</v>
      </c>
      <c r="Q54" s="11" t="s">
        <v>610</v>
      </c>
    </row>
    <row r="55" spans="1:17" x14ac:dyDescent="0.25">
      <c r="A55" s="5">
        <v>54</v>
      </c>
      <c r="B55" t="s">
        <v>7</v>
      </c>
      <c r="C55" t="s">
        <v>131</v>
      </c>
      <c r="D55">
        <v>2012</v>
      </c>
      <c r="E55">
        <v>23875</v>
      </c>
      <c r="F55">
        <v>2190</v>
      </c>
      <c r="G55">
        <f>8.7*25.4</f>
        <v>220.97999999999996</v>
      </c>
      <c r="H55" s="2">
        <f>4.4*25.4</f>
        <v>111.76</v>
      </c>
      <c r="I55" s="1">
        <v>2.8</v>
      </c>
      <c r="J55" s="3" t="s">
        <v>454</v>
      </c>
      <c r="K55" s="3" t="s">
        <v>178</v>
      </c>
      <c r="L55">
        <v>0</v>
      </c>
      <c r="M55">
        <v>1</v>
      </c>
      <c r="N55" s="1" t="s">
        <v>276</v>
      </c>
      <c r="O55" s="5" t="s">
        <v>567</v>
      </c>
      <c r="P55" s="11" t="s">
        <v>610</v>
      </c>
      <c r="Q55" s="11" t="s">
        <v>610</v>
      </c>
    </row>
    <row r="56" spans="1:17" x14ac:dyDescent="0.25">
      <c r="A56" s="5">
        <v>55</v>
      </c>
      <c r="B56" s="1" t="s">
        <v>7</v>
      </c>
      <c r="C56" t="s">
        <v>40</v>
      </c>
      <c r="D56">
        <v>2006</v>
      </c>
      <c r="E56">
        <v>1199</v>
      </c>
      <c r="F56">
        <v>760</v>
      </c>
      <c r="G56">
        <f>6.8*25.4</f>
        <v>172.72</v>
      </c>
      <c r="H56" s="11">
        <f>3*25.4</f>
        <v>76.199999999999989</v>
      </c>
      <c r="I56" s="1">
        <v>4</v>
      </c>
      <c r="J56" s="3" t="s">
        <v>359</v>
      </c>
      <c r="K56" s="3" t="s">
        <v>178</v>
      </c>
      <c r="L56">
        <v>1</v>
      </c>
      <c r="M56">
        <v>0</v>
      </c>
      <c r="N56" s="1" t="s">
        <v>276</v>
      </c>
      <c r="O56" s="5" t="s">
        <v>571</v>
      </c>
      <c r="P56" s="11" t="s">
        <v>610</v>
      </c>
      <c r="Q56" s="11" t="s">
        <v>610</v>
      </c>
    </row>
    <row r="57" spans="1:17" x14ac:dyDescent="0.25">
      <c r="A57" s="5">
        <v>56</v>
      </c>
      <c r="B57" s="1" t="s">
        <v>7</v>
      </c>
      <c r="C57" s="1" t="s">
        <v>41</v>
      </c>
      <c r="D57">
        <v>1999</v>
      </c>
      <c r="E57">
        <v>649</v>
      </c>
      <c r="F57">
        <v>705</v>
      </c>
      <c r="G57">
        <f>6.8*25.4</f>
        <v>172.72</v>
      </c>
      <c r="H57" s="11">
        <f>3*25.4</f>
        <v>76.199999999999989</v>
      </c>
      <c r="I57" s="1">
        <v>4</v>
      </c>
      <c r="J57" s="3" t="s">
        <v>359</v>
      </c>
      <c r="K57" s="3" t="s">
        <v>178</v>
      </c>
      <c r="L57">
        <v>0</v>
      </c>
      <c r="M57">
        <v>0</v>
      </c>
      <c r="N57" s="1" t="s">
        <v>276</v>
      </c>
      <c r="O57" s="5" t="s">
        <v>571</v>
      </c>
      <c r="P57" s="11" t="s">
        <v>610</v>
      </c>
      <c r="Q57" s="11" t="s">
        <v>610</v>
      </c>
    </row>
    <row r="58" spans="1:17" x14ac:dyDescent="0.25">
      <c r="A58" s="5">
        <v>57</v>
      </c>
      <c r="B58" s="1" t="s">
        <v>7</v>
      </c>
      <c r="C58" t="s">
        <v>45</v>
      </c>
      <c r="D58">
        <v>2010</v>
      </c>
      <c r="E58">
        <v>2099</v>
      </c>
      <c r="F58">
        <v>1490</v>
      </c>
      <c r="G58">
        <f>7.8*25.4</f>
        <v>198.11999999999998</v>
      </c>
      <c r="H58" s="2">
        <f>3.5*25.4</f>
        <v>88.899999999999991</v>
      </c>
      <c r="I58" s="1">
        <v>2.8</v>
      </c>
      <c r="J58" s="3" t="s">
        <v>359</v>
      </c>
      <c r="K58" s="3" t="s">
        <v>178</v>
      </c>
      <c r="L58">
        <v>1</v>
      </c>
      <c r="M58">
        <v>0</v>
      </c>
      <c r="N58" s="1" t="s">
        <v>276</v>
      </c>
      <c r="O58" s="5" t="s">
        <v>571</v>
      </c>
      <c r="P58" s="11" t="s">
        <v>610</v>
      </c>
      <c r="Q58" s="11" t="s">
        <v>610</v>
      </c>
    </row>
    <row r="59" spans="1:17" x14ac:dyDescent="0.25">
      <c r="A59" s="5">
        <v>58</v>
      </c>
      <c r="B59" s="1" t="s">
        <v>7</v>
      </c>
      <c r="C59" t="s">
        <v>37</v>
      </c>
      <c r="D59">
        <v>2005</v>
      </c>
      <c r="E59">
        <v>649</v>
      </c>
      <c r="F59">
        <v>630</v>
      </c>
      <c r="G59">
        <f>5.6*25.4</f>
        <v>142.23999999999998</v>
      </c>
      <c r="H59" s="11">
        <f>3*25.4</f>
        <v>76.199999999999989</v>
      </c>
      <c r="I59" s="1">
        <v>5.6</v>
      </c>
      <c r="J59" s="3" t="s">
        <v>349</v>
      </c>
      <c r="K59" s="3" t="s">
        <v>178</v>
      </c>
      <c r="L59">
        <v>1</v>
      </c>
      <c r="M59">
        <v>0</v>
      </c>
      <c r="N59" s="1" t="s">
        <v>276</v>
      </c>
      <c r="O59" s="5" t="s">
        <v>571</v>
      </c>
      <c r="P59" s="11" t="s">
        <v>610</v>
      </c>
      <c r="Q59" s="11" t="s">
        <v>610</v>
      </c>
    </row>
    <row r="60" spans="1:17" x14ac:dyDescent="0.25">
      <c r="A60" s="5">
        <v>59</v>
      </c>
      <c r="B60" s="1" t="s">
        <v>7</v>
      </c>
      <c r="C60" t="s">
        <v>46</v>
      </c>
      <c r="D60" s="1">
        <v>2010</v>
      </c>
      <c r="E60">
        <v>1349</v>
      </c>
      <c r="F60">
        <v>1050</v>
      </c>
      <c r="G60">
        <f>5.6*25.4</f>
        <v>142.23999999999998</v>
      </c>
      <c r="H60" s="2">
        <f>3.5*25.4</f>
        <v>88.899999999999991</v>
      </c>
      <c r="I60" s="1">
        <v>5.6</v>
      </c>
      <c r="J60" s="3" t="s">
        <v>349</v>
      </c>
      <c r="K60" s="3" t="s">
        <v>178</v>
      </c>
      <c r="L60">
        <v>1</v>
      </c>
      <c r="M60">
        <v>0</v>
      </c>
      <c r="N60" s="1" t="s">
        <v>276</v>
      </c>
      <c r="O60" s="5" t="s">
        <v>571</v>
      </c>
      <c r="P60" s="11" t="s">
        <v>610</v>
      </c>
      <c r="Q60" s="11" t="s">
        <v>610</v>
      </c>
    </row>
    <row r="61" spans="1:17" x14ac:dyDescent="0.25">
      <c r="A61" s="5">
        <v>60</v>
      </c>
      <c r="B61" s="1" t="s">
        <v>7</v>
      </c>
      <c r="C61" t="s">
        <v>335</v>
      </c>
      <c r="D61" s="1">
        <v>2013</v>
      </c>
      <c r="E61">
        <v>849</v>
      </c>
      <c r="F61">
        <v>625</v>
      </c>
      <c r="G61">
        <v>123</v>
      </c>
      <c r="H61" s="2">
        <v>77.7</v>
      </c>
      <c r="I61" s="1">
        <v>2.8</v>
      </c>
      <c r="J61" s="3">
        <v>100</v>
      </c>
      <c r="K61" s="3">
        <v>0</v>
      </c>
      <c r="L61">
        <v>1</v>
      </c>
      <c r="M61">
        <v>0</v>
      </c>
      <c r="N61" s="1" t="s">
        <v>276</v>
      </c>
      <c r="O61" s="5" t="s">
        <v>566</v>
      </c>
      <c r="P61" s="11" t="s">
        <v>610</v>
      </c>
      <c r="Q61" s="11" t="s">
        <v>610</v>
      </c>
    </row>
    <row r="62" spans="1:17" x14ac:dyDescent="0.25">
      <c r="A62" s="5">
        <v>61</v>
      </c>
      <c r="B62" s="1" t="s">
        <v>7</v>
      </c>
      <c r="C62" t="s">
        <v>340</v>
      </c>
      <c r="D62">
        <v>1997</v>
      </c>
      <c r="E62">
        <v>5500</v>
      </c>
      <c r="F62">
        <v>2500</v>
      </c>
      <c r="G62">
        <f>9.16*25.4</f>
        <v>232.66399999999999</v>
      </c>
      <c r="H62" s="2">
        <f>5.04*25.4</f>
        <v>128.01599999999999</v>
      </c>
      <c r="I62" s="1">
        <v>4</v>
      </c>
      <c r="J62" s="3">
        <v>400</v>
      </c>
      <c r="K62" s="3" t="s">
        <v>177</v>
      </c>
      <c r="L62">
        <v>1</v>
      </c>
      <c r="M62">
        <v>0</v>
      </c>
      <c r="N62" s="1" t="s">
        <v>276</v>
      </c>
      <c r="O62" s="5" t="s">
        <v>569</v>
      </c>
      <c r="P62" s="11" t="s">
        <v>610</v>
      </c>
      <c r="Q62" s="11" t="s">
        <v>610</v>
      </c>
    </row>
    <row r="63" spans="1:17" x14ac:dyDescent="0.25">
      <c r="A63" s="5">
        <v>62</v>
      </c>
      <c r="B63" s="1" t="s">
        <v>7</v>
      </c>
      <c r="C63" t="s">
        <v>348</v>
      </c>
      <c r="D63" s="11">
        <v>2016</v>
      </c>
      <c r="E63">
        <v>549</v>
      </c>
      <c r="F63">
        <v>708</v>
      </c>
      <c r="G63">
        <v>145</v>
      </c>
      <c r="H63" s="2">
        <v>78.7</v>
      </c>
      <c r="I63" s="1">
        <v>4.5</v>
      </c>
      <c r="J63" s="3" t="s">
        <v>349</v>
      </c>
      <c r="K63" s="3" t="s">
        <v>178</v>
      </c>
      <c r="L63">
        <v>1</v>
      </c>
      <c r="M63">
        <v>0</v>
      </c>
      <c r="N63" s="1" t="s">
        <v>276</v>
      </c>
      <c r="O63" s="5" t="s">
        <v>571</v>
      </c>
      <c r="P63" s="11" t="s">
        <v>610</v>
      </c>
      <c r="Q63" s="11" t="s">
        <v>610</v>
      </c>
    </row>
    <row r="64" spans="1:17" x14ac:dyDescent="0.25">
      <c r="A64" s="5">
        <v>63</v>
      </c>
      <c r="B64" s="1" t="s">
        <v>7</v>
      </c>
      <c r="C64" s="1" t="s">
        <v>350</v>
      </c>
      <c r="D64" s="11">
        <v>2016</v>
      </c>
      <c r="E64">
        <v>2199</v>
      </c>
      <c r="F64">
        <v>790</v>
      </c>
      <c r="G64">
        <v>128</v>
      </c>
      <c r="H64" s="2">
        <v>88.5</v>
      </c>
      <c r="I64" s="1">
        <v>2.8</v>
      </c>
      <c r="J64" s="3" t="s">
        <v>351</v>
      </c>
      <c r="K64" s="3" t="s">
        <v>178</v>
      </c>
      <c r="L64">
        <v>0</v>
      </c>
      <c r="M64">
        <v>0</v>
      </c>
      <c r="N64" s="1" t="s">
        <v>276</v>
      </c>
      <c r="O64" s="5" t="s">
        <v>564</v>
      </c>
      <c r="P64" s="11" t="s">
        <v>610</v>
      </c>
      <c r="Q64" s="11" t="s">
        <v>610</v>
      </c>
    </row>
    <row r="65" spans="1:17" x14ac:dyDescent="0.25">
      <c r="A65" s="5">
        <v>64</v>
      </c>
      <c r="B65" s="1" t="s">
        <v>7</v>
      </c>
      <c r="C65" s="1" t="s">
        <v>354</v>
      </c>
      <c r="D65" s="11">
        <v>2016</v>
      </c>
      <c r="E65">
        <v>599</v>
      </c>
      <c r="F65">
        <v>515</v>
      </c>
      <c r="G65">
        <v>96</v>
      </c>
      <c r="H65" s="2">
        <v>77.400000000000006</v>
      </c>
      <c r="I65" s="1">
        <v>3.5</v>
      </c>
      <c r="J65" s="3" t="s">
        <v>355</v>
      </c>
      <c r="K65" s="3" t="s">
        <v>178</v>
      </c>
      <c r="L65">
        <v>1</v>
      </c>
      <c r="M65">
        <v>0</v>
      </c>
      <c r="N65" s="1" t="s">
        <v>291</v>
      </c>
      <c r="O65" s="5" t="s">
        <v>565</v>
      </c>
      <c r="P65" s="11" t="s">
        <v>610</v>
      </c>
      <c r="Q65" s="11" t="s">
        <v>610</v>
      </c>
    </row>
    <row r="66" spans="1:17" x14ac:dyDescent="0.25">
      <c r="A66" s="5">
        <v>65</v>
      </c>
      <c r="B66" s="1" t="s">
        <v>7</v>
      </c>
      <c r="C66" t="s">
        <v>356</v>
      </c>
      <c r="D66" s="11">
        <v>2014</v>
      </c>
      <c r="E66">
        <v>599</v>
      </c>
      <c r="F66">
        <v>525</v>
      </c>
      <c r="G66">
        <v>104</v>
      </c>
      <c r="H66" s="2">
        <v>83.4</v>
      </c>
      <c r="I66" s="1">
        <v>3.5</v>
      </c>
      <c r="J66" s="3" t="s">
        <v>353</v>
      </c>
      <c r="K66" s="3" t="s">
        <v>178</v>
      </c>
      <c r="L66">
        <v>1</v>
      </c>
      <c r="M66">
        <v>0</v>
      </c>
      <c r="N66" s="1" t="s">
        <v>276</v>
      </c>
      <c r="O66" s="5" t="s">
        <v>565</v>
      </c>
      <c r="P66" s="11" t="s">
        <v>610</v>
      </c>
      <c r="Q66" s="11" t="s">
        <v>610</v>
      </c>
    </row>
    <row r="67" spans="1:17" x14ac:dyDescent="0.25">
      <c r="A67" s="5">
        <v>66</v>
      </c>
      <c r="B67" s="1" t="s">
        <v>7</v>
      </c>
      <c r="C67" t="s">
        <v>352</v>
      </c>
      <c r="D67">
        <v>2016</v>
      </c>
      <c r="E67">
        <v>1099</v>
      </c>
      <c r="F67">
        <v>795</v>
      </c>
      <c r="G67">
        <v>118</v>
      </c>
      <c r="H67" s="2">
        <v>83.5</v>
      </c>
      <c r="I67" s="11">
        <v>4</v>
      </c>
      <c r="J67" s="3" t="s">
        <v>353</v>
      </c>
      <c r="K67" s="3" t="s">
        <v>178</v>
      </c>
      <c r="L67">
        <v>1</v>
      </c>
      <c r="M67">
        <v>0</v>
      </c>
      <c r="N67" s="1" t="s">
        <v>276</v>
      </c>
      <c r="O67" s="5" t="s">
        <v>565</v>
      </c>
      <c r="P67" s="11" t="s">
        <v>610</v>
      </c>
      <c r="Q67" s="11" t="s">
        <v>610</v>
      </c>
    </row>
    <row r="68" spans="1:17" x14ac:dyDescent="0.25">
      <c r="A68" s="5">
        <v>67</v>
      </c>
      <c r="B68" s="1" t="s">
        <v>367</v>
      </c>
      <c r="C68" t="s">
        <v>368</v>
      </c>
      <c r="D68">
        <v>2013</v>
      </c>
      <c r="E68">
        <v>899</v>
      </c>
      <c r="F68">
        <v>235</v>
      </c>
      <c r="G68">
        <v>58.4</v>
      </c>
      <c r="H68" s="2">
        <v>65</v>
      </c>
      <c r="I68" s="1">
        <v>2.8</v>
      </c>
      <c r="J68" s="3" t="s">
        <v>110</v>
      </c>
      <c r="K68" s="3" t="s">
        <v>177</v>
      </c>
      <c r="L68">
        <v>0</v>
      </c>
      <c r="M68">
        <v>0</v>
      </c>
      <c r="N68" s="1" t="s">
        <v>291</v>
      </c>
      <c r="O68" s="5" t="s">
        <v>562</v>
      </c>
      <c r="P68" s="11" t="s">
        <v>610</v>
      </c>
      <c r="Q68" s="11" t="s">
        <v>610</v>
      </c>
    </row>
    <row r="69" spans="1:17" x14ac:dyDescent="0.25">
      <c r="A69" s="5">
        <v>68</v>
      </c>
      <c r="B69" s="1" t="s">
        <v>367</v>
      </c>
      <c r="C69" t="s">
        <v>369</v>
      </c>
      <c r="D69" s="11">
        <v>2015</v>
      </c>
      <c r="E69">
        <v>999</v>
      </c>
      <c r="F69">
        <v>375</v>
      </c>
      <c r="G69">
        <v>73</v>
      </c>
      <c r="H69" s="2">
        <v>73.400000000000006</v>
      </c>
      <c r="I69" s="1">
        <v>1.4</v>
      </c>
      <c r="J69" s="3" t="s">
        <v>370</v>
      </c>
      <c r="K69" s="3" t="s">
        <v>177</v>
      </c>
      <c r="L69">
        <v>0</v>
      </c>
      <c r="M69">
        <v>0</v>
      </c>
      <c r="N69" s="1" t="s">
        <v>291</v>
      </c>
      <c r="O69" s="5" t="s">
        <v>564</v>
      </c>
      <c r="P69" s="11" t="s">
        <v>610</v>
      </c>
      <c r="Q69" s="11" t="s">
        <v>610</v>
      </c>
    </row>
    <row r="70" spans="1:17" x14ac:dyDescent="0.25">
      <c r="A70" s="5">
        <v>69</v>
      </c>
      <c r="B70" s="1" t="s">
        <v>367</v>
      </c>
      <c r="C70" t="s">
        <v>371</v>
      </c>
      <c r="D70" s="1">
        <v>2012</v>
      </c>
      <c r="E70">
        <v>599</v>
      </c>
      <c r="F70">
        <v>116</v>
      </c>
      <c r="G70">
        <v>40.6</v>
      </c>
      <c r="H70" s="2">
        <v>64.5</v>
      </c>
      <c r="I70" s="1">
        <v>2</v>
      </c>
      <c r="J70" s="3" t="s">
        <v>136</v>
      </c>
      <c r="K70" s="3" t="s">
        <v>177</v>
      </c>
      <c r="L70">
        <v>0</v>
      </c>
      <c r="M70">
        <v>0</v>
      </c>
      <c r="N70" s="1" t="s">
        <v>291</v>
      </c>
      <c r="O70" s="5" t="s">
        <v>564</v>
      </c>
      <c r="P70" s="11" t="s">
        <v>610</v>
      </c>
      <c r="Q70" s="11" t="s">
        <v>610</v>
      </c>
    </row>
    <row r="71" spans="1:17" x14ac:dyDescent="0.25">
      <c r="A71" s="5">
        <v>70</v>
      </c>
      <c r="B71" s="1" t="s">
        <v>367</v>
      </c>
      <c r="C71" t="s">
        <v>372</v>
      </c>
      <c r="D71" s="11">
        <v>2014</v>
      </c>
      <c r="E71">
        <v>899</v>
      </c>
      <c r="F71">
        <v>301</v>
      </c>
      <c r="G71">
        <v>63</v>
      </c>
      <c r="H71" s="2">
        <v>72</v>
      </c>
      <c r="I71" s="1">
        <v>1.4</v>
      </c>
      <c r="J71" s="3" t="s">
        <v>373</v>
      </c>
      <c r="K71" s="3" t="s">
        <v>177</v>
      </c>
      <c r="L71">
        <v>0</v>
      </c>
      <c r="M71">
        <v>0</v>
      </c>
      <c r="N71" s="1" t="s">
        <v>291</v>
      </c>
      <c r="O71" s="11" t="s">
        <v>564</v>
      </c>
      <c r="P71" s="11" t="s">
        <v>610</v>
      </c>
      <c r="Q71" s="11" t="s">
        <v>610</v>
      </c>
    </row>
    <row r="72" spans="1:17" x14ac:dyDescent="0.25">
      <c r="A72" s="5">
        <v>71</v>
      </c>
      <c r="B72" s="1" t="s">
        <v>367</v>
      </c>
      <c r="C72" t="s">
        <v>374</v>
      </c>
      <c r="D72" s="1">
        <v>2016</v>
      </c>
      <c r="E72">
        <v>449</v>
      </c>
      <c r="F72">
        <v>180</v>
      </c>
      <c r="G72">
        <v>51.9</v>
      </c>
      <c r="H72" s="2">
        <v>60</v>
      </c>
      <c r="I72" s="1">
        <v>2</v>
      </c>
      <c r="J72" s="3" t="s">
        <v>373</v>
      </c>
      <c r="K72" s="3" t="s">
        <v>177</v>
      </c>
      <c r="L72">
        <v>0</v>
      </c>
      <c r="M72">
        <v>0</v>
      </c>
      <c r="N72" s="1" t="s">
        <v>291</v>
      </c>
      <c r="O72" s="5" t="s">
        <v>564</v>
      </c>
      <c r="P72" s="11" t="s">
        <v>610</v>
      </c>
      <c r="Q72" s="11" t="s">
        <v>610</v>
      </c>
    </row>
    <row r="73" spans="1:17" x14ac:dyDescent="0.25">
      <c r="A73" s="5">
        <v>72</v>
      </c>
      <c r="B73" s="1" t="s">
        <v>367</v>
      </c>
      <c r="C73" t="s">
        <v>375</v>
      </c>
      <c r="D73">
        <v>2014</v>
      </c>
      <c r="E73">
        <v>449</v>
      </c>
      <c r="F73">
        <v>78</v>
      </c>
      <c r="G73">
        <v>23</v>
      </c>
      <c r="H73" s="2">
        <v>61.2</v>
      </c>
      <c r="I73" s="1">
        <v>2.8</v>
      </c>
      <c r="J73" s="3" t="s">
        <v>376</v>
      </c>
      <c r="K73" s="3" t="s">
        <v>177</v>
      </c>
      <c r="L73">
        <v>0</v>
      </c>
      <c r="M73">
        <v>0</v>
      </c>
      <c r="N73" s="1" t="s">
        <v>291</v>
      </c>
      <c r="O73" s="5" t="s">
        <v>565</v>
      </c>
      <c r="P73" s="11" t="s">
        <v>610</v>
      </c>
      <c r="Q73" s="11" t="s">
        <v>614</v>
      </c>
    </row>
    <row r="74" spans="1:17" x14ac:dyDescent="0.25">
      <c r="A74" s="5">
        <v>73</v>
      </c>
      <c r="B74" s="1" t="s">
        <v>367</v>
      </c>
      <c r="C74" t="s">
        <v>377</v>
      </c>
      <c r="D74" s="11">
        <v>2013</v>
      </c>
      <c r="E74">
        <v>599</v>
      </c>
      <c r="F74">
        <v>187</v>
      </c>
      <c r="G74">
        <v>54.9</v>
      </c>
      <c r="H74" s="2">
        <v>65</v>
      </c>
      <c r="I74" s="1">
        <v>1.4</v>
      </c>
      <c r="J74" s="3" t="s">
        <v>70</v>
      </c>
      <c r="K74" s="3" t="s">
        <v>177</v>
      </c>
      <c r="L74">
        <v>0</v>
      </c>
      <c r="M74">
        <v>0</v>
      </c>
      <c r="N74" s="1" t="s">
        <v>291</v>
      </c>
      <c r="O74" s="11" t="s">
        <v>565</v>
      </c>
      <c r="P74" s="11" t="s">
        <v>610</v>
      </c>
      <c r="Q74" s="11" t="s">
        <v>610</v>
      </c>
    </row>
    <row r="75" spans="1:17" x14ac:dyDescent="0.25">
      <c r="A75" s="5">
        <v>74</v>
      </c>
      <c r="B75" s="1" t="s">
        <v>367</v>
      </c>
      <c r="C75" t="s">
        <v>378</v>
      </c>
      <c r="D75">
        <v>2015</v>
      </c>
      <c r="E75">
        <v>399</v>
      </c>
      <c r="F75">
        <v>170</v>
      </c>
      <c r="G75">
        <v>45.9</v>
      </c>
      <c r="H75" s="2">
        <v>60</v>
      </c>
      <c r="I75" s="1">
        <v>2</v>
      </c>
      <c r="J75" s="3" t="s">
        <v>70</v>
      </c>
      <c r="K75" s="3" t="s">
        <v>177</v>
      </c>
      <c r="L75">
        <v>0</v>
      </c>
      <c r="M75">
        <v>0</v>
      </c>
      <c r="N75" s="1" t="s">
        <v>291</v>
      </c>
      <c r="O75" s="5" t="s">
        <v>565</v>
      </c>
      <c r="P75" s="11" t="s">
        <v>610</v>
      </c>
      <c r="Q75" s="11" t="s">
        <v>610</v>
      </c>
    </row>
    <row r="76" spans="1:17" x14ac:dyDescent="0.25">
      <c r="A76" s="5">
        <v>75</v>
      </c>
      <c r="B76" s="1" t="s">
        <v>367</v>
      </c>
      <c r="C76" t="s">
        <v>379</v>
      </c>
      <c r="D76" s="1">
        <v>2014</v>
      </c>
      <c r="E76">
        <v>999</v>
      </c>
      <c r="F76">
        <v>405</v>
      </c>
      <c r="G76">
        <v>69.7</v>
      </c>
      <c r="H76" s="2">
        <v>73.2</v>
      </c>
      <c r="I76" s="1">
        <v>1.2</v>
      </c>
      <c r="J76" s="3" t="s">
        <v>380</v>
      </c>
      <c r="K76" s="3" t="s">
        <v>177</v>
      </c>
      <c r="L76">
        <v>0</v>
      </c>
      <c r="M76">
        <v>0</v>
      </c>
      <c r="N76" s="1" t="s">
        <v>291</v>
      </c>
      <c r="O76" s="5" t="s">
        <v>567</v>
      </c>
      <c r="P76" s="11" t="s">
        <v>610</v>
      </c>
      <c r="Q76" s="11" t="s">
        <v>610</v>
      </c>
    </row>
    <row r="77" spans="1:17" x14ac:dyDescent="0.25">
      <c r="A77" s="5">
        <v>76</v>
      </c>
      <c r="B77" s="1" t="s">
        <v>367</v>
      </c>
      <c r="C77" t="s">
        <v>381</v>
      </c>
      <c r="D77" s="1">
        <v>2015</v>
      </c>
      <c r="E77">
        <v>1499</v>
      </c>
      <c r="F77">
        <v>405</v>
      </c>
      <c r="G77">
        <v>69.7</v>
      </c>
      <c r="H77" s="2">
        <v>73.2</v>
      </c>
      <c r="I77" s="1">
        <v>1.2</v>
      </c>
      <c r="J77" s="3" t="s">
        <v>380</v>
      </c>
      <c r="K77" s="3" t="s">
        <v>177</v>
      </c>
      <c r="L77">
        <v>0</v>
      </c>
      <c r="M77">
        <v>0</v>
      </c>
      <c r="N77" s="1" t="s">
        <v>291</v>
      </c>
      <c r="O77" s="5" t="s">
        <v>567</v>
      </c>
      <c r="P77" s="11" t="s">
        <v>610</v>
      </c>
      <c r="Q77" s="11" t="s">
        <v>610</v>
      </c>
    </row>
    <row r="78" spans="1:17" x14ac:dyDescent="0.25">
      <c r="A78" s="5">
        <v>77</v>
      </c>
      <c r="B78" s="1" t="s">
        <v>367</v>
      </c>
      <c r="C78" t="s">
        <v>382</v>
      </c>
      <c r="D78" s="11">
        <v>2012</v>
      </c>
      <c r="E78">
        <v>649</v>
      </c>
      <c r="F78">
        <v>215</v>
      </c>
      <c r="G78">
        <v>70.900000000000006</v>
      </c>
      <c r="H78" s="2">
        <v>64.099999999999994</v>
      </c>
      <c r="I78" s="1">
        <v>2.4</v>
      </c>
      <c r="J78" s="3" t="s">
        <v>90</v>
      </c>
      <c r="K78" s="3" t="s">
        <v>177</v>
      </c>
      <c r="L78">
        <v>0</v>
      </c>
      <c r="M78">
        <v>0</v>
      </c>
      <c r="N78" s="1" t="s">
        <v>291</v>
      </c>
      <c r="O78" s="5" t="s">
        <v>566</v>
      </c>
      <c r="P78" s="11" t="s">
        <v>610</v>
      </c>
      <c r="Q78" s="11" t="s">
        <v>610</v>
      </c>
    </row>
    <row r="79" spans="1:17" x14ac:dyDescent="0.25">
      <c r="A79" s="5">
        <v>78</v>
      </c>
      <c r="B79" s="1" t="s">
        <v>367</v>
      </c>
      <c r="C79" t="s">
        <v>383</v>
      </c>
      <c r="D79" s="11">
        <v>2015</v>
      </c>
      <c r="E79">
        <v>949</v>
      </c>
      <c r="F79">
        <v>540</v>
      </c>
      <c r="G79">
        <v>105</v>
      </c>
      <c r="H79" s="2">
        <v>75</v>
      </c>
      <c r="I79" s="1">
        <v>2</v>
      </c>
      <c r="J79" s="3" t="s">
        <v>171</v>
      </c>
      <c r="K79" s="3" t="s">
        <v>177</v>
      </c>
      <c r="L79">
        <v>0</v>
      </c>
      <c r="M79">
        <v>0</v>
      </c>
      <c r="N79" s="1" t="s">
        <v>291</v>
      </c>
      <c r="O79" s="5" t="s">
        <v>568</v>
      </c>
      <c r="P79" s="11" t="s">
        <v>610</v>
      </c>
      <c r="Q79" s="11" t="s">
        <v>610</v>
      </c>
    </row>
    <row r="80" spans="1:17" x14ac:dyDescent="0.25">
      <c r="A80" s="5">
        <v>79</v>
      </c>
      <c r="B80" s="1" t="s">
        <v>367</v>
      </c>
      <c r="C80" t="s">
        <v>384</v>
      </c>
      <c r="D80" s="11">
        <v>2014</v>
      </c>
      <c r="E80">
        <v>999</v>
      </c>
      <c r="F80">
        <v>410</v>
      </c>
      <c r="G80">
        <v>87</v>
      </c>
      <c r="H80" s="2">
        <v>78</v>
      </c>
      <c r="I80" s="1">
        <v>4</v>
      </c>
      <c r="J80" s="3" t="s">
        <v>385</v>
      </c>
      <c r="K80" s="3" t="s">
        <v>178</v>
      </c>
      <c r="L80">
        <v>1</v>
      </c>
      <c r="M80">
        <v>0</v>
      </c>
      <c r="N80" s="1" t="s">
        <v>291</v>
      </c>
      <c r="O80" s="5" t="s">
        <v>562</v>
      </c>
      <c r="P80" s="11" t="s">
        <v>610</v>
      </c>
      <c r="Q80" s="11" t="s">
        <v>610</v>
      </c>
    </row>
    <row r="81" spans="1:17" x14ac:dyDescent="0.25">
      <c r="A81" s="5">
        <v>80</v>
      </c>
      <c r="B81" s="1" t="s">
        <v>367</v>
      </c>
      <c r="C81" t="s">
        <v>386</v>
      </c>
      <c r="D81" s="11">
        <v>2015</v>
      </c>
      <c r="E81">
        <v>1199</v>
      </c>
      <c r="F81" s="1">
        <v>655</v>
      </c>
      <c r="G81">
        <v>106</v>
      </c>
      <c r="H81" s="2">
        <v>83.3</v>
      </c>
      <c r="I81" s="1">
        <v>2.8</v>
      </c>
      <c r="J81" s="3" t="s">
        <v>387</v>
      </c>
      <c r="K81" s="3" t="s">
        <v>178</v>
      </c>
      <c r="L81">
        <v>0</v>
      </c>
      <c r="M81">
        <v>0</v>
      </c>
      <c r="N81" s="1" t="s">
        <v>291</v>
      </c>
      <c r="O81" s="5" t="s">
        <v>565</v>
      </c>
      <c r="P81" s="11" t="s">
        <v>610</v>
      </c>
      <c r="Q81" s="11" t="s">
        <v>610</v>
      </c>
    </row>
    <row r="82" spans="1:17" x14ac:dyDescent="0.25">
      <c r="A82" s="5">
        <v>81</v>
      </c>
      <c r="B82" s="1" t="s">
        <v>367</v>
      </c>
      <c r="C82" t="s">
        <v>388</v>
      </c>
      <c r="D82" s="11">
        <v>2012</v>
      </c>
      <c r="E82">
        <v>699</v>
      </c>
      <c r="F82">
        <v>310</v>
      </c>
      <c r="G82">
        <v>70.400000000000006</v>
      </c>
      <c r="H82" s="2">
        <v>65</v>
      </c>
      <c r="I82" s="1">
        <v>2.8</v>
      </c>
      <c r="J82" s="3" t="s">
        <v>362</v>
      </c>
      <c r="K82" s="3" t="s">
        <v>178</v>
      </c>
      <c r="L82">
        <v>1</v>
      </c>
      <c r="M82">
        <v>0</v>
      </c>
      <c r="N82" s="1" t="s">
        <v>291</v>
      </c>
      <c r="O82" s="5" t="s">
        <v>565</v>
      </c>
      <c r="P82" s="11" t="s">
        <v>610</v>
      </c>
      <c r="Q82" s="11" t="s">
        <v>610</v>
      </c>
    </row>
    <row r="83" spans="1:17" x14ac:dyDescent="0.25">
      <c r="A83" s="5">
        <v>82</v>
      </c>
      <c r="B83" s="1" t="s">
        <v>367</v>
      </c>
      <c r="C83" t="s">
        <v>389</v>
      </c>
      <c r="D83">
        <v>2014</v>
      </c>
      <c r="E83">
        <v>899</v>
      </c>
      <c r="F83">
        <v>490</v>
      </c>
      <c r="G83">
        <v>97.8</v>
      </c>
      <c r="H83" s="2">
        <v>75.7</v>
      </c>
      <c r="I83" s="1">
        <v>3.5</v>
      </c>
      <c r="J83" s="3" t="s">
        <v>355</v>
      </c>
      <c r="K83" s="3" t="s">
        <v>178</v>
      </c>
      <c r="L83">
        <v>1</v>
      </c>
      <c r="M83">
        <v>0</v>
      </c>
      <c r="N83" s="1" t="s">
        <v>291</v>
      </c>
      <c r="O83" s="5" t="s">
        <v>565</v>
      </c>
      <c r="P83" s="11" t="s">
        <v>610</v>
      </c>
      <c r="Q83" s="11" t="s">
        <v>610</v>
      </c>
    </row>
    <row r="84" spans="1:17" x14ac:dyDescent="0.25">
      <c r="A84" s="5">
        <v>83</v>
      </c>
      <c r="B84" s="1" t="s">
        <v>367</v>
      </c>
      <c r="C84" t="s">
        <v>390</v>
      </c>
      <c r="D84" s="11">
        <v>2015</v>
      </c>
      <c r="E84">
        <v>1599</v>
      </c>
      <c r="F84">
        <v>995</v>
      </c>
      <c r="G84">
        <v>175.9</v>
      </c>
      <c r="H84" s="2">
        <v>82.9</v>
      </c>
      <c r="I84" s="1">
        <v>2.8</v>
      </c>
      <c r="J84" s="3" t="s">
        <v>391</v>
      </c>
      <c r="K84" s="3" t="s">
        <v>178</v>
      </c>
      <c r="L84">
        <v>1</v>
      </c>
      <c r="M84">
        <v>0</v>
      </c>
      <c r="N84" s="1" t="s">
        <v>291</v>
      </c>
      <c r="O84" s="5" t="s">
        <v>571</v>
      </c>
      <c r="P84" s="11" t="s">
        <v>610</v>
      </c>
      <c r="Q84" s="11" t="s">
        <v>610</v>
      </c>
    </row>
    <row r="85" spans="1:17" x14ac:dyDescent="0.25">
      <c r="A85" s="5">
        <v>84</v>
      </c>
      <c r="B85" s="1" t="s">
        <v>367</v>
      </c>
      <c r="C85" t="s">
        <v>392</v>
      </c>
      <c r="D85">
        <v>2014</v>
      </c>
      <c r="E85">
        <v>699</v>
      </c>
      <c r="F85">
        <v>580</v>
      </c>
      <c r="G85">
        <v>118</v>
      </c>
      <c r="H85" s="2">
        <v>75</v>
      </c>
      <c r="I85" s="1">
        <v>3.5</v>
      </c>
      <c r="J85" s="3" t="s">
        <v>393</v>
      </c>
      <c r="K85" s="3" t="s">
        <v>178</v>
      </c>
      <c r="L85">
        <v>1</v>
      </c>
      <c r="M85">
        <v>0</v>
      </c>
      <c r="N85" s="1" t="s">
        <v>291</v>
      </c>
      <c r="O85" s="5" t="s">
        <v>571</v>
      </c>
      <c r="P85" s="11" t="s">
        <v>610</v>
      </c>
      <c r="Q85" s="11" t="s">
        <v>610</v>
      </c>
    </row>
    <row r="86" spans="1:17" x14ac:dyDescent="0.25">
      <c r="A86" s="5">
        <v>85</v>
      </c>
      <c r="B86" s="1" t="s">
        <v>367</v>
      </c>
      <c r="C86" t="s">
        <v>395</v>
      </c>
      <c r="D86" s="1">
        <v>2016</v>
      </c>
      <c r="E86">
        <v>1899</v>
      </c>
      <c r="F86">
        <v>1375</v>
      </c>
      <c r="G86">
        <v>210.5</v>
      </c>
      <c r="H86" s="2">
        <v>94.8</v>
      </c>
      <c r="I86" s="1">
        <v>4.5</v>
      </c>
      <c r="J86" s="3" t="s">
        <v>394</v>
      </c>
      <c r="K86" s="3" t="s">
        <v>178</v>
      </c>
      <c r="L86">
        <v>1</v>
      </c>
      <c r="M86">
        <v>0</v>
      </c>
      <c r="N86" s="1" t="s">
        <v>291</v>
      </c>
      <c r="O86" s="5" t="s">
        <v>569</v>
      </c>
      <c r="P86" s="11" t="s">
        <v>610</v>
      </c>
      <c r="Q86" s="11" t="s">
        <v>610</v>
      </c>
    </row>
    <row r="87" spans="1:17" x14ac:dyDescent="0.25">
      <c r="A87" s="5">
        <v>86</v>
      </c>
      <c r="B87" s="1" t="s">
        <v>367</v>
      </c>
      <c r="C87" t="s">
        <v>396</v>
      </c>
      <c r="D87">
        <v>2015</v>
      </c>
      <c r="E87">
        <v>399</v>
      </c>
      <c r="F87">
        <v>195</v>
      </c>
      <c r="G87">
        <v>65.2</v>
      </c>
      <c r="H87" s="2">
        <v>62.6</v>
      </c>
      <c r="I87" s="1">
        <v>3.5</v>
      </c>
      <c r="J87" s="3" t="s">
        <v>397</v>
      </c>
      <c r="K87" s="3" t="s">
        <v>178</v>
      </c>
      <c r="L87">
        <v>1</v>
      </c>
      <c r="M87">
        <v>0</v>
      </c>
      <c r="N87" s="1" t="s">
        <v>291</v>
      </c>
      <c r="O87" s="5" t="s">
        <v>565</v>
      </c>
      <c r="P87" s="11" t="s">
        <v>610</v>
      </c>
      <c r="Q87" s="11" t="s">
        <v>614</v>
      </c>
    </row>
    <row r="88" spans="1:17" x14ac:dyDescent="0.25">
      <c r="A88" s="5">
        <v>87</v>
      </c>
      <c r="B88" s="1" t="s">
        <v>367</v>
      </c>
      <c r="C88" t="s">
        <v>398</v>
      </c>
      <c r="D88">
        <v>2015</v>
      </c>
      <c r="E88">
        <v>399</v>
      </c>
      <c r="G88">
        <v>111</v>
      </c>
      <c r="H88" s="2">
        <v>69.5</v>
      </c>
      <c r="I88" s="1">
        <v>4.5</v>
      </c>
      <c r="J88" s="3" t="s">
        <v>399</v>
      </c>
      <c r="K88" s="3" t="s">
        <v>178</v>
      </c>
      <c r="L88">
        <v>1</v>
      </c>
      <c r="M88">
        <v>0</v>
      </c>
      <c r="N88" s="1" t="s">
        <v>291</v>
      </c>
      <c r="O88" s="5" t="s">
        <v>571</v>
      </c>
      <c r="P88" s="11" t="s">
        <v>610</v>
      </c>
      <c r="Q88" s="11" t="s">
        <v>614</v>
      </c>
    </row>
    <row r="89" spans="1:17" x14ac:dyDescent="0.25">
      <c r="A89" s="5">
        <v>88</v>
      </c>
      <c r="B89" s="1" t="s">
        <v>285</v>
      </c>
      <c r="C89" t="s">
        <v>286</v>
      </c>
      <c r="D89" s="1">
        <v>2014</v>
      </c>
      <c r="E89">
        <v>1899</v>
      </c>
      <c r="F89">
        <v>1200</v>
      </c>
      <c r="G89" s="1">
        <f>5.04*25.4</f>
        <v>128.01599999999999</v>
      </c>
      <c r="H89" s="2">
        <f>2.91*25.4</f>
        <v>73.914000000000001</v>
      </c>
      <c r="I89" s="1">
        <v>0.85</v>
      </c>
      <c r="J89" s="3" t="s">
        <v>221</v>
      </c>
      <c r="K89" s="3" t="s">
        <v>177</v>
      </c>
      <c r="L89">
        <v>0</v>
      </c>
      <c r="M89">
        <v>0</v>
      </c>
      <c r="N89" s="1" t="s">
        <v>284</v>
      </c>
      <c r="O89" s="5" t="s">
        <v>567</v>
      </c>
      <c r="P89" s="11" t="s">
        <v>613</v>
      </c>
      <c r="Q89" s="9"/>
    </row>
    <row r="90" spans="1:17" x14ac:dyDescent="0.25">
      <c r="A90" s="5">
        <v>89</v>
      </c>
      <c r="B90" s="1" t="s">
        <v>418</v>
      </c>
      <c r="C90" t="s">
        <v>419</v>
      </c>
      <c r="D90">
        <v>2016</v>
      </c>
      <c r="E90">
        <v>517</v>
      </c>
      <c r="F90">
        <v>608</v>
      </c>
      <c r="G90">
        <v>100</v>
      </c>
      <c r="H90" s="2">
        <v>114</v>
      </c>
      <c r="I90" s="1">
        <v>2.4</v>
      </c>
      <c r="J90" s="3" t="s">
        <v>134</v>
      </c>
      <c r="K90" s="3" t="s">
        <v>177</v>
      </c>
      <c r="L90">
        <v>0</v>
      </c>
      <c r="M90">
        <v>0</v>
      </c>
      <c r="N90" s="1" t="s">
        <v>276</v>
      </c>
      <c r="O90" s="5" t="s">
        <v>562</v>
      </c>
      <c r="P90" s="9"/>
      <c r="Q90" s="9"/>
    </row>
    <row r="91" spans="1:17" x14ac:dyDescent="0.25">
      <c r="A91" s="5">
        <v>90</v>
      </c>
      <c r="B91" s="1" t="s">
        <v>418</v>
      </c>
      <c r="C91" t="s">
        <v>420</v>
      </c>
      <c r="D91" s="1">
        <v>2015</v>
      </c>
      <c r="E91">
        <v>757</v>
      </c>
      <c r="F91">
        <v>685</v>
      </c>
      <c r="G91">
        <v>100</v>
      </c>
      <c r="H91" s="2">
        <v>114</v>
      </c>
      <c r="I91" s="1">
        <v>2.4</v>
      </c>
      <c r="J91" s="3" t="s">
        <v>134</v>
      </c>
      <c r="K91" s="3" t="s">
        <v>177</v>
      </c>
      <c r="L91">
        <v>0</v>
      </c>
      <c r="M91">
        <v>0</v>
      </c>
      <c r="N91" s="1" t="s">
        <v>276</v>
      </c>
      <c r="O91" s="5" t="s">
        <v>562</v>
      </c>
      <c r="P91" s="9"/>
      <c r="Q91" s="9"/>
    </row>
    <row r="92" spans="1:17" x14ac:dyDescent="0.25">
      <c r="A92" s="5">
        <v>91</v>
      </c>
      <c r="B92" s="1" t="s">
        <v>225</v>
      </c>
      <c r="C92" t="s">
        <v>226</v>
      </c>
      <c r="D92">
        <v>2009</v>
      </c>
      <c r="E92">
        <v>2860</v>
      </c>
      <c r="F92">
        <v>310</v>
      </c>
      <c r="G92">
        <v>58</v>
      </c>
      <c r="H92" s="2">
        <v>61</v>
      </c>
      <c r="I92" s="1">
        <v>3.8</v>
      </c>
      <c r="J92" s="3" t="s">
        <v>136</v>
      </c>
      <c r="K92" s="3" t="s">
        <v>177</v>
      </c>
      <c r="L92">
        <v>0</v>
      </c>
      <c r="M92">
        <v>0</v>
      </c>
      <c r="N92" s="1" t="s">
        <v>276</v>
      </c>
      <c r="O92" s="5" t="s">
        <v>562</v>
      </c>
      <c r="P92" s="11" t="s">
        <v>613</v>
      </c>
      <c r="Q92" s="11" t="s">
        <v>613</v>
      </c>
    </row>
    <row r="93" spans="1:17" x14ac:dyDescent="0.25">
      <c r="A93" s="5">
        <v>92</v>
      </c>
      <c r="B93" s="1" t="s">
        <v>225</v>
      </c>
      <c r="C93" t="s">
        <v>227</v>
      </c>
      <c r="D93">
        <v>2011</v>
      </c>
      <c r="E93">
        <v>2635.6</v>
      </c>
      <c r="F93">
        <v>279</v>
      </c>
      <c r="G93">
        <v>43</v>
      </c>
      <c r="H93" s="2">
        <v>53</v>
      </c>
      <c r="I93" s="1">
        <v>3.4</v>
      </c>
      <c r="J93" s="3" t="s">
        <v>137</v>
      </c>
      <c r="K93" s="3" t="s">
        <v>177</v>
      </c>
      <c r="L93">
        <v>0</v>
      </c>
      <c r="M93">
        <v>0</v>
      </c>
      <c r="N93" s="1" t="s">
        <v>276</v>
      </c>
      <c r="O93" s="5" t="s">
        <v>562</v>
      </c>
      <c r="P93" s="11" t="s">
        <v>613</v>
      </c>
      <c r="Q93" s="11" t="s">
        <v>613</v>
      </c>
    </row>
    <row r="94" spans="1:17" x14ac:dyDescent="0.25">
      <c r="A94" s="5">
        <v>93</v>
      </c>
      <c r="B94" s="1" t="s">
        <v>225</v>
      </c>
      <c r="C94" t="s">
        <v>228</v>
      </c>
      <c r="D94">
        <v>2008</v>
      </c>
      <c r="E94">
        <v>6732</v>
      </c>
      <c r="F94" s="1">
        <v>580</v>
      </c>
      <c r="G94">
        <v>66</v>
      </c>
      <c r="H94" s="2">
        <v>70</v>
      </c>
      <c r="I94" s="1">
        <v>1.4</v>
      </c>
      <c r="J94" s="3" t="s">
        <v>137</v>
      </c>
      <c r="K94" s="3" t="s">
        <v>177</v>
      </c>
      <c r="L94">
        <v>0</v>
      </c>
      <c r="M94">
        <v>0</v>
      </c>
      <c r="N94" s="1" t="s">
        <v>276</v>
      </c>
      <c r="O94" s="5" t="s">
        <v>562</v>
      </c>
      <c r="P94" s="11" t="s">
        <v>613</v>
      </c>
      <c r="Q94" s="11" t="s">
        <v>613</v>
      </c>
    </row>
    <row r="95" spans="1:17" x14ac:dyDescent="0.25">
      <c r="A95" s="5">
        <v>94</v>
      </c>
      <c r="B95" s="1" t="s">
        <v>225</v>
      </c>
      <c r="C95" t="s">
        <v>229</v>
      </c>
      <c r="D95" s="1">
        <v>2008</v>
      </c>
      <c r="E95">
        <v>2332</v>
      </c>
      <c r="F95">
        <v>260</v>
      </c>
      <c r="G95">
        <v>41</v>
      </c>
      <c r="H95" s="2">
        <v>57</v>
      </c>
      <c r="I95" s="1">
        <v>3.8</v>
      </c>
      <c r="J95" s="3" t="s">
        <v>96</v>
      </c>
      <c r="K95" s="3" t="s">
        <v>177</v>
      </c>
      <c r="L95">
        <v>0</v>
      </c>
      <c r="M95">
        <v>0</v>
      </c>
      <c r="N95" s="1" t="s">
        <v>276</v>
      </c>
      <c r="O95" s="5" t="s">
        <v>564</v>
      </c>
      <c r="P95" s="11" t="s">
        <v>613</v>
      </c>
      <c r="Q95" s="11" t="s">
        <v>613</v>
      </c>
    </row>
    <row r="96" spans="1:17" x14ac:dyDescent="0.25">
      <c r="A96" s="5">
        <v>95</v>
      </c>
      <c r="B96" s="1" t="s">
        <v>225</v>
      </c>
      <c r="C96" t="s">
        <v>230</v>
      </c>
      <c r="D96">
        <v>2008</v>
      </c>
      <c r="E96">
        <v>6644</v>
      </c>
      <c r="F96">
        <v>500</v>
      </c>
      <c r="G96">
        <v>59</v>
      </c>
      <c r="H96" s="2">
        <v>61</v>
      </c>
      <c r="I96" s="1">
        <v>1.4</v>
      </c>
      <c r="J96" s="3" t="s">
        <v>96</v>
      </c>
      <c r="K96" s="3" t="s">
        <v>177</v>
      </c>
      <c r="L96">
        <v>0</v>
      </c>
      <c r="M96">
        <v>0</v>
      </c>
      <c r="N96" s="1" t="s">
        <v>276</v>
      </c>
      <c r="O96" s="5" t="s">
        <v>564</v>
      </c>
      <c r="P96" s="11" t="s">
        <v>613</v>
      </c>
      <c r="Q96" s="11" t="s">
        <v>613</v>
      </c>
    </row>
    <row r="97" spans="1:17" x14ac:dyDescent="0.25">
      <c r="A97" s="5">
        <v>96</v>
      </c>
      <c r="B97" s="1" t="s">
        <v>225</v>
      </c>
      <c r="C97" t="s">
        <v>231</v>
      </c>
      <c r="D97">
        <v>2008</v>
      </c>
      <c r="E97">
        <v>1980</v>
      </c>
      <c r="F97">
        <v>180</v>
      </c>
      <c r="G97">
        <v>30</v>
      </c>
      <c r="H97" s="2">
        <v>52</v>
      </c>
      <c r="I97" s="1">
        <v>2.8</v>
      </c>
      <c r="J97" s="3" t="s">
        <v>69</v>
      </c>
      <c r="K97" s="3" t="s">
        <v>177</v>
      </c>
      <c r="L97">
        <v>0</v>
      </c>
      <c r="M97">
        <v>0</v>
      </c>
      <c r="N97" s="1" t="s">
        <v>276</v>
      </c>
      <c r="O97" s="5" t="s">
        <v>564</v>
      </c>
      <c r="P97" s="11" t="s">
        <v>613</v>
      </c>
      <c r="Q97" s="11" t="s">
        <v>613</v>
      </c>
    </row>
    <row r="98" spans="1:17" x14ac:dyDescent="0.25">
      <c r="A98" s="5">
        <v>97</v>
      </c>
      <c r="B98" s="1" t="s">
        <v>225</v>
      </c>
      <c r="C98" t="s">
        <v>233</v>
      </c>
      <c r="D98">
        <v>2016</v>
      </c>
      <c r="E98">
        <v>3995</v>
      </c>
      <c r="F98" s="1">
        <v>270</v>
      </c>
      <c r="G98">
        <f>1.6*25.4</f>
        <v>40.64</v>
      </c>
      <c r="H98" s="2">
        <f>2.1*25.4</f>
        <v>53.339999999999996</v>
      </c>
      <c r="I98" s="1">
        <v>2</v>
      </c>
      <c r="J98" s="3" t="s">
        <v>69</v>
      </c>
      <c r="K98" s="3" t="s">
        <v>177</v>
      </c>
      <c r="L98">
        <v>0</v>
      </c>
      <c r="M98">
        <v>0</v>
      </c>
      <c r="N98" s="1" t="s">
        <v>276</v>
      </c>
      <c r="O98" s="5" t="s">
        <v>564</v>
      </c>
      <c r="P98" s="11" t="s">
        <v>613</v>
      </c>
      <c r="Q98" s="11" t="s">
        <v>613</v>
      </c>
    </row>
    <row r="99" spans="1:17" x14ac:dyDescent="0.25">
      <c r="A99" s="5">
        <v>98</v>
      </c>
      <c r="B99" s="1" t="s">
        <v>225</v>
      </c>
      <c r="C99" t="s">
        <v>232</v>
      </c>
      <c r="D99">
        <v>2000</v>
      </c>
      <c r="E99">
        <v>3779.6</v>
      </c>
      <c r="F99">
        <f>0.6*453</f>
        <v>271.8</v>
      </c>
      <c r="G99">
        <f>1.6*25.4</f>
        <v>40.64</v>
      </c>
      <c r="H99" s="2">
        <f>2.1*25.4</f>
        <v>53.339999999999996</v>
      </c>
      <c r="I99" s="1">
        <v>2</v>
      </c>
      <c r="J99" s="3" t="s">
        <v>69</v>
      </c>
      <c r="K99" s="3" t="s">
        <v>177</v>
      </c>
      <c r="L99">
        <v>0</v>
      </c>
      <c r="M99">
        <v>0</v>
      </c>
      <c r="N99" s="1" t="s">
        <v>276</v>
      </c>
      <c r="O99" s="5" t="s">
        <v>564</v>
      </c>
      <c r="P99" s="11" t="s">
        <v>613</v>
      </c>
      <c r="Q99" s="11" t="s">
        <v>613</v>
      </c>
    </row>
    <row r="100" spans="1:17" x14ac:dyDescent="0.25">
      <c r="A100" s="5">
        <v>99</v>
      </c>
      <c r="B100" s="1" t="s">
        <v>225</v>
      </c>
      <c r="C100" t="s">
        <v>234</v>
      </c>
      <c r="D100" s="9">
        <v>2014</v>
      </c>
      <c r="E100">
        <v>5950</v>
      </c>
      <c r="F100">
        <v>440</v>
      </c>
      <c r="G100">
        <f>3.2*25.4</f>
        <v>81.28</v>
      </c>
      <c r="H100" s="2">
        <f>2.4*25.4</f>
        <v>60.959999999999994</v>
      </c>
      <c r="I100" s="1">
        <v>1.4</v>
      </c>
      <c r="J100" s="3" t="s">
        <v>69</v>
      </c>
      <c r="K100" s="3" t="s">
        <v>177</v>
      </c>
      <c r="L100">
        <v>0</v>
      </c>
      <c r="M100">
        <v>0</v>
      </c>
      <c r="N100" s="1" t="s">
        <v>276</v>
      </c>
      <c r="O100" s="5" t="s">
        <v>564</v>
      </c>
      <c r="P100" s="11" t="s">
        <v>613</v>
      </c>
      <c r="Q100" s="11" t="s">
        <v>613</v>
      </c>
    </row>
    <row r="101" spans="1:17" x14ac:dyDescent="0.25">
      <c r="A101" s="5">
        <v>100</v>
      </c>
      <c r="B101" s="1" t="s">
        <v>225</v>
      </c>
      <c r="C101" t="s">
        <v>235</v>
      </c>
      <c r="D101" s="11">
        <v>2007</v>
      </c>
      <c r="E101">
        <v>1649.95</v>
      </c>
      <c r="F101">
        <v>220</v>
      </c>
      <c r="G101">
        <v>34</v>
      </c>
      <c r="H101" s="2">
        <v>51</v>
      </c>
      <c r="I101" s="8" t="s">
        <v>239</v>
      </c>
      <c r="J101" s="3" t="s">
        <v>70</v>
      </c>
      <c r="K101" s="3" t="s">
        <v>177</v>
      </c>
      <c r="L101">
        <v>0</v>
      </c>
      <c r="M101">
        <v>0</v>
      </c>
      <c r="N101" s="1" t="s">
        <v>276</v>
      </c>
      <c r="O101" s="11" t="s">
        <v>564</v>
      </c>
      <c r="P101" s="11" t="s">
        <v>613</v>
      </c>
      <c r="Q101" s="11" t="s">
        <v>613</v>
      </c>
    </row>
    <row r="102" spans="1:17" x14ac:dyDescent="0.25">
      <c r="A102" s="5">
        <v>101</v>
      </c>
      <c r="B102" t="s">
        <v>225</v>
      </c>
      <c r="C102" t="s">
        <v>237</v>
      </c>
      <c r="D102" s="4">
        <v>2014</v>
      </c>
      <c r="E102">
        <v>1980</v>
      </c>
      <c r="F102">
        <v>197</v>
      </c>
      <c r="G102">
        <v>34</v>
      </c>
      <c r="H102" s="2">
        <v>52</v>
      </c>
      <c r="I102" s="8" t="s">
        <v>240</v>
      </c>
      <c r="J102" s="3" t="s">
        <v>70</v>
      </c>
      <c r="K102" s="3" t="s">
        <v>177</v>
      </c>
      <c r="L102">
        <v>0</v>
      </c>
      <c r="M102">
        <v>0</v>
      </c>
      <c r="N102" s="1" t="s">
        <v>276</v>
      </c>
      <c r="O102" s="11" t="s">
        <v>564</v>
      </c>
      <c r="P102" s="11" t="s">
        <v>613</v>
      </c>
      <c r="Q102" s="11" t="s">
        <v>613</v>
      </c>
    </row>
    <row r="103" spans="1:17" x14ac:dyDescent="0.25">
      <c r="A103" s="5">
        <v>102</v>
      </c>
      <c r="B103" t="s">
        <v>225</v>
      </c>
      <c r="C103" t="s">
        <v>238</v>
      </c>
      <c r="D103" s="11">
        <v>1996</v>
      </c>
      <c r="E103">
        <v>2795</v>
      </c>
      <c r="F103">
        <v>255</v>
      </c>
      <c r="G103">
        <v>34.5</v>
      </c>
      <c r="H103" s="2">
        <v>53</v>
      </c>
      <c r="I103" s="8" t="s">
        <v>241</v>
      </c>
      <c r="J103" s="3" t="s">
        <v>70</v>
      </c>
      <c r="K103" s="3" t="s">
        <v>177</v>
      </c>
      <c r="L103">
        <v>0</v>
      </c>
      <c r="M103">
        <v>0</v>
      </c>
      <c r="N103" s="1" t="s">
        <v>276</v>
      </c>
      <c r="O103" s="11" t="s">
        <v>564</v>
      </c>
      <c r="P103" s="11" t="s">
        <v>613</v>
      </c>
      <c r="Q103" s="11" t="s">
        <v>613</v>
      </c>
    </row>
    <row r="104" spans="1:17" x14ac:dyDescent="0.25">
      <c r="A104" s="5">
        <v>103</v>
      </c>
      <c r="B104" t="s">
        <v>225</v>
      </c>
      <c r="C104" t="s">
        <v>236</v>
      </c>
      <c r="D104">
        <v>2010</v>
      </c>
      <c r="E104">
        <v>4532</v>
      </c>
      <c r="F104">
        <v>320</v>
      </c>
      <c r="G104">
        <v>46</v>
      </c>
      <c r="H104" s="2">
        <v>56</v>
      </c>
      <c r="I104" s="8" t="s">
        <v>242</v>
      </c>
      <c r="J104" s="3" t="s">
        <v>70</v>
      </c>
      <c r="K104" s="3" t="s">
        <v>177</v>
      </c>
      <c r="L104">
        <v>0</v>
      </c>
      <c r="M104">
        <v>0</v>
      </c>
      <c r="N104" s="1" t="s">
        <v>276</v>
      </c>
      <c r="O104" s="5" t="s">
        <v>564</v>
      </c>
      <c r="P104" s="11" t="s">
        <v>613</v>
      </c>
      <c r="Q104" s="11" t="s">
        <v>613</v>
      </c>
    </row>
    <row r="105" spans="1:17" x14ac:dyDescent="0.25">
      <c r="A105" s="5">
        <v>104</v>
      </c>
      <c r="B105" t="s">
        <v>225</v>
      </c>
      <c r="C105" t="s">
        <v>264</v>
      </c>
      <c r="D105" s="11">
        <v>2007</v>
      </c>
      <c r="E105">
        <v>1369</v>
      </c>
      <c r="F105">
        <v>230</v>
      </c>
      <c r="G105">
        <v>33</v>
      </c>
      <c r="H105" s="2">
        <v>51</v>
      </c>
      <c r="I105" s="1">
        <v>2.5</v>
      </c>
      <c r="J105" s="3" t="s">
        <v>74</v>
      </c>
      <c r="K105" s="3" t="s">
        <v>177</v>
      </c>
      <c r="L105">
        <v>0</v>
      </c>
      <c r="M105">
        <v>0</v>
      </c>
      <c r="N105" s="1" t="s">
        <v>276</v>
      </c>
      <c r="O105" s="5" t="s">
        <v>565</v>
      </c>
      <c r="P105" s="11" t="s">
        <v>613</v>
      </c>
      <c r="Q105" s="11" t="s">
        <v>613</v>
      </c>
    </row>
    <row r="106" spans="1:17" x14ac:dyDescent="0.25">
      <c r="A106" s="5">
        <v>105</v>
      </c>
      <c r="B106" t="s">
        <v>225</v>
      </c>
      <c r="C106" t="s">
        <v>265</v>
      </c>
      <c r="D106" s="9">
        <v>2014</v>
      </c>
      <c r="E106">
        <v>1716</v>
      </c>
      <c r="F106">
        <v>190</v>
      </c>
      <c r="G106">
        <v>33</v>
      </c>
      <c r="H106" s="2">
        <v>52</v>
      </c>
      <c r="I106" s="1">
        <v>2.4</v>
      </c>
      <c r="J106" s="3" t="s">
        <v>74</v>
      </c>
      <c r="K106" s="3" t="s">
        <v>177</v>
      </c>
      <c r="L106">
        <v>0</v>
      </c>
      <c r="M106">
        <v>0</v>
      </c>
      <c r="N106" s="1" t="s">
        <v>276</v>
      </c>
      <c r="O106" s="5" t="s">
        <v>565</v>
      </c>
      <c r="P106" s="11" t="s">
        <v>613</v>
      </c>
      <c r="Q106" s="11" t="s">
        <v>613</v>
      </c>
    </row>
    <row r="107" spans="1:17" x14ac:dyDescent="0.25">
      <c r="A107" s="5">
        <v>106</v>
      </c>
      <c r="B107" t="s">
        <v>225</v>
      </c>
      <c r="C107" t="s">
        <v>243</v>
      </c>
      <c r="D107" s="9">
        <v>1994</v>
      </c>
      <c r="E107">
        <v>2068</v>
      </c>
      <c r="F107">
        <f>0.53*453</f>
        <v>240.09</v>
      </c>
      <c r="G107">
        <f>1.7*25.4</f>
        <v>43.18</v>
      </c>
      <c r="H107" s="2">
        <f>2.1*25.4</f>
        <v>53.339999999999996</v>
      </c>
      <c r="I107" s="1">
        <v>2</v>
      </c>
      <c r="J107" s="3" t="s">
        <v>74</v>
      </c>
      <c r="K107" s="3" t="s">
        <v>177</v>
      </c>
      <c r="L107">
        <v>0</v>
      </c>
      <c r="M107">
        <v>0</v>
      </c>
      <c r="N107" s="1" t="s">
        <v>276</v>
      </c>
      <c r="O107" s="5" t="s">
        <v>565</v>
      </c>
      <c r="P107" s="11" t="s">
        <v>613</v>
      </c>
      <c r="Q107" s="11" t="s">
        <v>613</v>
      </c>
    </row>
    <row r="108" spans="1:17" x14ac:dyDescent="0.25">
      <c r="A108" s="5">
        <v>107</v>
      </c>
      <c r="B108" t="s">
        <v>225</v>
      </c>
      <c r="C108" t="s">
        <v>244</v>
      </c>
      <c r="D108">
        <v>2012</v>
      </c>
      <c r="E108">
        <v>7260</v>
      </c>
      <c r="F108">
        <v>300</v>
      </c>
      <c r="G108">
        <v>47</v>
      </c>
      <c r="H108" s="2">
        <v>53</v>
      </c>
      <c r="I108" s="1">
        <v>2</v>
      </c>
      <c r="J108" s="3" t="s">
        <v>74</v>
      </c>
      <c r="K108" s="3" t="s">
        <v>177</v>
      </c>
      <c r="L108">
        <v>0</v>
      </c>
      <c r="M108">
        <v>0</v>
      </c>
      <c r="N108" s="1" t="s">
        <v>276</v>
      </c>
      <c r="O108" s="5" t="s">
        <v>565</v>
      </c>
      <c r="P108" s="11" t="s">
        <v>613</v>
      </c>
      <c r="Q108" s="11" t="s">
        <v>613</v>
      </c>
    </row>
    <row r="109" spans="1:17" x14ac:dyDescent="0.25">
      <c r="A109" s="5">
        <v>108</v>
      </c>
      <c r="B109" t="s">
        <v>225</v>
      </c>
      <c r="C109" t="s">
        <v>245</v>
      </c>
      <c r="D109">
        <v>2004</v>
      </c>
      <c r="E109">
        <v>3515.6</v>
      </c>
      <c r="F109">
        <v>335</v>
      </c>
      <c r="G109">
        <v>52.5</v>
      </c>
      <c r="H109" s="2">
        <v>53.5</v>
      </c>
      <c r="I109" s="1">
        <v>1.4</v>
      </c>
      <c r="J109" s="3" t="s">
        <v>74</v>
      </c>
      <c r="K109" s="3" t="s">
        <v>177</v>
      </c>
      <c r="L109">
        <v>0</v>
      </c>
      <c r="M109">
        <v>0</v>
      </c>
      <c r="N109" s="1" t="s">
        <v>276</v>
      </c>
      <c r="O109" s="5" t="s">
        <v>565</v>
      </c>
      <c r="P109" s="11" t="s">
        <v>613</v>
      </c>
      <c r="Q109" s="11" t="s">
        <v>613</v>
      </c>
    </row>
    <row r="110" spans="1:17" x14ac:dyDescent="0.25">
      <c r="A110" s="5">
        <v>109</v>
      </c>
      <c r="B110" t="s">
        <v>225</v>
      </c>
      <c r="C110" t="s">
        <v>246</v>
      </c>
      <c r="D110">
        <v>2008</v>
      </c>
      <c r="E110">
        <v>9675.6</v>
      </c>
      <c r="F110">
        <v>700</v>
      </c>
      <c r="G110">
        <v>75.099999999999994</v>
      </c>
      <c r="H110" s="2">
        <v>73</v>
      </c>
      <c r="I110" s="1">
        <v>0.95</v>
      </c>
      <c r="J110" s="3" t="s">
        <v>74</v>
      </c>
      <c r="K110" s="3" t="s">
        <v>177</v>
      </c>
      <c r="L110">
        <v>0</v>
      </c>
      <c r="M110">
        <v>0</v>
      </c>
      <c r="N110" s="1" t="s">
        <v>276</v>
      </c>
      <c r="O110" s="5" t="s">
        <v>565</v>
      </c>
      <c r="P110" s="11" t="s">
        <v>613</v>
      </c>
      <c r="Q110" s="11" t="s">
        <v>613</v>
      </c>
    </row>
    <row r="111" spans="1:17" x14ac:dyDescent="0.25">
      <c r="A111" s="5">
        <v>110</v>
      </c>
      <c r="B111" t="s">
        <v>225</v>
      </c>
      <c r="C111" t="s">
        <v>266</v>
      </c>
      <c r="D111">
        <v>2007</v>
      </c>
      <c r="E111">
        <v>1395</v>
      </c>
      <c r="F111">
        <v>345</v>
      </c>
      <c r="G111">
        <v>60.5</v>
      </c>
      <c r="H111" s="2">
        <v>55</v>
      </c>
      <c r="I111" s="1">
        <v>2.5</v>
      </c>
      <c r="J111" s="3" t="s">
        <v>224</v>
      </c>
      <c r="K111" s="3" t="s">
        <v>177</v>
      </c>
      <c r="L111">
        <v>0</v>
      </c>
      <c r="M111">
        <v>0</v>
      </c>
      <c r="N111" s="1" t="s">
        <v>276</v>
      </c>
      <c r="O111" s="5" t="s">
        <v>567</v>
      </c>
      <c r="P111" s="11" t="s">
        <v>613</v>
      </c>
      <c r="Q111" s="11" t="s">
        <v>613</v>
      </c>
    </row>
    <row r="112" spans="1:17" x14ac:dyDescent="0.25">
      <c r="A112" s="5">
        <v>111</v>
      </c>
      <c r="B112" t="s">
        <v>225</v>
      </c>
      <c r="C112" t="s">
        <v>249</v>
      </c>
      <c r="D112" s="9">
        <v>1996</v>
      </c>
      <c r="E112">
        <v>1892</v>
      </c>
      <c r="F112">
        <v>325</v>
      </c>
      <c r="G112">
        <v>60.5</v>
      </c>
      <c r="H112" s="2">
        <v>55</v>
      </c>
      <c r="I112" s="1">
        <v>2.4</v>
      </c>
      <c r="J112" s="3" t="s">
        <v>224</v>
      </c>
      <c r="K112" s="3" t="s">
        <v>177</v>
      </c>
      <c r="L112">
        <v>0</v>
      </c>
      <c r="M112">
        <v>0</v>
      </c>
      <c r="N112" s="1" t="s">
        <v>276</v>
      </c>
      <c r="O112" s="5" t="s">
        <v>567</v>
      </c>
      <c r="P112" s="11" t="s">
        <v>613</v>
      </c>
      <c r="Q112" s="11" t="s">
        <v>613</v>
      </c>
    </row>
    <row r="113" spans="1:17" x14ac:dyDescent="0.25">
      <c r="A113" s="5">
        <v>112</v>
      </c>
      <c r="B113" t="s">
        <v>225</v>
      </c>
      <c r="C113" t="s">
        <v>267</v>
      </c>
      <c r="D113">
        <v>2005</v>
      </c>
      <c r="E113">
        <v>3339.6</v>
      </c>
      <c r="F113">
        <v>430</v>
      </c>
      <c r="G113">
        <v>67</v>
      </c>
      <c r="H113" s="2">
        <v>58</v>
      </c>
      <c r="I113" s="11">
        <v>2</v>
      </c>
      <c r="J113" s="3" t="s">
        <v>224</v>
      </c>
      <c r="K113" s="3" t="s">
        <v>177</v>
      </c>
      <c r="L113">
        <v>0</v>
      </c>
      <c r="M113">
        <v>0</v>
      </c>
      <c r="N113" s="1" t="s">
        <v>276</v>
      </c>
      <c r="O113" s="5" t="s">
        <v>567</v>
      </c>
      <c r="P113" s="11" t="s">
        <v>613</v>
      </c>
      <c r="Q113" s="11" t="s">
        <v>613</v>
      </c>
    </row>
    <row r="114" spans="1:17" x14ac:dyDescent="0.25">
      <c r="A114" s="5">
        <v>113</v>
      </c>
      <c r="B114" t="s">
        <v>225</v>
      </c>
      <c r="C114" t="s">
        <v>251</v>
      </c>
      <c r="D114" s="9">
        <v>1996</v>
      </c>
      <c r="E114">
        <v>3212</v>
      </c>
      <c r="F114">
        <v>230</v>
      </c>
      <c r="G114">
        <v>59</v>
      </c>
      <c r="H114" s="2">
        <v>52</v>
      </c>
      <c r="I114" s="1">
        <v>4</v>
      </c>
      <c r="J114" s="3" t="s">
        <v>171</v>
      </c>
      <c r="K114" s="3" t="s">
        <v>177</v>
      </c>
      <c r="L114">
        <v>0</v>
      </c>
      <c r="M114">
        <v>0</v>
      </c>
      <c r="N114" s="1" t="s">
        <v>276</v>
      </c>
      <c r="O114" s="5" t="s">
        <v>566</v>
      </c>
      <c r="P114" s="11" t="s">
        <v>613</v>
      </c>
      <c r="Q114" s="11" t="s">
        <v>613</v>
      </c>
    </row>
    <row r="115" spans="1:17" x14ac:dyDescent="0.25">
      <c r="A115" s="5">
        <v>114</v>
      </c>
      <c r="B115" t="s">
        <v>225</v>
      </c>
      <c r="C115" t="s">
        <v>252</v>
      </c>
      <c r="D115">
        <v>2008</v>
      </c>
      <c r="E115">
        <v>2068</v>
      </c>
      <c r="F115">
        <v>346</v>
      </c>
      <c r="G115">
        <v>67</v>
      </c>
      <c r="H115" s="2">
        <v>55</v>
      </c>
      <c r="I115" s="1">
        <v>2.4</v>
      </c>
      <c r="J115" s="3" t="s">
        <v>171</v>
      </c>
      <c r="K115" s="3" t="s">
        <v>177</v>
      </c>
      <c r="L115">
        <v>0</v>
      </c>
      <c r="M115">
        <v>0</v>
      </c>
      <c r="N115" s="1" t="s">
        <v>276</v>
      </c>
      <c r="O115" s="5" t="s">
        <v>567</v>
      </c>
      <c r="P115" s="11" t="s">
        <v>613</v>
      </c>
      <c r="Q115" s="11" t="s">
        <v>613</v>
      </c>
    </row>
    <row r="116" spans="1:17" x14ac:dyDescent="0.25">
      <c r="A116" s="5">
        <v>115</v>
      </c>
      <c r="B116" t="s">
        <v>225</v>
      </c>
      <c r="C116" t="s">
        <v>253</v>
      </c>
      <c r="D116">
        <v>1998</v>
      </c>
      <c r="E116">
        <v>3515.6</v>
      </c>
      <c r="F116">
        <f>1.1*453</f>
        <v>498.30000000000007</v>
      </c>
      <c r="G116">
        <f>3.1*25.4</f>
        <v>78.739999999999995</v>
      </c>
      <c r="H116" s="2">
        <f>2.5*25.4</f>
        <v>63.5</v>
      </c>
      <c r="I116" s="1">
        <v>2</v>
      </c>
      <c r="J116" s="3" t="s">
        <v>171</v>
      </c>
      <c r="K116" s="3" t="s">
        <v>177</v>
      </c>
      <c r="L116">
        <v>0</v>
      </c>
      <c r="M116">
        <v>0</v>
      </c>
      <c r="N116" s="1" t="s">
        <v>276</v>
      </c>
      <c r="O116" s="5" t="s">
        <v>567</v>
      </c>
      <c r="P116" s="11" t="s">
        <v>613</v>
      </c>
      <c r="Q116" s="11" t="s">
        <v>613</v>
      </c>
    </row>
    <row r="117" spans="1:17" x14ac:dyDescent="0.25">
      <c r="A117" s="5">
        <v>116</v>
      </c>
      <c r="B117" t="s">
        <v>225</v>
      </c>
      <c r="C117" t="s">
        <v>250</v>
      </c>
      <c r="D117">
        <v>1998</v>
      </c>
      <c r="E117">
        <v>3388</v>
      </c>
      <c r="F117">
        <f>1*453</f>
        <v>453</v>
      </c>
      <c r="G117">
        <f>4.1*25.4</f>
        <v>104.13999999999999</v>
      </c>
      <c r="H117" s="2">
        <f>2.3*2.54</f>
        <v>5.8419999999999996</v>
      </c>
      <c r="I117" s="1">
        <v>3.4</v>
      </c>
      <c r="J117" s="3" t="s">
        <v>125</v>
      </c>
      <c r="K117" s="3" t="s">
        <v>177</v>
      </c>
      <c r="L117">
        <v>0</v>
      </c>
      <c r="M117">
        <v>0</v>
      </c>
      <c r="N117" s="1" t="s">
        <v>276</v>
      </c>
      <c r="O117" s="5" t="s">
        <v>568</v>
      </c>
      <c r="P117" s="11" t="s">
        <v>613</v>
      </c>
      <c r="Q117" s="11" t="s">
        <v>613</v>
      </c>
    </row>
    <row r="118" spans="1:17" x14ac:dyDescent="0.25">
      <c r="A118" s="5">
        <v>117</v>
      </c>
      <c r="B118" t="s">
        <v>225</v>
      </c>
      <c r="C118" t="s">
        <v>308</v>
      </c>
      <c r="D118">
        <v>2015</v>
      </c>
      <c r="E118">
        <v>4950</v>
      </c>
      <c r="F118">
        <v>1140</v>
      </c>
      <c r="G118">
        <v>138</v>
      </c>
      <c r="H118" s="2">
        <v>88</v>
      </c>
      <c r="I118" s="1">
        <v>4</v>
      </c>
      <c r="J118" s="3" t="s">
        <v>453</v>
      </c>
      <c r="K118" s="3" t="s">
        <v>178</v>
      </c>
      <c r="L118">
        <v>1</v>
      </c>
      <c r="M118">
        <v>0</v>
      </c>
      <c r="N118" s="1" t="s">
        <v>276</v>
      </c>
      <c r="O118" s="5" t="s">
        <v>565</v>
      </c>
      <c r="P118" s="11" t="s">
        <v>613</v>
      </c>
      <c r="Q118" s="11" t="s">
        <v>613</v>
      </c>
    </row>
    <row r="119" spans="1:17" x14ac:dyDescent="0.25">
      <c r="A119" s="5">
        <v>118</v>
      </c>
      <c r="B119" t="s">
        <v>225</v>
      </c>
      <c r="C119" t="s">
        <v>309</v>
      </c>
      <c r="D119">
        <v>2015</v>
      </c>
      <c r="E119">
        <v>6350</v>
      </c>
      <c r="F119">
        <v>1850</v>
      </c>
      <c r="G119">
        <v>238</v>
      </c>
      <c r="H119" s="2">
        <v>88</v>
      </c>
      <c r="I119" s="1">
        <v>4</v>
      </c>
      <c r="J119" s="3" t="s">
        <v>452</v>
      </c>
      <c r="K119" s="3" t="s">
        <v>178</v>
      </c>
      <c r="L119">
        <v>1</v>
      </c>
      <c r="M119">
        <v>0</v>
      </c>
      <c r="N119" s="1" t="s">
        <v>276</v>
      </c>
      <c r="O119" s="5" t="s">
        <v>571</v>
      </c>
      <c r="P119" s="11" t="s">
        <v>613</v>
      </c>
      <c r="Q119" s="11" t="s">
        <v>613</v>
      </c>
    </row>
    <row r="120" spans="1:17" x14ac:dyDescent="0.25">
      <c r="A120" s="5">
        <v>119</v>
      </c>
      <c r="B120" t="s">
        <v>225</v>
      </c>
      <c r="C120" t="s">
        <v>415</v>
      </c>
      <c r="D120">
        <v>2016</v>
      </c>
      <c r="E120">
        <v>2495</v>
      </c>
      <c r="F120">
        <v>165</v>
      </c>
      <c r="G120">
        <v>18</v>
      </c>
      <c r="H120" s="2">
        <v>51</v>
      </c>
      <c r="I120" s="1">
        <v>5.6</v>
      </c>
      <c r="J120" s="3" t="s">
        <v>69</v>
      </c>
      <c r="K120" s="3" t="s">
        <v>177</v>
      </c>
      <c r="L120">
        <v>0</v>
      </c>
      <c r="M120">
        <v>0</v>
      </c>
      <c r="N120" s="1" t="s">
        <v>276</v>
      </c>
      <c r="O120" s="5" t="s">
        <v>564</v>
      </c>
      <c r="P120" s="11" t="s">
        <v>613</v>
      </c>
      <c r="Q120" s="11" t="s">
        <v>613</v>
      </c>
    </row>
    <row r="121" spans="1:17" x14ac:dyDescent="0.25">
      <c r="A121" s="5">
        <v>120</v>
      </c>
      <c r="B121" t="s">
        <v>287</v>
      </c>
      <c r="C121" t="s">
        <v>288</v>
      </c>
      <c r="D121">
        <v>2014</v>
      </c>
      <c r="E121">
        <v>349</v>
      </c>
      <c r="F121">
        <v>246</v>
      </c>
      <c r="G121">
        <f>2.17*25.4</f>
        <v>55.117999999999995</v>
      </c>
      <c r="H121" s="2">
        <f>2.42*25.4</f>
        <v>61.467999999999996</v>
      </c>
      <c r="I121" s="1">
        <v>1.7</v>
      </c>
      <c r="J121" s="3" t="s">
        <v>96</v>
      </c>
      <c r="K121" s="3" t="s">
        <v>177</v>
      </c>
      <c r="L121">
        <v>0</v>
      </c>
      <c r="M121">
        <v>0</v>
      </c>
      <c r="N121" s="1" t="s">
        <v>291</v>
      </c>
      <c r="O121" s="5" t="s">
        <v>564</v>
      </c>
      <c r="P121" s="11" t="s">
        <v>614</v>
      </c>
      <c r="Q121" s="11" t="s">
        <v>614</v>
      </c>
    </row>
    <row r="122" spans="1:17" x14ac:dyDescent="0.25">
      <c r="A122" s="5">
        <v>121</v>
      </c>
      <c r="B122" t="s">
        <v>287</v>
      </c>
      <c r="C122" t="s">
        <v>289</v>
      </c>
      <c r="D122" s="1">
        <v>2015</v>
      </c>
      <c r="E122">
        <v>399</v>
      </c>
      <c r="F122">
        <v>230</v>
      </c>
      <c r="G122">
        <f>1.77*25.4</f>
        <v>44.957999999999998</v>
      </c>
      <c r="H122" s="7">
        <f>2.36*25.4</f>
        <v>59.943999999999996</v>
      </c>
      <c r="I122" s="1">
        <v>0.95</v>
      </c>
      <c r="J122" s="3" t="s">
        <v>138</v>
      </c>
      <c r="K122" s="3" t="s">
        <v>177</v>
      </c>
      <c r="L122">
        <v>0</v>
      </c>
      <c r="M122">
        <v>0</v>
      </c>
      <c r="N122" s="1" t="s">
        <v>284</v>
      </c>
      <c r="O122" s="5" t="s">
        <v>565</v>
      </c>
      <c r="P122" s="11" t="s">
        <v>614</v>
      </c>
      <c r="Q122" s="11" t="s">
        <v>614</v>
      </c>
    </row>
    <row r="123" spans="1:17" x14ac:dyDescent="0.25">
      <c r="A123" s="5">
        <v>122</v>
      </c>
      <c r="B123" t="s">
        <v>287</v>
      </c>
      <c r="C123" t="s">
        <v>290</v>
      </c>
      <c r="D123">
        <v>2014</v>
      </c>
      <c r="E123">
        <v>399</v>
      </c>
      <c r="F123">
        <v>310</v>
      </c>
      <c r="G123">
        <f>2.07*25.4</f>
        <v>52.577999999999996</v>
      </c>
      <c r="H123" s="2">
        <f>2.36*25.4</f>
        <v>59.943999999999996</v>
      </c>
      <c r="I123" s="1">
        <v>1.2</v>
      </c>
      <c r="J123" s="3" t="s">
        <v>283</v>
      </c>
      <c r="K123" s="3" t="s">
        <v>177</v>
      </c>
      <c r="L123">
        <v>0</v>
      </c>
      <c r="M123">
        <v>0</v>
      </c>
      <c r="N123" s="1" t="s">
        <v>284</v>
      </c>
      <c r="O123" s="5" t="s">
        <v>567</v>
      </c>
      <c r="P123" s="11" t="s">
        <v>614</v>
      </c>
      <c r="Q123" s="11" t="s">
        <v>614</v>
      </c>
    </row>
    <row r="124" spans="1:17" x14ac:dyDescent="0.25">
      <c r="A124" s="5">
        <v>123</v>
      </c>
      <c r="B124" t="s">
        <v>59</v>
      </c>
      <c r="C124" t="s">
        <v>60</v>
      </c>
      <c r="D124">
        <v>2014</v>
      </c>
      <c r="E124">
        <v>797</v>
      </c>
      <c r="F124">
        <v>357</v>
      </c>
      <c r="G124">
        <f>3.1*25.4</f>
        <v>78.739999999999995</v>
      </c>
      <c r="H124" s="2">
        <f>3.2*25.4</f>
        <v>81.28</v>
      </c>
      <c r="I124" s="1">
        <v>1.8</v>
      </c>
      <c r="J124" s="3">
        <v>20</v>
      </c>
      <c r="K124" s="3" t="s">
        <v>177</v>
      </c>
      <c r="L124">
        <v>0</v>
      </c>
      <c r="M124">
        <v>0</v>
      </c>
      <c r="N124" s="1" t="s">
        <v>276</v>
      </c>
      <c r="O124" s="5" t="s">
        <v>564</v>
      </c>
      <c r="P124" s="11" t="s">
        <v>610</v>
      </c>
      <c r="Q124" s="9"/>
    </row>
    <row r="125" spans="1:17" x14ac:dyDescent="0.25">
      <c r="A125" s="5">
        <v>124</v>
      </c>
      <c r="B125" t="s">
        <v>59</v>
      </c>
      <c r="C125" t="s">
        <v>104</v>
      </c>
      <c r="D125">
        <v>2010</v>
      </c>
      <c r="E125">
        <v>1997</v>
      </c>
      <c r="F125">
        <v>620</v>
      </c>
      <c r="G125">
        <f>3.5*25.4</f>
        <v>88.899999999999991</v>
      </c>
      <c r="H125" s="2">
        <f>3.3*25.4</f>
        <v>83.82</v>
      </c>
      <c r="I125" s="1">
        <v>1.4</v>
      </c>
      <c r="J125" s="3">
        <v>24</v>
      </c>
      <c r="K125" s="3" t="s">
        <v>177</v>
      </c>
      <c r="L125">
        <v>0</v>
      </c>
      <c r="M125">
        <v>0</v>
      </c>
      <c r="N125" s="1" t="s">
        <v>276</v>
      </c>
      <c r="O125" s="5" t="s">
        <v>564</v>
      </c>
      <c r="P125" s="11" t="s">
        <v>610</v>
      </c>
      <c r="Q125" s="9"/>
    </row>
    <row r="126" spans="1:17" x14ac:dyDescent="0.25">
      <c r="A126" s="5">
        <v>125</v>
      </c>
      <c r="B126" t="s">
        <v>59</v>
      </c>
      <c r="C126" t="s">
        <v>95</v>
      </c>
      <c r="D126">
        <v>2008</v>
      </c>
      <c r="E126">
        <v>2197</v>
      </c>
      <c r="F126">
        <v>730</v>
      </c>
      <c r="G126">
        <f>4.25*25.4</f>
        <v>107.94999999999999</v>
      </c>
      <c r="H126" s="2">
        <f>3.25*25.4</f>
        <v>82.55</v>
      </c>
      <c r="I126" s="1">
        <v>3.5</v>
      </c>
      <c r="J126" s="3" t="s">
        <v>96</v>
      </c>
      <c r="K126" s="3" t="s">
        <v>177</v>
      </c>
      <c r="L126">
        <v>0</v>
      </c>
      <c r="M126">
        <v>0</v>
      </c>
      <c r="N126" s="1" t="s">
        <v>276</v>
      </c>
      <c r="O126" s="5" t="s">
        <v>563</v>
      </c>
      <c r="P126" s="11" t="s">
        <v>610</v>
      </c>
      <c r="Q126" s="9"/>
    </row>
    <row r="127" spans="1:17" x14ac:dyDescent="0.25">
      <c r="A127" s="5">
        <v>126</v>
      </c>
      <c r="B127" t="s">
        <v>59</v>
      </c>
      <c r="C127" t="s">
        <v>68</v>
      </c>
      <c r="D127">
        <v>2012</v>
      </c>
      <c r="E127">
        <v>697</v>
      </c>
      <c r="F127" s="1">
        <v>330</v>
      </c>
      <c r="G127">
        <f>3.2*25.4</f>
        <v>81.28</v>
      </c>
      <c r="H127" s="2">
        <f>2.9*25.4</f>
        <v>73.66</v>
      </c>
      <c r="I127" s="1">
        <v>1.8</v>
      </c>
      <c r="J127" s="3" t="s">
        <v>69</v>
      </c>
      <c r="K127" s="3" t="s">
        <v>177</v>
      </c>
      <c r="L127">
        <v>0</v>
      </c>
      <c r="M127">
        <v>0</v>
      </c>
      <c r="N127" s="1" t="s">
        <v>276</v>
      </c>
      <c r="O127" s="5" t="s">
        <v>564</v>
      </c>
      <c r="P127" s="11" t="s">
        <v>610</v>
      </c>
      <c r="Q127" s="9"/>
    </row>
    <row r="128" spans="1:17" x14ac:dyDescent="0.25">
      <c r="A128" s="5">
        <v>127</v>
      </c>
      <c r="B128" t="s">
        <v>59</v>
      </c>
      <c r="C128" t="s">
        <v>106</v>
      </c>
      <c r="D128">
        <v>2014</v>
      </c>
      <c r="E128">
        <v>527</v>
      </c>
      <c r="F128">
        <v>305</v>
      </c>
      <c r="G128">
        <f>2.81*25.4</f>
        <v>71.373999999999995</v>
      </c>
      <c r="H128" s="2">
        <f>2.83*25.4</f>
        <v>71.881999999999991</v>
      </c>
      <c r="I128" s="1">
        <v>1.8</v>
      </c>
      <c r="J128" s="3" t="s">
        <v>70</v>
      </c>
      <c r="K128" s="3" t="s">
        <v>177</v>
      </c>
      <c r="L128">
        <v>0</v>
      </c>
      <c r="M128">
        <v>0</v>
      </c>
      <c r="N128" s="1" t="s">
        <v>276</v>
      </c>
      <c r="O128" s="5" t="s">
        <v>564</v>
      </c>
      <c r="P128" s="11" t="s">
        <v>610</v>
      </c>
      <c r="Q128" s="9"/>
    </row>
    <row r="129" spans="1:17" x14ac:dyDescent="0.25">
      <c r="A129" s="5">
        <v>128</v>
      </c>
      <c r="B129" t="s">
        <v>59</v>
      </c>
      <c r="C129" t="s">
        <v>105</v>
      </c>
      <c r="D129">
        <v>2010</v>
      </c>
      <c r="E129">
        <v>1697</v>
      </c>
      <c r="F129" s="1">
        <v>601</v>
      </c>
      <c r="G129">
        <f>3.52*25.4</f>
        <v>89.408000000000001</v>
      </c>
      <c r="H129" s="2">
        <f>3.27*25.4</f>
        <v>83.057999999999993</v>
      </c>
      <c r="I129" s="1">
        <v>1.4</v>
      </c>
      <c r="J129" s="3" t="s">
        <v>70</v>
      </c>
      <c r="K129" s="3" t="s">
        <v>177</v>
      </c>
      <c r="L129">
        <v>0</v>
      </c>
      <c r="M129">
        <v>0</v>
      </c>
      <c r="N129" s="1" t="s">
        <v>276</v>
      </c>
      <c r="O129" s="5" t="s">
        <v>564</v>
      </c>
      <c r="P129" s="11" t="s">
        <v>610</v>
      </c>
      <c r="Q129" s="9"/>
    </row>
    <row r="130" spans="1:17" x14ac:dyDescent="0.25">
      <c r="A130" s="5">
        <v>129</v>
      </c>
      <c r="B130" t="s">
        <v>59</v>
      </c>
      <c r="C130" t="s">
        <v>97</v>
      </c>
      <c r="D130">
        <v>2008</v>
      </c>
      <c r="E130">
        <v>2047</v>
      </c>
      <c r="F130" s="1">
        <v>740</v>
      </c>
      <c r="G130">
        <f>4.41*25.4</f>
        <v>112.014</v>
      </c>
      <c r="H130" s="2">
        <f>3.25*25.4</f>
        <v>82.55</v>
      </c>
      <c r="I130" s="1">
        <v>2.8</v>
      </c>
      <c r="J130" s="3" t="s">
        <v>98</v>
      </c>
      <c r="K130" s="3" t="s">
        <v>177</v>
      </c>
      <c r="L130">
        <v>0</v>
      </c>
      <c r="M130">
        <v>0</v>
      </c>
      <c r="N130" s="1" t="s">
        <v>276</v>
      </c>
      <c r="O130" s="5" t="s">
        <v>563</v>
      </c>
      <c r="P130" s="11" t="s">
        <v>610</v>
      </c>
      <c r="Q130" s="9"/>
    </row>
    <row r="131" spans="1:17" x14ac:dyDescent="0.25">
      <c r="A131" s="5">
        <v>130</v>
      </c>
      <c r="B131" t="s">
        <v>59</v>
      </c>
      <c r="C131" t="s">
        <v>71</v>
      </c>
      <c r="D131">
        <v>2011</v>
      </c>
      <c r="E131">
        <v>217</v>
      </c>
      <c r="F131">
        <v>185</v>
      </c>
      <c r="G131">
        <f>2.1*25.4</f>
        <v>53.339999999999996</v>
      </c>
      <c r="H131" s="2">
        <f>2.8*25.4</f>
        <v>71.11999999999999</v>
      </c>
      <c r="I131" s="1">
        <v>1.8</v>
      </c>
      <c r="J131" s="3" t="s">
        <v>74</v>
      </c>
      <c r="K131" s="3" t="s">
        <v>177</v>
      </c>
      <c r="L131">
        <v>0</v>
      </c>
      <c r="M131">
        <v>0</v>
      </c>
      <c r="N131" s="1" t="s">
        <v>276</v>
      </c>
      <c r="O131" s="5" t="s">
        <v>565</v>
      </c>
      <c r="P131" s="11" t="s">
        <v>610</v>
      </c>
      <c r="Q131" s="9"/>
    </row>
    <row r="132" spans="1:17" x14ac:dyDescent="0.25">
      <c r="A132" s="5">
        <v>131</v>
      </c>
      <c r="B132" t="s">
        <v>59</v>
      </c>
      <c r="C132" t="s">
        <v>72</v>
      </c>
      <c r="D132" s="1">
        <v>2008</v>
      </c>
      <c r="E132">
        <v>447</v>
      </c>
      <c r="F132">
        <v>281</v>
      </c>
      <c r="G132">
        <f>2.1*25.4</f>
        <v>53.339999999999996</v>
      </c>
      <c r="H132" s="2">
        <f>2.9*25.4</f>
        <v>73.66</v>
      </c>
      <c r="I132" s="1">
        <v>1.4</v>
      </c>
      <c r="J132" s="3" t="s">
        <v>74</v>
      </c>
      <c r="K132" s="3" t="s">
        <v>177</v>
      </c>
      <c r="L132">
        <v>0</v>
      </c>
      <c r="M132">
        <v>0</v>
      </c>
      <c r="N132" s="1" t="s">
        <v>276</v>
      </c>
      <c r="O132" s="5" t="s">
        <v>565</v>
      </c>
      <c r="P132" s="11" t="s">
        <v>610</v>
      </c>
      <c r="Q132" s="9"/>
    </row>
    <row r="133" spans="1:17" x14ac:dyDescent="0.25">
      <c r="A133" s="5">
        <v>132</v>
      </c>
      <c r="B133" t="s">
        <v>59</v>
      </c>
      <c r="C133" t="s">
        <v>73</v>
      </c>
      <c r="D133">
        <v>2013</v>
      </c>
      <c r="E133">
        <v>1597</v>
      </c>
      <c r="F133">
        <v>385</v>
      </c>
      <c r="G133">
        <f>2.76*25.4</f>
        <v>70.103999999999985</v>
      </c>
      <c r="H133" s="2">
        <f>3.35*25.4</f>
        <v>85.09</v>
      </c>
      <c r="I133" s="1">
        <v>1.4</v>
      </c>
      <c r="J133" s="3" t="s">
        <v>75</v>
      </c>
      <c r="K133" s="3" t="s">
        <v>177</v>
      </c>
      <c r="L133">
        <v>0</v>
      </c>
      <c r="M133">
        <v>0</v>
      </c>
      <c r="N133" s="1" t="s">
        <v>276</v>
      </c>
      <c r="O133" s="5" t="s">
        <v>565</v>
      </c>
      <c r="P133" s="11" t="s">
        <v>610</v>
      </c>
      <c r="Q133" s="9"/>
    </row>
    <row r="134" spans="1:17" x14ac:dyDescent="0.25">
      <c r="A134" s="5">
        <v>133</v>
      </c>
      <c r="B134" t="s">
        <v>59</v>
      </c>
      <c r="C134" t="s">
        <v>89</v>
      </c>
      <c r="D134">
        <v>2008</v>
      </c>
      <c r="E134">
        <v>597</v>
      </c>
      <c r="F134">
        <v>425</v>
      </c>
      <c r="G134">
        <f>3.5*25.4</f>
        <v>88.899999999999991</v>
      </c>
      <c r="H134" s="2">
        <f>2.9*25.4</f>
        <v>73.66</v>
      </c>
      <c r="I134" s="1">
        <v>2.8</v>
      </c>
      <c r="J134" s="3" t="s">
        <v>90</v>
      </c>
      <c r="K134" s="3" t="s">
        <v>177</v>
      </c>
      <c r="L134">
        <v>0</v>
      </c>
      <c r="M134">
        <v>0</v>
      </c>
      <c r="N134" s="1" t="s">
        <v>276</v>
      </c>
      <c r="O134" s="5" t="s">
        <v>566</v>
      </c>
      <c r="P134" s="11" t="s">
        <v>610</v>
      </c>
      <c r="Q134" s="9"/>
    </row>
    <row r="135" spans="1:17" x14ac:dyDescent="0.25">
      <c r="A135" s="5">
        <v>134</v>
      </c>
      <c r="B135" t="s">
        <v>59</v>
      </c>
      <c r="C135" t="s">
        <v>76</v>
      </c>
      <c r="D135">
        <v>2012</v>
      </c>
      <c r="E135">
        <v>497</v>
      </c>
      <c r="F135">
        <v>350</v>
      </c>
      <c r="G135">
        <f>2.9*25.4</f>
        <v>73.66</v>
      </c>
      <c r="H135" s="2">
        <f>3.1*25.4</f>
        <v>78.739999999999995</v>
      </c>
      <c r="I135" s="1">
        <v>1.8</v>
      </c>
      <c r="J135" s="3" t="s">
        <v>77</v>
      </c>
      <c r="K135" s="3" t="s">
        <v>177</v>
      </c>
      <c r="L135">
        <v>0</v>
      </c>
      <c r="M135">
        <v>0</v>
      </c>
      <c r="N135" s="1" t="s">
        <v>276</v>
      </c>
      <c r="O135" s="5" t="s">
        <v>567</v>
      </c>
      <c r="P135" s="11" t="s">
        <v>610</v>
      </c>
      <c r="Q135" s="9"/>
    </row>
    <row r="136" spans="1:17" x14ac:dyDescent="0.25">
      <c r="A136" s="5">
        <v>135</v>
      </c>
      <c r="B136" t="s">
        <v>59</v>
      </c>
      <c r="C136" t="s">
        <v>78</v>
      </c>
      <c r="D136" s="1">
        <v>2010</v>
      </c>
      <c r="E136">
        <v>1597</v>
      </c>
      <c r="F136">
        <v>595</v>
      </c>
      <c r="G136">
        <f>3.3*25.4</f>
        <v>83.82</v>
      </c>
      <c r="H136" s="7">
        <f>3.4*25.4</f>
        <v>86.36</v>
      </c>
      <c r="I136" s="1">
        <v>1.4</v>
      </c>
      <c r="J136" s="3" t="s">
        <v>77</v>
      </c>
      <c r="K136" s="3" t="s">
        <v>177</v>
      </c>
      <c r="L136">
        <v>0</v>
      </c>
      <c r="M136">
        <v>0</v>
      </c>
      <c r="N136" s="1" t="s">
        <v>276</v>
      </c>
      <c r="O136" s="5" t="s">
        <v>567</v>
      </c>
      <c r="P136" s="11" t="s">
        <v>610</v>
      </c>
      <c r="Q136" s="9"/>
    </row>
    <row r="137" spans="1:17" x14ac:dyDescent="0.25">
      <c r="A137" s="5">
        <v>136</v>
      </c>
      <c r="B137" t="s">
        <v>59</v>
      </c>
      <c r="C137" t="s">
        <v>99</v>
      </c>
      <c r="D137" s="1">
        <v>2008</v>
      </c>
      <c r="E137">
        <v>1977</v>
      </c>
      <c r="F137">
        <v>635</v>
      </c>
      <c r="G137">
        <f>4.21*25.4</f>
        <v>106.934</v>
      </c>
      <c r="H137" s="7">
        <f>3.29*25.4</f>
        <v>83.566000000000003</v>
      </c>
      <c r="I137" s="1">
        <v>2.8</v>
      </c>
      <c r="J137" s="3" t="s">
        <v>77</v>
      </c>
      <c r="K137" s="3" t="s">
        <v>177</v>
      </c>
      <c r="L137">
        <v>0</v>
      </c>
      <c r="M137">
        <v>0</v>
      </c>
      <c r="N137" s="1" t="s">
        <v>276</v>
      </c>
      <c r="O137" s="5" t="s">
        <v>563</v>
      </c>
      <c r="P137" s="11" t="s">
        <v>610</v>
      </c>
      <c r="Q137" s="9"/>
    </row>
    <row r="138" spans="1:17" x14ac:dyDescent="0.25">
      <c r="A138" s="5">
        <v>137</v>
      </c>
      <c r="B138" t="s">
        <v>59</v>
      </c>
      <c r="C138" t="s">
        <v>79</v>
      </c>
      <c r="D138" s="1">
        <v>2006</v>
      </c>
      <c r="E138">
        <v>897</v>
      </c>
      <c r="F138" s="1">
        <v>720</v>
      </c>
      <c r="G138">
        <f>4.6*25.4</f>
        <v>116.83999999999999</v>
      </c>
      <c r="H138" s="7">
        <f>3.3*25.4</f>
        <v>83.82</v>
      </c>
      <c r="I138" s="1">
        <v>2.8</v>
      </c>
      <c r="J138" s="3" t="s">
        <v>80</v>
      </c>
      <c r="K138" s="3" t="s">
        <v>177</v>
      </c>
      <c r="L138">
        <v>1</v>
      </c>
      <c r="M138">
        <v>0</v>
      </c>
      <c r="N138" s="1" t="s">
        <v>276</v>
      </c>
      <c r="O138" s="5" t="s">
        <v>566</v>
      </c>
      <c r="P138" s="11" t="s">
        <v>610</v>
      </c>
      <c r="Q138" s="9"/>
    </row>
    <row r="139" spans="1:17" x14ac:dyDescent="0.25">
      <c r="A139" s="5">
        <v>138</v>
      </c>
      <c r="B139" t="s">
        <v>59</v>
      </c>
      <c r="C139" t="s">
        <v>103</v>
      </c>
      <c r="D139">
        <v>2010</v>
      </c>
      <c r="E139">
        <v>5697</v>
      </c>
      <c r="F139">
        <f>2930</f>
        <v>2930</v>
      </c>
      <c r="G139">
        <f>8*25.4</f>
        <v>203.2</v>
      </c>
      <c r="H139" s="7">
        <f>4.9*25.4</f>
        <v>124.46000000000001</v>
      </c>
      <c r="I139" s="1">
        <v>2</v>
      </c>
      <c r="J139" s="3" t="s">
        <v>81</v>
      </c>
      <c r="K139" s="3" t="s">
        <v>177</v>
      </c>
      <c r="L139">
        <v>1</v>
      </c>
      <c r="M139">
        <v>0</v>
      </c>
      <c r="N139" s="1" t="s">
        <v>276</v>
      </c>
      <c r="O139" s="5" t="s">
        <v>568</v>
      </c>
      <c r="P139" s="11" t="s">
        <v>610</v>
      </c>
      <c r="Q139" s="9"/>
    </row>
    <row r="140" spans="1:17" x14ac:dyDescent="0.25">
      <c r="A140" s="5">
        <v>139</v>
      </c>
      <c r="B140" t="s">
        <v>59</v>
      </c>
      <c r="C140" t="s">
        <v>82</v>
      </c>
      <c r="D140">
        <v>2015</v>
      </c>
      <c r="E140">
        <v>1997</v>
      </c>
      <c r="F140" s="1">
        <v>755</v>
      </c>
      <c r="G140">
        <f>5.81*25.4</f>
        <v>147.57399999999998</v>
      </c>
      <c r="H140" s="7">
        <f>3.5*25.4</f>
        <v>88.899999999999991</v>
      </c>
      <c r="I140" s="1">
        <v>4</v>
      </c>
      <c r="J140" s="3" t="s">
        <v>83</v>
      </c>
      <c r="K140" s="3" t="s">
        <v>177</v>
      </c>
      <c r="L140">
        <v>1</v>
      </c>
      <c r="M140">
        <v>0</v>
      </c>
      <c r="N140" s="1" t="s">
        <v>276</v>
      </c>
      <c r="O140" s="5" t="s">
        <v>569</v>
      </c>
      <c r="P140" s="11" t="s">
        <v>610</v>
      </c>
      <c r="Q140" s="9"/>
    </row>
    <row r="141" spans="1:17" x14ac:dyDescent="0.25">
      <c r="A141" s="5">
        <v>140</v>
      </c>
      <c r="B141" t="s">
        <v>59</v>
      </c>
      <c r="C141" t="s">
        <v>84</v>
      </c>
      <c r="D141">
        <v>2009</v>
      </c>
      <c r="E141">
        <v>5497</v>
      </c>
      <c r="F141" s="1">
        <v>2900</v>
      </c>
      <c r="G141">
        <f>10.5*25.4</f>
        <v>266.7</v>
      </c>
      <c r="H141" s="7">
        <f>4.9*25.4</f>
        <v>124.46000000000001</v>
      </c>
      <c r="I141" s="1">
        <v>2.8</v>
      </c>
      <c r="J141" s="3" t="s">
        <v>83</v>
      </c>
      <c r="K141" s="3" t="s">
        <v>177</v>
      </c>
      <c r="L141">
        <v>1</v>
      </c>
      <c r="M141">
        <v>0</v>
      </c>
      <c r="N141" s="1" t="s">
        <v>276</v>
      </c>
      <c r="O141" s="5" t="s">
        <v>569</v>
      </c>
      <c r="P141" s="11" t="s">
        <v>610</v>
      </c>
      <c r="Q141" s="9"/>
    </row>
    <row r="142" spans="1:17" s="1" customFormat="1" x14ac:dyDescent="0.25">
      <c r="A142" s="5">
        <v>141</v>
      </c>
      <c r="B142" s="1" t="s">
        <v>59</v>
      </c>
      <c r="C142" s="1" t="s">
        <v>107</v>
      </c>
      <c r="D142" s="1">
        <v>2014</v>
      </c>
      <c r="E142" s="1">
        <v>11197</v>
      </c>
      <c r="F142" s="1">
        <v>3800</v>
      </c>
      <c r="G142" s="1">
        <f>14.09*25.4</f>
        <v>357.88599999999997</v>
      </c>
      <c r="H142" s="2">
        <f>6.28*25.4</f>
        <v>159.512</v>
      </c>
      <c r="I142" s="1">
        <v>2.8</v>
      </c>
      <c r="J142" s="3" t="s">
        <v>85</v>
      </c>
      <c r="K142" s="3" t="s">
        <v>177</v>
      </c>
      <c r="L142" s="1">
        <v>1</v>
      </c>
      <c r="M142" s="1">
        <v>0</v>
      </c>
      <c r="N142" s="1" t="s">
        <v>276</v>
      </c>
      <c r="O142" s="5" t="s">
        <v>569</v>
      </c>
      <c r="P142" s="11" t="s">
        <v>610</v>
      </c>
      <c r="Q142" s="9"/>
    </row>
    <row r="143" spans="1:17" s="1" customFormat="1" x14ac:dyDescent="0.25">
      <c r="A143" s="5">
        <v>142</v>
      </c>
      <c r="B143" s="1" t="s">
        <v>59</v>
      </c>
      <c r="C143" s="1" t="s">
        <v>63</v>
      </c>
      <c r="D143" s="1">
        <v>2007</v>
      </c>
      <c r="E143" s="1">
        <v>1897</v>
      </c>
      <c r="F143" s="1">
        <v>1000</v>
      </c>
      <c r="G143" s="1">
        <f>5.2*25.4</f>
        <v>132.07999999999998</v>
      </c>
      <c r="H143" s="7">
        <f>3.8*25.4</f>
        <v>96.52</v>
      </c>
      <c r="I143" s="1">
        <v>2.8</v>
      </c>
      <c r="J143" s="3" t="s">
        <v>451</v>
      </c>
      <c r="K143" s="3" t="s">
        <v>178</v>
      </c>
      <c r="L143" s="1">
        <v>0</v>
      </c>
      <c r="M143" s="1">
        <v>0</v>
      </c>
      <c r="N143" s="1" t="s">
        <v>276</v>
      </c>
      <c r="O143" s="5" t="s">
        <v>562</v>
      </c>
      <c r="P143" s="11" t="s">
        <v>610</v>
      </c>
      <c r="Q143" s="9"/>
    </row>
    <row r="144" spans="1:17" s="1" customFormat="1" x14ac:dyDescent="0.25">
      <c r="A144" s="5">
        <v>143</v>
      </c>
      <c r="B144" s="1" t="s">
        <v>59</v>
      </c>
      <c r="C144" s="1" t="s">
        <v>86</v>
      </c>
      <c r="D144" s="1">
        <v>2010</v>
      </c>
      <c r="E144" s="1">
        <v>1097</v>
      </c>
      <c r="F144" s="1">
        <v>680</v>
      </c>
      <c r="G144" s="1">
        <f>4.9*25.4</f>
        <v>124.46000000000001</v>
      </c>
      <c r="H144" s="2">
        <f>3.2*25.4</f>
        <v>81.28</v>
      </c>
      <c r="I144" s="1">
        <v>4</v>
      </c>
      <c r="J144" s="3" t="s">
        <v>351</v>
      </c>
      <c r="K144" s="3" t="s">
        <v>178</v>
      </c>
      <c r="L144" s="1">
        <v>1</v>
      </c>
      <c r="M144" s="1">
        <v>0</v>
      </c>
      <c r="N144" s="1" t="s">
        <v>276</v>
      </c>
      <c r="O144" s="5" t="s">
        <v>562</v>
      </c>
      <c r="P144" s="11" t="s">
        <v>610</v>
      </c>
      <c r="Q144" s="9"/>
    </row>
    <row r="145" spans="1:17" s="1" customFormat="1" x14ac:dyDescent="0.25">
      <c r="A145" s="5">
        <v>144</v>
      </c>
      <c r="B145" s="1" t="s">
        <v>59</v>
      </c>
      <c r="C145" s="1" t="s">
        <v>94</v>
      </c>
      <c r="D145" s="1">
        <v>2013</v>
      </c>
      <c r="E145" s="1">
        <v>747</v>
      </c>
      <c r="F145" s="1">
        <v>385</v>
      </c>
      <c r="G145" s="1">
        <f>3.74*25.4</f>
        <v>94.995999999999995</v>
      </c>
      <c r="H145" s="2">
        <f>3.27*25.4</f>
        <v>83.057999999999993</v>
      </c>
      <c r="I145" s="1">
        <v>4.5</v>
      </c>
      <c r="J145" s="3" t="s">
        <v>450</v>
      </c>
      <c r="K145" s="3" t="s">
        <v>178</v>
      </c>
      <c r="L145" s="1">
        <v>0</v>
      </c>
      <c r="M145" s="1">
        <v>0</v>
      </c>
      <c r="N145" s="1" t="s">
        <v>276</v>
      </c>
      <c r="O145" s="5" t="s">
        <v>562</v>
      </c>
      <c r="P145" s="11" t="s">
        <v>610</v>
      </c>
      <c r="Q145" s="9"/>
    </row>
    <row r="146" spans="1:17" s="1" customFormat="1" x14ac:dyDescent="0.25">
      <c r="A146" s="5">
        <v>145</v>
      </c>
      <c r="B146" s="1" t="s">
        <v>59</v>
      </c>
      <c r="C146" s="1" t="s">
        <v>87</v>
      </c>
      <c r="D146" s="11">
        <v>2015</v>
      </c>
      <c r="E146" s="1">
        <v>1397</v>
      </c>
      <c r="F146" s="1">
        <v>2090</v>
      </c>
      <c r="G146" s="1">
        <f>10.53*25.4</f>
        <v>267.46199999999999</v>
      </c>
      <c r="H146" s="2">
        <f>4.25*25.4</f>
        <v>107.94999999999999</v>
      </c>
      <c r="I146" s="1">
        <v>5.6</v>
      </c>
      <c r="J146" s="3" t="s">
        <v>449</v>
      </c>
      <c r="K146" s="3" t="s">
        <v>178</v>
      </c>
      <c r="L146" s="1">
        <v>1</v>
      </c>
      <c r="M146" s="1">
        <v>0</v>
      </c>
      <c r="N146" s="1" t="s">
        <v>276</v>
      </c>
      <c r="O146" s="5" t="s">
        <v>569</v>
      </c>
      <c r="P146" s="11" t="s">
        <v>610</v>
      </c>
      <c r="Q146" s="9"/>
    </row>
    <row r="147" spans="1:17" x14ac:dyDescent="0.25">
      <c r="A147" s="5">
        <v>146</v>
      </c>
      <c r="B147" t="s">
        <v>59</v>
      </c>
      <c r="C147" t="s">
        <v>93</v>
      </c>
      <c r="D147">
        <v>2010</v>
      </c>
      <c r="E147">
        <v>1097</v>
      </c>
      <c r="F147" s="1">
        <v>710</v>
      </c>
      <c r="G147">
        <f>4.1*25.4</f>
        <v>104.13999999999999</v>
      </c>
      <c r="H147" s="2">
        <f>3.3*25.4</f>
        <v>83.82</v>
      </c>
      <c r="I147" s="1">
        <v>4</v>
      </c>
      <c r="J147" s="3" t="s">
        <v>448</v>
      </c>
      <c r="K147" s="3" t="s">
        <v>178</v>
      </c>
      <c r="L147">
        <v>1</v>
      </c>
      <c r="M147">
        <v>0</v>
      </c>
      <c r="N147" s="1" t="s">
        <v>276</v>
      </c>
      <c r="O147" s="5" t="s">
        <v>565</v>
      </c>
      <c r="P147" s="11" t="s">
        <v>610</v>
      </c>
      <c r="Q147" s="9"/>
    </row>
    <row r="148" spans="1:17" x14ac:dyDescent="0.25">
      <c r="A148" s="5">
        <v>147</v>
      </c>
      <c r="B148" t="s">
        <v>59</v>
      </c>
      <c r="C148" t="s">
        <v>64</v>
      </c>
      <c r="D148">
        <v>2007</v>
      </c>
      <c r="E148">
        <v>1797</v>
      </c>
      <c r="F148" s="1">
        <v>900</v>
      </c>
      <c r="G148">
        <f>5.2*25.4</f>
        <v>132.07999999999998</v>
      </c>
      <c r="H148" s="2">
        <f>3.3*25.4</f>
        <v>83.82</v>
      </c>
      <c r="I148" s="1">
        <v>2.8</v>
      </c>
      <c r="J148" s="3" t="s">
        <v>436</v>
      </c>
      <c r="K148" s="3" t="s">
        <v>178</v>
      </c>
      <c r="L148">
        <v>0</v>
      </c>
      <c r="M148">
        <v>0</v>
      </c>
      <c r="N148" s="1" t="s">
        <v>276</v>
      </c>
      <c r="O148" s="5" t="s">
        <v>565</v>
      </c>
      <c r="P148" s="11" t="s">
        <v>610</v>
      </c>
      <c r="Q148" s="9"/>
    </row>
    <row r="149" spans="1:17" x14ac:dyDescent="0.25">
      <c r="A149" s="5">
        <v>148</v>
      </c>
      <c r="B149" t="s">
        <v>59</v>
      </c>
      <c r="C149" t="s">
        <v>65</v>
      </c>
      <c r="D149">
        <v>2015</v>
      </c>
      <c r="E149">
        <v>2397</v>
      </c>
      <c r="F149" s="1">
        <v>1070</v>
      </c>
      <c r="G149">
        <f>6.08*25.4</f>
        <v>154.43199999999999</v>
      </c>
      <c r="H149" s="7">
        <f>3.46*25.4</f>
        <v>87.884</v>
      </c>
      <c r="I149" s="1">
        <v>2.8</v>
      </c>
      <c r="J149" s="3" t="s">
        <v>436</v>
      </c>
      <c r="K149" s="3" t="s">
        <v>178</v>
      </c>
      <c r="L149">
        <v>1</v>
      </c>
      <c r="M149">
        <v>0</v>
      </c>
      <c r="N149" s="1" t="s">
        <v>276</v>
      </c>
      <c r="O149" s="5" t="s">
        <v>565</v>
      </c>
      <c r="P149" s="11" t="s">
        <v>610</v>
      </c>
      <c r="Q149" s="9"/>
    </row>
    <row r="150" spans="1:17" x14ac:dyDescent="0.25">
      <c r="A150" s="5">
        <v>149</v>
      </c>
      <c r="B150" t="s">
        <v>59</v>
      </c>
      <c r="C150" t="s">
        <v>91</v>
      </c>
      <c r="D150">
        <v>2012</v>
      </c>
      <c r="E150">
        <v>497</v>
      </c>
      <c r="F150" s="1">
        <v>465</v>
      </c>
      <c r="G150">
        <f>3.2*25.4</f>
        <v>81.28</v>
      </c>
      <c r="H150" s="2">
        <f>3.1*25.4</f>
        <v>78.739999999999995</v>
      </c>
      <c r="I150" s="1">
        <v>4.5</v>
      </c>
      <c r="J150" s="3" t="s">
        <v>447</v>
      </c>
      <c r="K150" s="3" t="s">
        <v>178</v>
      </c>
      <c r="L150">
        <v>1</v>
      </c>
      <c r="M150">
        <v>0</v>
      </c>
      <c r="N150" s="1" t="s">
        <v>276</v>
      </c>
      <c r="O150" s="5" t="s">
        <v>565</v>
      </c>
      <c r="P150" s="11" t="s">
        <v>610</v>
      </c>
      <c r="Q150" s="9"/>
    </row>
    <row r="151" spans="1:17" x14ac:dyDescent="0.25">
      <c r="A151" s="5">
        <v>150</v>
      </c>
      <c r="B151" t="s">
        <v>59</v>
      </c>
      <c r="C151" t="s">
        <v>160</v>
      </c>
      <c r="D151">
        <v>2010</v>
      </c>
      <c r="E151">
        <v>947</v>
      </c>
      <c r="F151">
        <v>800</v>
      </c>
      <c r="G151">
        <f>4.5*25.4</f>
        <v>114.3</v>
      </c>
      <c r="H151" s="2">
        <f>3.26*25.4</f>
        <v>82.803999999999988</v>
      </c>
      <c r="I151" s="1">
        <v>5.6</v>
      </c>
      <c r="J151" s="3" t="s">
        <v>440</v>
      </c>
      <c r="K151" s="3" t="s">
        <v>178</v>
      </c>
      <c r="L151">
        <v>1</v>
      </c>
      <c r="M151">
        <v>0</v>
      </c>
      <c r="N151" s="1" t="s">
        <v>276</v>
      </c>
      <c r="O151" s="5" t="s">
        <v>570</v>
      </c>
      <c r="P151" s="11" t="s">
        <v>610</v>
      </c>
      <c r="Q151" s="9"/>
    </row>
    <row r="152" spans="1:17" x14ac:dyDescent="0.25">
      <c r="A152" s="5">
        <v>151</v>
      </c>
      <c r="B152" t="s">
        <v>59</v>
      </c>
      <c r="C152" t="s">
        <v>66</v>
      </c>
      <c r="D152">
        <v>2009</v>
      </c>
      <c r="E152">
        <v>2097</v>
      </c>
      <c r="F152">
        <v>1540</v>
      </c>
      <c r="G152">
        <f>8.1*25.4</f>
        <v>205.73999999999998</v>
      </c>
      <c r="H152" s="2">
        <f>3.4*25.4</f>
        <v>86.36</v>
      </c>
      <c r="I152" s="1">
        <v>2.8</v>
      </c>
      <c r="J152" s="3" t="s">
        <v>359</v>
      </c>
      <c r="K152" s="3" t="s">
        <v>178</v>
      </c>
      <c r="L152">
        <v>1</v>
      </c>
      <c r="M152">
        <v>0</v>
      </c>
      <c r="N152" s="1" t="s">
        <v>276</v>
      </c>
      <c r="O152" s="5" t="s">
        <v>571</v>
      </c>
      <c r="P152" s="11" t="s">
        <v>610</v>
      </c>
      <c r="Q152" s="9"/>
    </row>
    <row r="153" spans="1:17" x14ac:dyDescent="0.25">
      <c r="A153" s="5">
        <v>152</v>
      </c>
      <c r="B153" t="s">
        <v>59</v>
      </c>
      <c r="C153" t="s">
        <v>67</v>
      </c>
      <c r="D153">
        <v>2012</v>
      </c>
      <c r="E153">
        <v>1397</v>
      </c>
      <c r="F153">
        <v>850</v>
      </c>
      <c r="G153">
        <f>7*25.4</f>
        <v>177.79999999999998</v>
      </c>
      <c r="H153" s="2">
        <f>3.1*25.4</f>
        <v>78.739999999999995</v>
      </c>
      <c r="I153" s="1">
        <v>4</v>
      </c>
      <c r="J153" s="3" t="s">
        <v>359</v>
      </c>
      <c r="K153" s="3" t="s">
        <v>178</v>
      </c>
      <c r="L153">
        <v>1</v>
      </c>
      <c r="M153">
        <v>0</v>
      </c>
      <c r="N153" s="1" t="s">
        <v>276</v>
      </c>
      <c r="O153" s="5" t="s">
        <v>571</v>
      </c>
      <c r="P153" s="11" t="s">
        <v>610</v>
      </c>
      <c r="Q153" s="9"/>
    </row>
    <row r="154" spans="1:17" x14ac:dyDescent="0.25">
      <c r="A154" s="5">
        <v>153</v>
      </c>
      <c r="B154" t="s">
        <v>59</v>
      </c>
      <c r="C154" t="s">
        <v>88</v>
      </c>
      <c r="D154">
        <v>2006</v>
      </c>
      <c r="E154">
        <v>497</v>
      </c>
      <c r="F154">
        <v>745</v>
      </c>
      <c r="G154">
        <f>5.6*25.4</f>
        <v>142.23999999999998</v>
      </c>
      <c r="H154" s="2">
        <f>3.1*25.4</f>
        <v>78.739999999999995</v>
      </c>
      <c r="I154" s="1">
        <v>5.6</v>
      </c>
      <c r="J154" s="3" t="s">
        <v>349</v>
      </c>
      <c r="K154" s="3" t="s">
        <v>178</v>
      </c>
      <c r="L154">
        <v>1</v>
      </c>
      <c r="M154">
        <v>0</v>
      </c>
      <c r="N154" s="1" t="s">
        <v>276</v>
      </c>
      <c r="O154" s="5" t="s">
        <v>571</v>
      </c>
      <c r="P154" s="11" t="s">
        <v>610</v>
      </c>
      <c r="Q154" s="9"/>
    </row>
    <row r="155" spans="1:17" x14ac:dyDescent="0.25">
      <c r="A155" s="5">
        <v>154</v>
      </c>
      <c r="B155" t="s">
        <v>59</v>
      </c>
      <c r="C155" t="s">
        <v>92</v>
      </c>
      <c r="D155" s="11">
        <v>2013</v>
      </c>
      <c r="E155">
        <v>2297</v>
      </c>
      <c r="F155">
        <v>1570</v>
      </c>
      <c r="G155">
        <f>8*25.4</f>
        <v>203.2</v>
      </c>
      <c r="H155" s="2">
        <f>3.8*25.4</f>
        <v>96.52</v>
      </c>
      <c r="I155" s="11">
        <v>5.6</v>
      </c>
      <c r="J155" s="3" t="s">
        <v>446</v>
      </c>
      <c r="K155" s="3" t="s">
        <v>178</v>
      </c>
      <c r="L155">
        <v>1</v>
      </c>
      <c r="M155">
        <v>0</v>
      </c>
      <c r="N155" s="1" t="s">
        <v>276</v>
      </c>
      <c r="O155" s="5" t="s">
        <v>569</v>
      </c>
      <c r="P155" s="11" t="s">
        <v>610</v>
      </c>
      <c r="Q155" s="9"/>
    </row>
    <row r="156" spans="1:17" x14ac:dyDescent="0.25">
      <c r="A156" s="5">
        <v>155</v>
      </c>
      <c r="B156" t="s">
        <v>59</v>
      </c>
      <c r="C156" t="s">
        <v>343</v>
      </c>
      <c r="D156">
        <v>2009</v>
      </c>
      <c r="E156">
        <v>200</v>
      </c>
      <c r="F156">
        <v>210</v>
      </c>
      <c r="G156">
        <v>52.5</v>
      </c>
      <c r="H156" s="2">
        <v>70</v>
      </c>
      <c r="I156" s="1">
        <v>1.8</v>
      </c>
      <c r="J156" s="3" t="s">
        <v>70</v>
      </c>
      <c r="K156" s="3" t="s">
        <v>177</v>
      </c>
      <c r="L156">
        <v>0</v>
      </c>
      <c r="M156">
        <v>0</v>
      </c>
      <c r="N156" s="1" t="s">
        <v>291</v>
      </c>
      <c r="O156" s="5" t="s">
        <v>565</v>
      </c>
      <c r="P156" s="11" t="s">
        <v>610</v>
      </c>
      <c r="Q156" s="9"/>
    </row>
    <row r="157" spans="1:17" x14ac:dyDescent="0.25">
      <c r="A157" s="5">
        <v>156</v>
      </c>
      <c r="B157" t="s">
        <v>59</v>
      </c>
      <c r="C157" t="s">
        <v>357</v>
      </c>
      <c r="D157">
        <v>2016</v>
      </c>
      <c r="E157">
        <v>3397</v>
      </c>
      <c r="F157">
        <v>885</v>
      </c>
      <c r="G157">
        <v>124</v>
      </c>
      <c r="H157" s="7">
        <v>89</v>
      </c>
      <c r="I157" s="1">
        <v>4</v>
      </c>
      <c r="J157" s="3" t="s">
        <v>292</v>
      </c>
      <c r="K157" s="3" t="s">
        <v>177</v>
      </c>
      <c r="L157">
        <v>0</v>
      </c>
      <c r="M157">
        <v>0</v>
      </c>
      <c r="N157" s="1" t="s">
        <v>276</v>
      </c>
      <c r="O157" s="5" t="s">
        <v>563</v>
      </c>
      <c r="P157" s="11" t="s">
        <v>610</v>
      </c>
      <c r="Q157" s="9"/>
    </row>
    <row r="158" spans="1:17" x14ac:dyDescent="0.25">
      <c r="A158" s="5">
        <v>157</v>
      </c>
      <c r="B158" t="s">
        <v>59</v>
      </c>
      <c r="C158" t="s">
        <v>358</v>
      </c>
      <c r="D158">
        <v>2016</v>
      </c>
      <c r="E158">
        <v>2797</v>
      </c>
      <c r="F158">
        <v>1430</v>
      </c>
      <c r="G158">
        <v>202.5</v>
      </c>
      <c r="H158" s="2">
        <v>88.5</v>
      </c>
      <c r="I158" s="1">
        <v>2.8</v>
      </c>
      <c r="J158" s="3" t="s">
        <v>359</v>
      </c>
      <c r="K158" s="3" t="s">
        <v>178</v>
      </c>
      <c r="L158">
        <v>1</v>
      </c>
      <c r="M158">
        <v>0</v>
      </c>
      <c r="N158" s="1" t="s">
        <v>276</v>
      </c>
      <c r="O158" s="5" t="s">
        <v>571</v>
      </c>
      <c r="P158" s="11" t="s">
        <v>610</v>
      </c>
      <c r="Q158" s="9"/>
    </row>
    <row r="159" spans="1:17" x14ac:dyDescent="0.25">
      <c r="A159" s="5">
        <v>158</v>
      </c>
      <c r="B159" t="s">
        <v>59</v>
      </c>
      <c r="C159" t="s">
        <v>363</v>
      </c>
      <c r="D159">
        <v>2016</v>
      </c>
      <c r="E159">
        <v>397</v>
      </c>
      <c r="F159">
        <v>415</v>
      </c>
      <c r="G159">
        <v>125</v>
      </c>
      <c r="H159" s="2">
        <v>72</v>
      </c>
      <c r="I159" s="1">
        <v>4.5</v>
      </c>
      <c r="J159" s="3" t="s">
        <v>349</v>
      </c>
      <c r="K159" s="3" t="s">
        <v>178</v>
      </c>
      <c r="L159">
        <v>1</v>
      </c>
      <c r="M159">
        <v>0</v>
      </c>
      <c r="N159" s="1" t="s">
        <v>291</v>
      </c>
      <c r="O159" s="5" t="s">
        <v>571</v>
      </c>
      <c r="P159" s="11" t="s">
        <v>610</v>
      </c>
      <c r="Q159" s="9"/>
    </row>
    <row r="160" spans="1:17" x14ac:dyDescent="0.25">
      <c r="A160" s="5">
        <v>159</v>
      </c>
      <c r="B160" t="s">
        <v>59</v>
      </c>
      <c r="C160" t="s">
        <v>366</v>
      </c>
      <c r="D160">
        <v>2016</v>
      </c>
      <c r="E160">
        <v>2197</v>
      </c>
      <c r="F160">
        <v>985</v>
      </c>
      <c r="G160">
        <v>106</v>
      </c>
      <c r="H160" s="2">
        <v>94.5</v>
      </c>
      <c r="I160" s="1">
        <v>1.4</v>
      </c>
      <c r="J160" s="3" t="s">
        <v>80</v>
      </c>
      <c r="K160" s="3" t="s">
        <v>177</v>
      </c>
      <c r="L160">
        <v>0</v>
      </c>
      <c r="M160">
        <v>0</v>
      </c>
      <c r="N160" s="1" t="s">
        <v>276</v>
      </c>
      <c r="O160" s="5" t="s">
        <v>567</v>
      </c>
      <c r="P160" s="11" t="s">
        <v>610</v>
      </c>
      <c r="Q160" s="9"/>
    </row>
    <row r="161" spans="1:17" x14ac:dyDescent="0.25">
      <c r="A161" s="5">
        <v>160</v>
      </c>
      <c r="B161" t="s">
        <v>360</v>
      </c>
      <c r="C161" t="s">
        <v>361</v>
      </c>
      <c r="D161">
        <v>2016</v>
      </c>
      <c r="E161">
        <v>197</v>
      </c>
      <c r="F161">
        <v>195</v>
      </c>
      <c r="G161">
        <v>62.5</v>
      </c>
      <c r="H161" s="2">
        <v>64.5</v>
      </c>
      <c r="I161" s="1">
        <v>3.5</v>
      </c>
      <c r="J161" s="3" t="s">
        <v>362</v>
      </c>
      <c r="K161" s="3" t="s">
        <v>178</v>
      </c>
      <c r="L161">
        <v>0</v>
      </c>
      <c r="M161">
        <v>0</v>
      </c>
      <c r="N161" s="1" t="s">
        <v>291</v>
      </c>
      <c r="O161" s="5" t="s">
        <v>565</v>
      </c>
      <c r="P161" s="11" t="s">
        <v>610</v>
      </c>
      <c r="Q161" s="9"/>
    </row>
    <row r="162" spans="1:17" x14ac:dyDescent="0.25">
      <c r="A162" s="5">
        <v>161</v>
      </c>
      <c r="B162" t="s">
        <v>360</v>
      </c>
      <c r="C162" t="s">
        <v>365</v>
      </c>
      <c r="D162" s="11">
        <v>2016</v>
      </c>
      <c r="E162">
        <v>347</v>
      </c>
      <c r="F162">
        <v>400</v>
      </c>
      <c r="G162">
        <v>125</v>
      </c>
      <c r="H162" s="2">
        <v>72</v>
      </c>
      <c r="I162" s="1">
        <v>4.5</v>
      </c>
      <c r="J162" s="3" t="s">
        <v>349</v>
      </c>
      <c r="K162" s="3" t="s">
        <v>178</v>
      </c>
      <c r="L162">
        <v>0</v>
      </c>
      <c r="M162">
        <v>0</v>
      </c>
      <c r="N162" s="1" t="s">
        <v>291</v>
      </c>
      <c r="O162" s="5" t="s">
        <v>569</v>
      </c>
      <c r="P162" s="11" t="s">
        <v>610</v>
      </c>
      <c r="Q162" s="9"/>
    </row>
    <row r="163" spans="1:17" x14ac:dyDescent="0.25">
      <c r="A163" s="5">
        <v>162</v>
      </c>
      <c r="B163" t="s">
        <v>360</v>
      </c>
      <c r="C163" t="s">
        <v>364</v>
      </c>
      <c r="D163">
        <v>2016</v>
      </c>
      <c r="E163">
        <v>247</v>
      </c>
      <c r="F163">
        <v>205</v>
      </c>
      <c r="G163">
        <v>62.5</v>
      </c>
      <c r="H163" s="2">
        <v>64.5</v>
      </c>
      <c r="I163" s="1">
        <v>3.5</v>
      </c>
      <c r="J163" s="3" t="s">
        <v>362</v>
      </c>
      <c r="K163" s="3" t="s">
        <v>178</v>
      </c>
      <c r="L163">
        <v>1</v>
      </c>
      <c r="M163">
        <v>0</v>
      </c>
      <c r="N163" s="1" t="s">
        <v>291</v>
      </c>
      <c r="O163" s="5" t="s">
        <v>565</v>
      </c>
      <c r="P163" s="11" t="s">
        <v>610</v>
      </c>
      <c r="Q163" s="9"/>
    </row>
    <row r="164" spans="1:17" x14ac:dyDescent="0.25">
      <c r="A164" s="5">
        <v>163</v>
      </c>
      <c r="B164" t="s">
        <v>426</v>
      </c>
      <c r="C164" t="s">
        <v>427</v>
      </c>
      <c r="D164" s="1">
        <v>2016</v>
      </c>
      <c r="E164">
        <v>299</v>
      </c>
      <c r="F164">
        <v>128</v>
      </c>
      <c r="G164">
        <v>60</v>
      </c>
      <c r="H164" s="2">
        <v>57</v>
      </c>
      <c r="I164" s="1">
        <v>3.5</v>
      </c>
      <c r="J164" s="3" t="s">
        <v>293</v>
      </c>
      <c r="K164" s="3" t="s">
        <v>177</v>
      </c>
      <c r="L164">
        <v>0</v>
      </c>
      <c r="M164">
        <v>0</v>
      </c>
      <c r="N164" s="1" t="s">
        <v>284</v>
      </c>
      <c r="O164" s="5" t="s">
        <v>566</v>
      </c>
      <c r="P164" s="11" t="s">
        <v>610</v>
      </c>
      <c r="Q164" s="9"/>
    </row>
    <row r="165" spans="1:17" x14ac:dyDescent="0.25">
      <c r="A165" s="5">
        <v>164</v>
      </c>
      <c r="B165" t="s">
        <v>426</v>
      </c>
      <c r="C165" t="s">
        <v>428</v>
      </c>
      <c r="D165" s="1">
        <v>2016</v>
      </c>
      <c r="E165">
        <v>1199</v>
      </c>
      <c r="F165">
        <v>410</v>
      </c>
      <c r="G165">
        <v>87</v>
      </c>
      <c r="H165" s="2">
        <v>70</v>
      </c>
      <c r="I165" s="1">
        <v>1.2</v>
      </c>
      <c r="J165" s="3" t="s">
        <v>138</v>
      </c>
      <c r="K165" s="3" t="s">
        <v>177</v>
      </c>
      <c r="L165">
        <v>0</v>
      </c>
      <c r="M165">
        <v>0</v>
      </c>
      <c r="N165" s="1" t="s">
        <v>284</v>
      </c>
      <c r="O165" s="5" t="s">
        <v>565</v>
      </c>
      <c r="P165" s="11" t="s">
        <v>610</v>
      </c>
      <c r="Q165" s="9"/>
    </row>
    <row r="166" spans="1:17" x14ac:dyDescent="0.25">
      <c r="A166" s="5">
        <v>165</v>
      </c>
      <c r="B166" t="s">
        <v>426</v>
      </c>
      <c r="C166" t="s">
        <v>429</v>
      </c>
      <c r="D166" s="1">
        <v>2016</v>
      </c>
      <c r="E166">
        <v>1299</v>
      </c>
      <c r="F166">
        <v>561</v>
      </c>
      <c r="G166">
        <v>116.5</v>
      </c>
      <c r="H166" s="2">
        <v>77.5</v>
      </c>
      <c r="I166" s="1">
        <v>4</v>
      </c>
      <c r="J166" s="3" t="s">
        <v>430</v>
      </c>
      <c r="K166" s="3" t="s">
        <v>178</v>
      </c>
      <c r="L166">
        <v>1</v>
      </c>
      <c r="M166">
        <v>0</v>
      </c>
      <c r="N166" s="1" t="s">
        <v>284</v>
      </c>
      <c r="O166" s="5" t="s">
        <v>565</v>
      </c>
      <c r="P166" s="11" t="s">
        <v>610</v>
      </c>
      <c r="Q166" s="9"/>
    </row>
    <row r="167" spans="1:17" x14ac:dyDescent="0.25">
      <c r="A167" s="5">
        <v>166</v>
      </c>
      <c r="B167" t="s">
        <v>421</v>
      </c>
      <c r="C167" t="s">
        <v>109</v>
      </c>
      <c r="D167">
        <v>2009</v>
      </c>
      <c r="E167">
        <v>299</v>
      </c>
      <c r="F167">
        <v>552</v>
      </c>
      <c r="G167">
        <f>3.78*25.4</f>
        <v>96.011999999999986</v>
      </c>
      <c r="H167" s="2">
        <f>3.43*25.4</f>
        <v>87.122</v>
      </c>
      <c r="I167" s="1">
        <v>2.8</v>
      </c>
      <c r="J167" s="3" t="s">
        <v>110</v>
      </c>
      <c r="K167" s="3" t="s">
        <v>177</v>
      </c>
      <c r="L167">
        <v>0</v>
      </c>
      <c r="M167">
        <v>0</v>
      </c>
      <c r="N167" s="1" t="s">
        <v>276</v>
      </c>
      <c r="O167" s="5" t="s">
        <v>562</v>
      </c>
      <c r="P167" s="11" t="s">
        <v>619</v>
      </c>
      <c r="Q167" s="11" t="s">
        <v>619</v>
      </c>
    </row>
    <row r="168" spans="1:17" s="1" customFormat="1" x14ac:dyDescent="0.25">
      <c r="A168" s="5">
        <v>167</v>
      </c>
      <c r="B168" s="1" t="s">
        <v>421</v>
      </c>
      <c r="C168" s="1" t="s">
        <v>657</v>
      </c>
      <c r="D168" s="1">
        <v>2016</v>
      </c>
      <c r="E168" s="1">
        <v>2145</v>
      </c>
      <c r="F168" s="1">
        <v>1170</v>
      </c>
      <c r="G168" s="1">
        <v>88.3</v>
      </c>
      <c r="H168" s="1">
        <v>117.6</v>
      </c>
      <c r="I168" s="1">
        <v>2.8</v>
      </c>
      <c r="J168" s="3" t="s">
        <v>110</v>
      </c>
      <c r="K168" s="3" t="s">
        <v>177</v>
      </c>
      <c r="L168" s="1">
        <v>0</v>
      </c>
      <c r="M168" s="1">
        <v>1</v>
      </c>
      <c r="N168" s="1" t="s">
        <v>276</v>
      </c>
      <c r="O168" s="5" t="s">
        <v>562</v>
      </c>
      <c r="P168" s="11" t="s">
        <v>619</v>
      </c>
      <c r="Q168" s="11" t="s">
        <v>619</v>
      </c>
    </row>
    <row r="169" spans="1:17" x14ac:dyDescent="0.25">
      <c r="A169" s="5">
        <v>168</v>
      </c>
      <c r="B169" t="s">
        <v>421</v>
      </c>
      <c r="C169" t="s">
        <v>111</v>
      </c>
      <c r="D169">
        <v>2011</v>
      </c>
      <c r="E169">
        <v>549</v>
      </c>
      <c r="F169" s="9">
        <f>1.4*453</f>
        <v>634.19999999999993</v>
      </c>
      <c r="G169">
        <f>3.84*25.4</f>
        <v>97.535999999999987</v>
      </c>
      <c r="H169" s="2">
        <f>3.27*25.4</f>
        <v>83.057999999999993</v>
      </c>
      <c r="I169" s="1">
        <v>1.4</v>
      </c>
      <c r="J169" s="3" t="s">
        <v>96</v>
      </c>
      <c r="K169" s="3" t="s">
        <v>177</v>
      </c>
      <c r="L169">
        <v>0</v>
      </c>
      <c r="M169">
        <v>0</v>
      </c>
      <c r="N169" s="1" t="s">
        <v>276</v>
      </c>
      <c r="O169" s="5" t="s">
        <v>564</v>
      </c>
      <c r="P169" s="11" t="s">
        <v>619</v>
      </c>
      <c r="Q169" s="11" t="s">
        <v>619</v>
      </c>
    </row>
    <row r="170" spans="1:17" x14ac:dyDescent="0.25">
      <c r="A170" s="5">
        <v>169</v>
      </c>
      <c r="B170" t="s">
        <v>421</v>
      </c>
      <c r="C170" t="s">
        <v>658</v>
      </c>
      <c r="D170">
        <v>2015</v>
      </c>
      <c r="E170">
        <v>2145</v>
      </c>
      <c r="F170">
        <v>1180</v>
      </c>
      <c r="G170">
        <v>121.7</v>
      </c>
      <c r="H170" s="11">
        <v>117.6</v>
      </c>
      <c r="I170" s="1">
        <v>1.4</v>
      </c>
      <c r="J170" s="3" t="s">
        <v>96</v>
      </c>
      <c r="K170" s="3" t="s">
        <v>177</v>
      </c>
      <c r="L170">
        <v>0</v>
      </c>
      <c r="M170">
        <v>1</v>
      </c>
      <c r="N170" s="1" t="s">
        <v>276</v>
      </c>
      <c r="O170" s="5" t="s">
        <v>564</v>
      </c>
      <c r="P170" s="11" t="s">
        <v>619</v>
      </c>
      <c r="Q170" s="11" t="s">
        <v>619</v>
      </c>
    </row>
    <row r="171" spans="1:17" x14ac:dyDescent="0.25">
      <c r="A171" s="5">
        <v>170</v>
      </c>
      <c r="B171" t="s">
        <v>421</v>
      </c>
      <c r="C171" t="s">
        <v>112</v>
      </c>
      <c r="D171" s="1">
        <v>2010</v>
      </c>
      <c r="E171">
        <v>407</v>
      </c>
      <c r="F171">
        <v>710</v>
      </c>
      <c r="G171">
        <f>4.39*25.4</f>
        <v>111.50599999999999</v>
      </c>
      <c r="H171" s="2">
        <f>3.27*25.4</f>
        <v>83.057999999999993</v>
      </c>
      <c r="I171" s="1">
        <v>1.4</v>
      </c>
      <c r="J171" s="3" t="s">
        <v>70</v>
      </c>
      <c r="K171" s="3" t="s">
        <v>177</v>
      </c>
      <c r="L171">
        <v>0</v>
      </c>
      <c r="M171">
        <v>0</v>
      </c>
      <c r="N171" s="1" t="s">
        <v>276</v>
      </c>
      <c r="O171" s="5" t="s">
        <v>564</v>
      </c>
      <c r="P171" s="11" t="s">
        <v>619</v>
      </c>
      <c r="Q171" s="11" t="s">
        <v>619</v>
      </c>
    </row>
    <row r="172" spans="1:17" x14ac:dyDescent="0.25">
      <c r="A172" s="5">
        <v>171</v>
      </c>
      <c r="B172" s="11" t="s">
        <v>421</v>
      </c>
      <c r="C172" t="s">
        <v>659</v>
      </c>
      <c r="D172" s="11">
        <v>2016</v>
      </c>
      <c r="E172">
        <v>2145</v>
      </c>
      <c r="F172">
        <v>1375</v>
      </c>
      <c r="G172">
        <v>121.7</v>
      </c>
      <c r="H172" s="11">
        <v>117.6</v>
      </c>
      <c r="I172" s="1">
        <v>1.4</v>
      </c>
      <c r="J172" s="3" t="s">
        <v>70</v>
      </c>
      <c r="K172" s="3" t="s">
        <v>177</v>
      </c>
      <c r="L172">
        <v>0</v>
      </c>
      <c r="M172">
        <v>1</v>
      </c>
      <c r="N172" s="1" t="s">
        <v>276</v>
      </c>
      <c r="O172" s="5" t="s">
        <v>564</v>
      </c>
      <c r="P172" s="11" t="s">
        <v>619</v>
      </c>
      <c r="Q172" s="11" t="s">
        <v>619</v>
      </c>
    </row>
    <row r="173" spans="1:17" x14ac:dyDescent="0.25">
      <c r="A173" s="5">
        <v>172</v>
      </c>
      <c r="B173" s="11" t="s">
        <v>421</v>
      </c>
      <c r="C173" s="1" t="s">
        <v>113</v>
      </c>
      <c r="D173" s="1">
        <v>2014</v>
      </c>
      <c r="E173">
        <v>399</v>
      </c>
      <c r="F173">
        <v>536</v>
      </c>
      <c r="G173">
        <f>2.9*25.4</f>
        <v>73.66</v>
      </c>
      <c r="H173" s="2">
        <f>3.2*25.4</f>
        <v>81.28</v>
      </c>
      <c r="I173" s="1">
        <v>1.4</v>
      </c>
      <c r="J173" s="3" t="s">
        <v>74</v>
      </c>
      <c r="K173" s="3" t="s">
        <v>177</v>
      </c>
      <c r="L173">
        <v>0</v>
      </c>
      <c r="M173">
        <v>0</v>
      </c>
      <c r="N173" s="1" t="s">
        <v>276</v>
      </c>
      <c r="O173" s="5" t="s">
        <v>565</v>
      </c>
      <c r="P173" s="11" t="s">
        <v>619</v>
      </c>
      <c r="Q173" s="11" t="s">
        <v>619</v>
      </c>
    </row>
    <row r="174" spans="1:17" x14ac:dyDescent="0.25">
      <c r="A174" s="5">
        <v>173</v>
      </c>
      <c r="B174" s="11" t="s">
        <v>421</v>
      </c>
      <c r="C174" t="s">
        <v>660</v>
      </c>
      <c r="D174">
        <v>2015</v>
      </c>
      <c r="E174">
        <v>2145</v>
      </c>
      <c r="F174">
        <v>1160</v>
      </c>
      <c r="G174">
        <v>121.7</v>
      </c>
      <c r="H174" s="11">
        <v>117.6</v>
      </c>
      <c r="I174" s="1">
        <v>1.4</v>
      </c>
      <c r="J174" s="3" t="s">
        <v>74</v>
      </c>
      <c r="K174" s="3" t="s">
        <v>177</v>
      </c>
      <c r="L174">
        <v>0</v>
      </c>
      <c r="M174">
        <v>1</v>
      </c>
      <c r="N174" s="1" t="s">
        <v>276</v>
      </c>
      <c r="O174" s="5" t="s">
        <v>565</v>
      </c>
      <c r="P174" s="11" t="s">
        <v>619</v>
      </c>
      <c r="Q174" s="11" t="s">
        <v>619</v>
      </c>
    </row>
    <row r="175" spans="1:17" x14ac:dyDescent="0.25">
      <c r="A175" s="5">
        <v>174</v>
      </c>
      <c r="B175" s="11" t="s">
        <v>421</v>
      </c>
      <c r="C175" t="s">
        <v>114</v>
      </c>
      <c r="D175">
        <v>2009</v>
      </c>
      <c r="E175">
        <v>267</v>
      </c>
      <c r="F175">
        <v>540</v>
      </c>
      <c r="G175">
        <f>2.94*25.4</f>
        <v>74.675999999999988</v>
      </c>
      <c r="H175" s="2">
        <f>3.07*25.4</f>
        <v>77.977999999999994</v>
      </c>
      <c r="I175" s="1">
        <v>1.4</v>
      </c>
      <c r="J175" s="3" t="s">
        <v>77</v>
      </c>
      <c r="K175" s="3" t="s">
        <v>177</v>
      </c>
      <c r="L175">
        <v>0</v>
      </c>
      <c r="M175">
        <v>0</v>
      </c>
      <c r="N175" s="1" t="s">
        <v>276</v>
      </c>
      <c r="O175" s="5" t="s">
        <v>567</v>
      </c>
      <c r="P175" s="11" t="s">
        <v>619</v>
      </c>
      <c r="Q175" s="11" t="s">
        <v>619</v>
      </c>
    </row>
    <row r="176" spans="1:17" x14ac:dyDescent="0.25">
      <c r="A176" s="5">
        <v>175</v>
      </c>
      <c r="B176" s="11" t="s">
        <v>421</v>
      </c>
      <c r="C176" t="s">
        <v>661</v>
      </c>
      <c r="D176">
        <v>2015</v>
      </c>
      <c r="E176">
        <v>2145</v>
      </c>
      <c r="F176">
        <v>1245</v>
      </c>
      <c r="G176">
        <v>121.7</v>
      </c>
      <c r="H176" s="11">
        <v>117.6</v>
      </c>
      <c r="I176" s="11">
        <v>1.4</v>
      </c>
      <c r="J176" s="3" t="s">
        <v>77</v>
      </c>
      <c r="K176" s="3" t="s">
        <v>177</v>
      </c>
      <c r="L176">
        <v>0</v>
      </c>
      <c r="M176">
        <v>1</v>
      </c>
      <c r="N176" s="1" t="s">
        <v>276</v>
      </c>
      <c r="O176" s="5" t="s">
        <v>567</v>
      </c>
      <c r="P176" s="11" t="s">
        <v>619</v>
      </c>
      <c r="Q176" s="11" t="s">
        <v>619</v>
      </c>
    </row>
    <row r="177" spans="1:17" x14ac:dyDescent="0.25">
      <c r="A177" s="5">
        <v>176</v>
      </c>
      <c r="B177" s="11" t="s">
        <v>421</v>
      </c>
      <c r="C177" t="s">
        <v>345</v>
      </c>
      <c r="D177">
        <v>2016</v>
      </c>
      <c r="E177">
        <v>700</v>
      </c>
      <c r="F177">
        <v>585</v>
      </c>
      <c r="G177">
        <v>98</v>
      </c>
      <c r="H177" s="7">
        <v>67</v>
      </c>
      <c r="I177" s="1">
        <v>1.4</v>
      </c>
      <c r="J177" s="3" t="s">
        <v>74</v>
      </c>
      <c r="K177" s="3" t="s">
        <v>177</v>
      </c>
      <c r="L177">
        <v>0</v>
      </c>
      <c r="M177">
        <v>0</v>
      </c>
      <c r="N177" s="1" t="s">
        <v>276</v>
      </c>
      <c r="O177" s="5" t="s">
        <v>565</v>
      </c>
      <c r="P177" s="11" t="s">
        <v>619</v>
      </c>
      <c r="Q177" s="11" t="s">
        <v>619</v>
      </c>
    </row>
    <row r="178" spans="1:17" x14ac:dyDescent="0.25">
      <c r="A178" s="5">
        <v>177</v>
      </c>
      <c r="B178" s="11" t="s">
        <v>421</v>
      </c>
      <c r="C178" t="s">
        <v>662</v>
      </c>
      <c r="D178">
        <v>2016</v>
      </c>
      <c r="E178">
        <v>2195</v>
      </c>
      <c r="F178">
        <v>2500</v>
      </c>
      <c r="G178">
        <v>122</v>
      </c>
      <c r="H178" s="2">
        <v>118</v>
      </c>
      <c r="I178" s="1">
        <v>2.2000000000000002</v>
      </c>
      <c r="J178" s="3" t="s">
        <v>125</v>
      </c>
      <c r="K178" s="3" t="s">
        <v>177</v>
      </c>
      <c r="L178">
        <v>1</v>
      </c>
      <c r="M178">
        <v>1</v>
      </c>
      <c r="N178" s="1" t="s">
        <v>276</v>
      </c>
      <c r="O178" s="5" t="s">
        <v>568</v>
      </c>
      <c r="P178" s="11" t="s">
        <v>619</v>
      </c>
      <c r="Q178" s="11" t="s">
        <v>619</v>
      </c>
    </row>
    <row r="179" spans="1:17" x14ac:dyDescent="0.25">
      <c r="A179" s="5">
        <v>178</v>
      </c>
      <c r="B179" t="s">
        <v>211</v>
      </c>
      <c r="C179" t="s">
        <v>212</v>
      </c>
      <c r="D179" s="1">
        <v>2014</v>
      </c>
      <c r="E179">
        <v>8288</v>
      </c>
      <c r="F179">
        <v>1610</v>
      </c>
      <c r="G179">
        <f>5.7*25.4</f>
        <v>144.78</v>
      </c>
      <c r="H179" s="2">
        <f>4.92*25.4</f>
        <v>124.96799999999999</v>
      </c>
      <c r="I179" s="1">
        <v>4.5</v>
      </c>
      <c r="J179" s="3" t="s">
        <v>69</v>
      </c>
      <c r="K179" s="3" t="s">
        <v>177</v>
      </c>
      <c r="L179">
        <v>0</v>
      </c>
      <c r="M179">
        <v>0</v>
      </c>
      <c r="N179" s="1" t="s">
        <v>276</v>
      </c>
      <c r="O179" s="5" t="s">
        <v>563</v>
      </c>
      <c r="P179" s="11" t="s">
        <v>613</v>
      </c>
      <c r="Q179" s="11" t="s">
        <v>613</v>
      </c>
    </row>
    <row r="180" spans="1:17" x14ac:dyDescent="0.25">
      <c r="A180" s="5">
        <v>179</v>
      </c>
      <c r="B180" t="s">
        <v>211</v>
      </c>
      <c r="C180" t="s">
        <v>261</v>
      </c>
      <c r="D180" s="1">
        <v>2010</v>
      </c>
      <c r="E180" s="1">
        <v>3365</v>
      </c>
      <c r="F180">
        <v>1400</v>
      </c>
      <c r="G180">
        <f>4.25*25.4</f>
        <v>107.94999999999999</v>
      </c>
      <c r="H180" s="2">
        <f>5.08*25.4</f>
        <v>129.03199999999998</v>
      </c>
      <c r="I180" s="1">
        <v>2.8</v>
      </c>
      <c r="J180" s="3" t="s">
        <v>74</v>
      </c>
      <c r="K180" s="3" t="s">
        <v>177</v>
      </c>
      <c r="L180">
        <v>0</v>
      </c>
      <c r="M180">
        <v>0</v>
      </c>
      <c r="N180" s="1" t="s">
        <v>276</v>
      </c>
      <c r="O180" s="5" t="s">
        <v>563</v>
      </c>
      <c r="P180" s="11" t="s">
        <v>613</v>
      </c>
      <c r="Q180" s="11" t="s">
        <v>613</v>
      </c>
    </row>
    <row r="181" spans="1:17" x14ac:dyDescent="0.25">
      <c r="A181" s="5">
        <v>180</v>
      </c>
      <c r="B181" t="s">
        <v>211</v>
      </c>
      <c r="C181" t="s">
        <v>262</v>
      </c>
      <c r="D181" s="1">
        <v>2010</v>
      </c>
      <c r="E181">
        <v>3180</v>
      </c>
      <c r="F181">
        <v>1110</v>
      </c>
      <c r="G181">
        <f>5.46*25.4</f>
        <v>138.684</v>
      </c>
      <c r="H181" s="2">
        <f>4.25*25.4</f>
        <v>107.94999999999999</v>
      </c>
      <c r="I181" s="1">
        <v>4.5</v>
      </c>
      <c r="J181" s="3" t="s">
        <v>171</v>
      </c>
      <c r="K181" s="3" t="s">
        <v>177</v>
      </c>
      <c r="L181">
        <v>0</v>
      </c>
      <c r="M181">
        <v>0</v>
      </c>
      <c r="N181" s="1" t="s">
        <v>276</v>
      </c>
      <c r="O181" s="5" t="s">
        <v>563</v>
      </c>
      <c r="P181" s="11" t="s">
        <v>613</v>
      </c>
      <c r="Q181" s="11" t="s">
        <v>613</v>
      </c>
    </row>
    <row r="182" spans="1:17" x14ac:dyDescent="0.25">
      <c r="A182" s="5">
        <v>181</v>
      </c>
      <c r="B182" t="s">
        <v>100</v>
      </c>
      <c r="C182" t="s">
        <v>294</v>
      </c>
      <c r="D182" s="1">
        <v>2012</v>
      </c>
      <c r="E182" s="1">
        <v>199</v>
      </c>
      <c r="F182" s="9">
        <v>150</v>
      </c>
      <c r="G182">
        <f>1.8*25.4</f>
        <v>45.72</v>
      </c>
      <c r="H182" s="2">
        <f>2.39*25.4</f>
        <v>60.706000000000003</v>
      </c>
      <c r="I182" s="1">
        <v>2.8</v>
      </c>
      <c r="J182" s="3" t="s">
        <v>292</v>
      </c>
      <c r="K182" s="3" t="s">
        <v>177</v>
      </c>
      <c r="L182">
        <v>0</v>
      </c>
      <c r="M182">
        <v>0</v>
      </c>
      <c r="N182" s="1" t="s">
        <v>284</v>
      </c>
      <c r="O182" s="5" t="s">
        <v>564</v>
      </c>
      <c r="P182" s="11" t="s">
        <v>610</v>
      </c>
      <c r="Q182" s="9"/>
    </row>
    <row r="183" spans="1:17" x14ac:dyDescent="0.25">
      <c r="A183" s="5">
        <v>182</v>
      </c>
      <c r="B183" t="s">
        <v>100</v>
      </c>
      <c r="C183" t="s">
        <v>115</v>
      </c>
      <c r="D183" s="1">
        <v>2015</v>
      </c>
      <c r="E183" s="1">
        <v>899</v>
      </c>
      <c r="F183">
        <v>950</v>
      </c>
      <c r="G183">
        <f>5.11*25.4</f>
        <v>129.79400000000001</v>
      </c>
      <c r="H183" s="7">
        <f>3.57*25.4</f>
        <v>90.677999999999997</v>
      </c>
      <c r="I183" s="1">
        <v>1.4</v>
      </c>
      <c r="J183" s="3" t="s">
        <v>116</v>
      </c>
      <c r="K183" s="3" t="s">
        <v>177</v>
      </c>
      <c r="L183">
        <v>0</v>
      </c>
      <c r="M183">
        <v>0</v>
      </c>
      <c r="N183" s="1" t="s">
        <v>276</v>
      </c>
      <c r="O183" s="5" t="s">
        <v>562</v>
      </c>
      <c r="P183" s="11" t="s">
        <v>610</v>
      </c>
      <c r="Q183" s="9"/>
    </row>
    <row r="184" spans="1:17" x14ac:dyDescent="0.25">
      <c r="A184" s="5">
        <v>183</v>
      </c>
      <c r="B184" t="s">
        <v>100</v>
      </c>
      <c r="C184" t="s">
        <v>117</v>
      </c>
      <c r="D184" s="1">
        <v>2015</v>
      </c>
      <c r="E184" s="1">
        <v>850</v>
      </c>
      <c r="F184">
        <v>665</v>
      </c>
      <c r="G184">
        <f>3.55*25.4</f>
        <v>90.169999999999987</v>
      </c>
      <c r="H184" s="2">
        <f>3.35*25.4</f>
        <v>85.09</v>
      </c>
      <c r="I184" s="1">
        <v>1.4</v>
      </c>
      <c r="J184" s="3" t="s">
        <v>96</v>
      </c>
      <c r="K184" s="3" t="s">
        <v>177</v>
      </c>
      <c r="L184">
        <v>0</v>
      </c>
      <c r="M184">
        <v>0</v>
      </c>
      <c r="N184" s="1" t="s">
        <v>276</v>
      </c>
      <c r="O184" s="5" t="s">
        <v>564</v>
      </c>
      <c r="P184" s="11" t="s">
        <v>610</v>
      </c>
      <c r="Q184" s="9"/>
    </row>
    <row r="185" spans="1:17" x14ac:dyDescent="0.25">
      <c r="A185" s="5">
        <v>184</v>
      </c>
      <c r="B185" t="s">
        <v>100</v>
      </c>
      <c r="C185" t="s">
        <v>295</v>
      </c>
      <c r="D185" s="1">
        <v>2012</v>
      </c>
      <c r="E185" s="1">
        <v>199</v>
      </c>
      <c r="F185" s="9">
        <v>150</v>
      </c>
      <c r="G185">
        <f>1.59*25.4</f>
        <v>40.386000000000003</v>
      </c>
      <c r="H185" s="2">
        <f>2.39*25.4</f>
        <v>60.706000000000003</v>
      </c>
      <c r="I185" s="1">
        <v>2.8</v>
      </c>
      <c r="J185" s="3" t="s">
        <v>293</v>
      </c>
      <c r="K185" s="3" t="s">
        <v>177</v>
      </c>
      <c r="L185">
        <v>0</v>
      </c>
      <c r="M185">
        <v>0</v>
      </c>
      <c r="N185" s="1" t="s">
        <v>284</v>
      </c>
      <c r="O185" s="5" t="s">
        <v>565</v>
      </c>
      <c r="P185" s="11" t="s">
        <v>610</v>
      </c>
      <c r="Q185" s="9"/>
    </row>
    <row r="186" spans="1:17" x14ac:dyDescent="0.25">
      <c r="A186" s="5">
        <v>185</v>
      </c>
      <c r="B186" t="s">
        <v>100</v>
      </c>
      <c r="C186" t="s">
        <v>297</v>
      </c>
      <c r="D186" s="1">
        <v>2016</v>
      </c>
      <c r="E186">
        <v>339</v>
      </c>
      <c r="F186">
        <v>265</v>
      </c>
      <c r="G186">
        <f>2.89*25.4</f>
        <v>73.406000000000006</v>
      </c>
      <c r="H186" s="2">
        <f>2.55*25.4</f>
        <v>64.77</v>
      </c>
      <c r="I186" s="1">
        <v>1.4</v>
      </c>
      <c r="J186" s="3" t="s">
        <v>293</v>
      </c>
      <c r="K186" s="3" t="s">
        <v>177</v>
      </c>
      <c r="L186">
        <v>0</v>
      </c>
      <c r="M186">
        <v>0</v>
      </c>
      <c r="N186" s="1" t="s">
        <v>291</v>
      </c>
      <c r="O186" s="5" t="s">
        <v>565</v>
      </c>
      <c r="P186" s="11" t="s">
        <v>610</v>
      </c>
      <c r="Q186" s="9"/>
    </row>
    <row r="187" spans="1:17" x14ac:dyDescent="0.25">
      <c r="A187" s="5">
        <v>186</v>
      </c>
      <c r="B187" t="s">
        <v>100</v>
      </c>
      <c r="C187" t="s">
        <v>118</v>
      </c>
      <c r="D187" s="1">
        <v>2012</v>
      </c>
      <c r="E187">
        <v>899</v>
      </c>
      <c r="F187">
        <v>665</v>
      </c>
      <c r="G187">
        <f>3.7*25.4</f>
        <v>93.98</v>
      </c>
      <c r="H187" s="2">
        <f>3.03*25.4</f>
        <v>76.961999999999989</v>
      </c>
      <c r="I187" s="1">
        <v>1.4</v>
      </c>
      <c r="J187" s="3" t="s">
        <v>70</v>
      </c>
      <c r="K187" s="3" t="s">
        <v>177</v>
      </c>
      <c r="L187">
        <v>0</v>
      </c>
      <c r="M187">
        <v>0</v>
      </c>
      <c r="N187" s="1" t="s">
        <v>276</v>
      </c>
      <c r="O187" s="5" t="s">
        <v>564</v>
      </c>
      <c r="P187" s="11" t="s">
        <v>610</v>
      </c>
      <c r="Q187" s="9"/>
    </row>
    <row r="188" spans="1:17" x14ac:dyDescent="0.25">
      <c r="A188" s="5">
        <v>187</v>
      </c>
      <c r="B188" t="s">
        <v>100</v>
      </c>
      <c r="C188" t="s">
        <v>119</v>
      </c>
      <c r="D188" s="1">
        <v>2014</v>
      </c>
      <c r="E188">
        <v>949</v>
      </c>
      <c r="F188">
        <v>815</v>
      </c>
      <c r="G188">
        <f>3.93*25.4</f>
        <v>99.822000000000003</v>
      </c>
      <c r="H188" s="2">
        <f>3.36*25.4</f>
        <v>85.343999999999994</v>
      </c>
      <c r="I188" s="1">
        <v>1.4</v>
      </c>
      <c r="J188" s="3" t="s">
        <v>74</v>
      </c>
      <c r="K188" s="3" t="s">
        <v>177</v>
      </c>
      <c r="L188">
        <v>0</v>
      </c>
      <c r="M188">
        <v>0</v>
      </c>
      <c r="N188" s="1" t="s">
        <v>276</v>
      </c>
      <c r="O188" s="5" t="s">
        <v>565</v>
      </c>
      <c r="P188" s="11" t="s">
        <v>610</v>
      </c>
      <c r="Q188" s="9"/>
    </row>
    <row r="189" spans="1:17" x14ac:dyDescent="0.25">
      <c r="A189" s="5">
        <v>188</v>
      </c>
      <c r="B189" t="s">
        <v>100</v>
      </c>
      <c r="C189" t="s">
        <v>296</v>
      </c>
      <c r="D189" s="11">
        <v>2012</v>
      </c>
      <c r="E189">
        <v>209</v>
      </c>
      <c r="F189" s="9">
        <v>150</v>
      </c>
      <c r="G189">
        <f>2.2*25.4</f>
        <v>55.88</v>
      </c>
      <c r="H189" s="2">
        <f>2.4*25.4</f>
        <v>60.959999999999994</v>
      </c>
      <c r="I189" s="1">
        <v>2.8</v>
      </c>
      <c r="J189" s="3" t="s">
        <v>90</v>
      </c>
      <c r="K189" s="3" t="s">
        <v>177</v>
      </c>
      <c r="L189">
        <v>0</v>
      </c>
      <c r="M189">
        <v>0</v>
      </c>
      <c r="N189" s="1" t="s">
        <v>284</v>
      </c>
      <c r="O189" s="5" t="s">
        <v>568</v>
      </c>
      <c r="P189" s="11" t="s">
        <v>610</v>
      </c>
      <c r="Q189" s="9"/>
    </row>
    <row r="190" spans="1:17" x14ac:dyDescent="0.25">
      <c r="A190" s="5">
        <v>189</v>
      </c>
      <c r="B190" t="s">
        <v>100</v>
      </c>
      <c r="C190" t="s">
        <v>122</v>
      </c>
      <c r="D190" s="1">
        <v>2010</v>
      </c>
      <c r="E190">
        <v>969</v>
      </c>
      <c r="F190">
        <v>725</v>
      </c>
      <c r="G190">
        <f>3.4*25.4</f>
        <v>86.36</v>
      </c>
      <c r="H190" s="2">
        <f>3.4*25.4</f>
        <v>86.36</v>
      </c>
      <c r="I190" s="1">
        <v>1.4</v>
      </c>
      <c r="J190" s="3" t="s">
        <v>77</v>
      </c>
      <c r="K190" s="3" t="s">
        <v>177</v>
      </c>
      <c r="L190">
        <v>0</v>
      </c>
      <c r="M190">
        <v>0</v>
      </c>
      <c r="N190" s="1" t="s">
        <v>276</v>
      </c>
      <c r="O190" s="5" t="s">
        <v>567</v>
      </c>
      <c r="P190" s="11" t="s">
        <v>610</v>
      </c>
      <c r="Q190" s="9"/>
    </row>
    <row r="191" spans="1:17" x14ac:dyDescent="0.25">
      <c r="A191" s="5">
        <v>190</v>
      </c>
      <c r="B191" t="s">
        <v>100</v>
      </c>
      <c r="C191" t="s">
        <v>121</v>
      </c>
      <c r="D191" s="1">
        <v>2012</v>
      </c>
      <c r="E191">
        <v>3599</v>
      </c>
      <c r="F191">
        <v>3390</v>
      </c>
      <c r="G191">
        <f>11.46*25.4</f>
        <v>291.084</v>
      </c>
      <c r="H191" s="2">
        <f>4.78*25.4</f>
        <v>121.41200000000001</v>
      </c>
      <c r="I191" s="1">
        <v>2.8</v>
      </c>
      <c r="J191" s="3" t="s">
        <v>445</v>
      </c>
      <c r="K191" s="3" t="s">
        <v>178</v>
      </c>
      <c r="L191">
        <v>1</v>
      </c>
      <c r="M191">
        <v>0</v>
      </c>
      <c r="N191" s="1" t="s">
        <v>276</v>
      </c>
      <c r="O191" s="5" t="s">
        <v>568</v>
      </c>
      <c r="P191" s="11" t="s">
        <v>610</v>
      </c>
      <c r="Q191" s="9"/>
    </row>
    <row r="192" spans="1:17" x14ac:dyDescent="0.25">
      <c r="A192" s="5">
        <v>191</v>
      </c>
      <c r="B192" t="s">
        <v>100</v>
      </c>
      <c r="C192" t="s">
        <v>120</v>
      </c>
      <c r="D192" s="1">
        <v>2015</v>
      </c>
      <c r="E192">
        <v>999</v>
      </c>
      <c r="F192">
        <v>941</v>
      </c>
      <c r="G192">
        <f>4.8*25.4</f>
        <v>121.91999999999999</v>
      </c>
      <c r="H192" s="2">
        <f>3.4*25.4</f>
        <v>86.36</v>
      </c>
      <c r="I192" s="1">
        <v>2</v>
      </c>
      <c r="J192" s="3" t="s">
        <v>444</v>
      </c>
      <c r="K192" s="3" t="s">
        <v>178</v>
      </c>
      <c r="L192">
        <v>0</v>
      </c>
      <c r="M192">
        <v>0</v>
      </c>
      <c r="N192" s="1" t="s">
        <v>276</v>
      </c>
      <c r="O192" s="5" t="s">
        <v>564</v>
      </c>
      <c r="P192" s="11" t="s">
        <v>610</v>
      </c>
      <c r="Q192" s="9"/>
    </row>
    <row r="193" spans="1:17" x14ac:dyDescent="0.25">
      <c r="A193" s="5">
        <v>192</v>
      </c>
      <c r="B193" t="s">
        <v>100</v>
      </c>
      <c r="C193" t="s">
        <v>341</v>
      </c>
      <c r="D193" s="1">
        <v>2015</v>
      </c>
      <c r="E193">
        <v>989</v>
      </c>
      <c r="F193">
        <v>1950</v>
      </c>
      <c r="G193">
        <v>259</v>
      </c>
      <c r="H193" s="7">
        <v>104</v>
      </c>
      <c r="I193" s="1">
        <v>5</v>
      </c>
      <c r="J193" s="3" t="s">
        <v>408</v>
      </c>
      <c r="K193" s="3" t="s">
        <v>178</v>
      </c>
      <c r="L193">
        <v>1</v>
      </c>
      <c r="M193">
        <v>0</v>
      </c>
      <c r="N193" s="1" t="s">
        <v>276</v>
      </c>
      <c r="O193" s="5" t="s">
        <v>569</v>
      </c>
      <c r="P193" s="11" t="s">
        <v>610</v>
      </c>
      <c r="Q193" s="9"/>
    </row>
    <row r="194" spans="1:17" x14ac:dyDescent="0.25">
      <c r="A194" s="5">
        <v>193</v>
      </c>
      <c r="B194" t="s">
        <v>100</v>
      </c>
      <c r="C194" t="s">
        <v>342</v>
      </c>
      <c r="D194" s="1">
        <v>2015</v>
      </c>
      <c r="E194">
        <v>1999</v>
      </c>
      <c r="F194">
        <v>2860</v>
      </c>
      <c r="G194">
        <v>290</v>
      </c>
      <c r="H194" s="2">
        <v>122</v>
      </c>
      <c r="I194" s="1">
        <v>5</v>
      </c>
      <c r="J194" s="3" t="s">
        <v>408</v>
      </c>
      <c r="K194" s="3" t="s">
        <v>178</v>
      </c>
      <c r="L194">
        <v>1</v>
      </c>
      <c r="M194">
        <v>0</v>
      </c>
      <c r="N194" s="1" t="s">
        <v>276</v>
      </c>
      <c r="O194" s="5" t="s">
        <v>569</v>
      </c>
      <c r="P194" s="11" t="s">
        <v>610</v>
      </c>
      <c r="Q194" s="9"/>
    </row>
    <row r="195" spans="1:17" x14ac:dyDescent="0.25">
      <c r="A195" s="5">
        <v>194</v>
      </c>
      <c r="B195" t="s">
        <v>100</v>
      </c>
      <c r="C195" t="s">
        <v>400</v>
      </c>
      <c r="D195" s="11">
        <v>2016</v>
      </c>
      <c r="E195">
        <v>1199</v>
      </c>
      <c r="G195" s="11">
        <v>126.2</v>
      </c>
      <c r="H195" s="7">
        <v>94.7</v>
      </c>
      <c r="I195" s="1">
        <v>1.4</v>
      </c>
      <c r="J195" s="3" t="s">
        <v>77</v>
      </c>
      <c r="K195" s="3" t="s">
        <v>177</v>
      </c>
      <c r="L195">
        <v>0</v>
      </c>
      <c r="M195">
        <v>0</v>
      </c>
      <c r="N195" s="1" t="s">
        <v>276</v>
      </c>
      <c r="O195" s="5" t="s">
        <v>567</v>
      </c>
      <c r="P195" s="11" t="s">
        <v>610</v>
      </c>
      <c r="Q195" s="9"/>
    </row>
    <row r="196" spans="1:17" x14ac:dyDescent="0.25">
      <c r="A196" s="5">
        <v>195</v>
      </c>
      <c r="B196" t="s">
        <v>100</v>
      </c>
      <c r="C196" t="s">
        <v>401</v>
      </c>
      <c r="D196" s="1">
        <v>2016</v>
      </c>
      <c r="E196">
        <v>1599</v>
      </c>
      <c r="F196">
        <v>1150</v>
      </c>
      <c r="G196">
        <v>131.5</v>
      </c>
      <c r="H196" s="7">
        <v>102</v>
      </c>
      <c r="I196" s="1">
        <v>4</v>
      </c>
      <c r="J196" s="3" t="s">
        <v>402</v>
      </c>
      <c r="K196" s="3" t="s">
        <v>178</v>
      </c>
      <c r="L196">
        <v>0</v>
      </c>
      <c r="M196">
        <v>0</v>
      </c>
      <c r="N196" s="1" t="s">
        <v>276</v>
      </c>
      <c r="O196" s="5" t="s">
        <v>562</v>
      </c>
      <c r="P196" s="11" t="s">
        <v>610</v>
      </c>
      <c r="Q196" s="9"/>
    </row>
    <row r="197" spans="1:17" x14ac:dyDescent="0.25">
      <c r="A197" s="5">
        <v>196</v>
      </c>
      <c r="B197" t="s">
        <v>100</v>
      </c>
      <c r="C197" t="s">
        <v>403</v>
      </c>
      <c r="D197" s="1">
        <v>2016</v>
      </c>
      <c r="E197">
        <v>5999</v>
      </c>
      <c r="F197">
        <v>3310</v>
      </c>
      <c r="G197">
        <v>380.3</v>
      </c>
      <c r="H197" s="7">
        <v>144.80000000000001</v>
      </c>
      <c r="I197" s="1">
        <v>4</v>
      </c>
      <c r="J197" s="3" t="s">
        <v>404</v>
      </c>
      <c r="K197" s="3" t="s">
        <v>177</v>
      </c>
      <c r="L197">
        <v>1</v>
      </c>
      <c r="M197">
        <v>0</v>
      </c>
      <c r="N197" s="1" t="s">
        <v>276</v>
      </c>
      <c r="O197" s="5" t="s">
        <v>569</v>
      </c>
      <c r="P197" s="11" t="s">
        <v>610</v>
      </c>
      <c r="Q197" s="9"/>
    </row>
    <row r="198" spans="1:17" x14ac:dyDescent="0.25">
      <c r="A198" s="5">
        <v>197</v>
      </c>
      <c r="B198" t="s">
        <v>100</v>
      </c>
      <c r="C198" t="s">
        <v>405</v>
      </c>
      <c r="D198" s="1">
        <v>2016</v>
      </c>
      <c r="E198">
        <v>1099</v>
      </c>
      <c r="F198">
        <v>1490</v>
      </c>
      <c r="G198">
        <v>170.7</v>
      </c>
      <c r="H198" s="7">
        <v>93.5</v>
      </c>
      <c r="I198" s="1">
        <v>1.8</v>
      </c>
      <c r="J198" s="3" t="s">
        <v>406</v>
      </c>
      <c r="K198" s="3" t="s">
        <v>178</v>
      </c>
      <c r="L198">
        <v>0</v>
      </c>
      <c r="M198">
        <v>0</v>
      </c>
      <c r="N198" s="1" t="s">
        <v>291</v>
      </c>
      <c r="O198" s="5" t="s">
        <v>571</v>
      </c>
      <c r="P198" s="11" t="s">
        <v>610</v>
      </c>
      <c r="Q198" s="9"/>
    </row>
    <row r="199" spans="1:17" x14ac:dyDescent="0.25">
      <c r="A199" s="5">
        <v>198</v>
      </c>
      <c r="B199" t="s">
        <v>165</v>
      </c>
      <c r="C199" t="s">
        <v>169</v>
      </c>
      <c r="D199" s="1">
        <v>2015</v>
      </c>
      <c r="E199">
        <v>448</v>
      </c>
      <c r="F199">
        <v>200</v>
      </c>
      <c r="G199">
        <f>2.36*25.4</f>
        <v>59.943999999999996</v>
      </c>
      <c r="H199" s="2">
        <f>2.52*25.4</f>
        <v>64.007999999999996</v>
      </c>
      <c r="I199" s="1">
        <v>2</v>
      </c>
      <c r="J199" s="3" t="s">
        <v>69</v>
      </c>
      <c r="K199" s="3" t="s">
        <v>177</v>
      </c>
      <c r="L199">
        <v>0</v>
      </c>
      <c r="M199">
        <v>0</v>
      </c>
      <c r="N199" s="1" t="s">
        <v>276</v>
      </c>
      <c r="O199" s="5" t="s">
        <v>564</v>
      </c>
      <c r="P199" s="11" t="s">
        <v>610</v>
      </c>
      <c r="Q199" s="9"/>
    </row>
    <row r="200" spans="1:17" x14ac:dyDescent="0.25">
      <c r="A200" s="5">
        <v>199</v>
      </c>
      <c r="B200" t="s">
        <v>165</v>
      </c>
      <c r="C200" t="s">
        <v>167</v>
      </c>
      <c r="D200" s="1">
        <v>2013</v>
      </c>
      <c r="E200">
        <v>798</v>
      </c>
      <c r="F200">
        <v>120</v>
      </c>
      <c r="G200">
        <f>1.44*25.4</f>
        <v>36.575999999999993</v>
      </c>
      <c r="H200" s="2">
        <f>2.42*25.4</f>
        <v>61.467999999999996</v>
      </c>
      <c r="I200" s="1">
        <v>2.8</v>
      </c>
      <c r="J200" s="3" t="s">
        <v>70</v>
      </c>
      <c r="K200" s="3" t="s">
        <v>177</v>
      </c>
      <c r="L200">
        <v>0</v>
      </c>
      <c r="M200">
        <v>0</v>
      </c>
      <c r="N200" s="1" t="s">
        <v>276</v>
      </c>
      <c r="O200" s="5" t="s">
        <v>564</v>
      </c>
      <c r="P200" s="11" t="s">
        <v>610</v>
      </c>
      <c r="Q200" s="9"/>
    </row>
    <row r="201" spans="1:17" x14ac:dyDescent="0.25">
      <c r="A201" s="5">
        <v>200</v>
      </c>
      <c r="B201" t="s">
        <v>165</v>
      </c>
      <c r="C201" t="s">
        <v>168</v>
      </c>
      <c r="D201" s="1">
        <v>2015</v>
      </c>
      <c r="E201">
        <v>1598</v>
      </c>
      <c r="F201">
        <v>630</v>
      </c>
      <c r="G201">
        <f>4.41*25.4</f>
        <v>112.014</v>
      </c>
      <c r="H201" s="2">
        <f>3.09*25.4</f>
        <v>78.48599999999999</v>
      </c>
      <c r="I201" s="1">
        <v>1.4</v>
      </c>
      <c r="J201" s="3" t="s">
        <v>70</v>
      </c>
      <c r="K201" s="3" t="s">
        <v>177</v>
      </c>
      <c r="L201">
        <v>0</v>
      </c>
      <c r="M201">
        <v>0</v>
      </c>
      <c r="N201" s="1" t="s">
        <v>276</v>
      </c>
      <c r="O201" s="5" t="s">
        <v>564</v>
      </c>
      <c r="P201" s="11" t="s">
        <v>610</v>
      </c>
      <c r="Q201" s="9"/>
    </row>
    <row r="202" spans="1:17" x14ac:dyDescent="0.25">
      <c r="A202" s="5">
        <v>201</v>
      </c>
      <c r="B202" t="s">
        <v>165</v>
      </c>
      <c r="C202" t="s">
        <v>301</v>
      </c>
      <c r="D202" s="1">
        <v>2016</v>
      </c>
      <c r="E202">
        <v>248</v>
      </c>
      <c r="F202">
        <v>186</v>
      </c>
      <c r="G202">
        <f>2.34*25.4</f>
        <v>59.435999999999993</v>
      </c>
      <c r="H202" s="2">
        <f>2.7*25.4</f>
        <v>68.58</v>
      </c>
      <c r="I202" s="1">
        <v>1.8</v>
      </c>
      <c r="J202" s="3" t="s">
        <v>74</v>
      </c>
      <c r="K202" s="3" t="s">
        <v>177</v>
      </c>
      <c r="L202">
        <v>0</v>
      </c>
      <c r="M202">
        <v>0</v>
      </c>
      <c r="N202" s="1" t="s">
        <v>276</v>
      </c>
      <c r="O202" s="5" t="s">
        <v>565</v>
      </c>
      <c r="P202" s="11" t="s">
        <v>610</v>
      </c>
      <c r="Q202" s="9"/>
    </row>
    <row r="203" spans="1:17" x14ac:dyDescent="0.25">
      <c r="A203" s="5">
        <v>202</v>
      </c>
      <c r="B203" t="s">
        <v>165</v>
      </c>
      <c r="C203" t="s">
        <v>166</v>
      </c>
      <c r="D203" s="1">
        <v>2013</v>
      </c>
      <c r="E203">
        <v>998</v>
      </c>
      <c r="F203">
        <v>281</v>
      </c>
      <c r="G203" s="1">
        <f>2.78*25.4</f>
        <v>70.611999999999995</v>
      </c>
      <c r="H203" s="2">
        <f>2.54*25.4</f>
        <v>64.515999999999991</v>
      </c>
      <c r="I203" s="1">
        <v>1.8</v>
      </c>
      <c r="J203" s="3" t="s">
        <v>149</v>
      </c>
      <c r="K203" s="3" t="s">
        <v>177</v>
      </c>
      <c r="L203">
        <v>0</v>
      </c>
      <c r="M203">
        <v>0</v>
      </c>
      <c r="N203" s="1" t="s">
        <v>276</v>
      </c>
      <c r="O203" s="5" t="s">
        <v>565</v>
      </c>
      <c r="P203" s="11" t="s">
        <v>610</v>
      </c>
      <c r="Q203" s="9"/>
    </row>
    <row r="204" spans="1:17" x14ac:dyDescent="0.25">
      <c r="A204" s="5">
        <v>203</v>
      </c>
      <c r="B204" t="s">
        <v>165</v>
      </c>
      <c r="C204" t="s">
        <v>299</v>
      </c>
      <c r="D204" s="1">
        <v>2016</v>
      </c>
      <c r="E204">
        <v>1798</v>
      </c>
      <c r="F204">
        <v>820</v>
      </c>
      <c r="G204" s="1">
        <f>4.23*25.4</f>
        <v>107.44200000000001</v>
      </c>
      <c r="H204" s="2">
        <f>3.52*25.4</f>
        <v>89.408000000000001</v>
      </c>
      <c r="I204" s="1">
        <v>1.4</v>
      </c>
      <c r="J204" s="3" t="s">
        <v>77</v>
      </c>
      <c r="K204" s="3" t="s">
        <v>177</v>
      </c>
      <c r="L204">
        <v>0</v>
      </c>
      <c r="M204">
        <v>0</v>
      </c>
      <c r="N204" s="1" t="s">
        <v>276</v>
      </c>
      <c r="O204" s="5" t="s">
        <v>567</v>
      </c>
      <c r="P204" s="11" t="s">
        <v>610</v>
      </c>
      <c r="Q204" s="9"/>
    </row>
    <row r="205" spans="1:17" x14ac:dyDescent="0.25">
      <c r="A205" s="5">
        <v>204</v>
      </c>
      <c r="B205" t="s">
        <v>165</v>
      </c>
      <c r="C205" t="s">
        <v>170</v>
      </c>
      <c r="D205" s="1">
        <v>2015</v>
      </c>
      <c r="E205">
        <v>602</v>
      </c>
      <c r="F205">
        <f>5.14*25.4</f>
        <v>130.55599999999998</v>
      </c>
      <c r="G205" s="1">
        <f>5.14*25.4</f>
        <v>130.55599999999998</v>
      </c>
      <c r="H205" s="11">
        <f>3.11*25.4</f>
        <v>78.993999999999986</v>
      </c>
      <c r="I205" s="1">
        <v>2.8</v>
      </c>
      <c r="J205" s="3" t="s">
        <v>171</v>
      </c>
      <c r="K205" s="3" t="s">
        <v>177</v>
      </c>
      <c r="L205">
        <v>1</v>
      </c>
      <c r="M205">
        <v>0</v>
      </c>
      <c r="N205" s="1" t="s">
        <v>276</v>
      </c>
      <c r="O205" s="5" t="s">
        <v>566</v>
      </c>
      <c r="P205" s="11" t="s">
        <v>610</v>
      </c>
      <c r="Q205" s="9"/>
    </row>
    <row r="206" spans="1:17" x14ac:dyDescent="0.25">
      <c r="A206" s="5">
        <v>205</v>
      </c>
      <c r="B206" t="s">
        <v>165</v>
      </c>
      <c r="C206" t="s">
        <v>172</v>
      </c>
      <c r="D206" s="1">
        <v>2014</v>
      </c>
      <c r="E206">
        <v>1348</v>
      </c>
      <c r="F206">
        <v>518</v>
      </c>
      <c r="G206">
        <f>3.88*25.4</f>
        <v>98.551999999999992</v>
      </c>
      <c r="H206" s="7">
        <f>3.07*25.4</f>
        <v>77.977999999999994</v>
      </c>
      <c r="I206" s="1">
        <v>4</v>
      </c>
      <c r="J206" s="3" t="s">
        <v>443</v>
      </c>
      <c r="K206" s="3" t="s">
        <v>178</v>
      </c>
      <c r="L206">
        <v>1</v>
      </c>
      <c r="M206">
        <v>0</v>
      </c>
      <c r="N206" s="1" t="s">
        <v>276</v>
      </c>
      <c r="O206" s="5" t="s">
        <v>562</v>
      </c>
      <c r="P206" s="11" t="s">
        <v>610</v>
      </c>
      <c r="Q206" s="9"/>
    </row>
    <row r="207" spans="1:17" x14ac:dyDescent="0.25">
      <c r="A207" s="5">
        <v>206</v>
      </c>
      <c r="B207" t="s">
        <v>165</v>
      </c>
      <c r="C207" t="s">
        <v>174</v>
      </c>
      <c r="D207" s="1">
        <v>2015</v>
      </c>
      <c r="E207">
        <v>998</v>
      </c>
      <c r="F207" s="1">
        <v>780</v>
      </c>
      <c r="G207" s="1">
        <f>4.67*25.4</f>
        <v>118.61799999999999</v>
      </c>
      <c r="H207" s="2">
        <f>3.17*25.4</f>
        <v>80.518000000000001</v>
      </c>
      <c r="I207" s="1">
        <v>6.3</v>
      </c>
      <c r="J207" s="3" t="s">
        <v>442</v>
      </c>
      <c r="K207" s="3" t="s">
        <v>178</v>
      </c>
      <c r="L207">
        <v>1</v>
      </c>
      <c r="M207">
        <v>0</v>
      </c>
      <c r="N207" s="1" t="s">
        <v>276</v>
      </c>
      <c r="O207" s="5" t="s">
        <v>570</v>
      </c>
      <c r="P207" s="11" t="s">
        <v>610</v>
      </c>
      <c r="Q207" s="9"/>
    </row>
    <row r="208" spans="1:17" x14ac:dyDescent="0.25">
      <c r="A208" s="5">
        <v>207</v>
      </c>
      <c r="B208" t="s">
        <v>165</v>
      </c>
      <c r="C208" s="1" t="s">
        <v>173</v>
      </c>
      <c r="D208" s="1">
        <v>2013</v>
      </c>
      <c r="E208">
        <v>1198</v>
      </c>
      <c r="F208">
        <v>430</v>
      </c>
      <c r="G208">
        <f>3.72*254</f>
        <v>944.88</v>
      </c>
      <c r="H208" s="11">
        <f>2.87*25.4</f>
        <v>72.897999999999996</v>
      </c>
      <c r="I208" s="1">
        <v>4</v>
      </c>
      <c r="J208" s="3" t="s">
        <v>436</v>
      </c>
      <c r="K208" s="3" t="s">
        <v>178</v>
      </c>
      <c r="L208">
        <v>1</v>
      </c>
      <c r="M208">
        <v>0</v>
      </c>
      <c r="N208" s="1" t="s">
        <v>276</v>
      </c>
      <c r="O208" s="5" t="s">
        <v>565</v>
      </c>
      <c r="P208" s="11" t="s">
        <v>610</v>
      </c>
      <c r="Q208" s="9"/>
    </row>
    <row r="209" spans="1:17" x14ac:dyDescent="0.25">
      <c r="A209" s="5">
        <v>208</v>
      </c>
      <c r="B209" t="s">
        <v>165</v>
      </c>
      <c r="C209" s="1" t="s">
        <v>305</v>
      </c>
      <c r="D209" s="1">
        <v>2016</v>
      </c>
      <c r="E209">
        <v>2198</v>
      </c>
      <c r="F209">
        <v>886</v>
      </c>
      <c r="G209" s="1">
        <f>5.35*24.5</f>
        <v>131.07499999999999</v>
      </c>
      <c r="H209" s="2">
        <f>3.45*25.4</f>
        <v>87.63</v>
      </c>
      <c r="I209" s="1">
        <v>2.8</v>
      </c>
      <c r="J209" s="3" t="s">
        <v>436</v>
      </c>
      <c r="K209" s="3" t="s">
        <v>178</v>
      </c>
      <c r="L209">
        <v>1</v>
      </c>
      <c r="M209">
        <v>0</v>
      </c>
      <c r="N209" s="1" t="s">
        <v>276</v>
      </c>
      <c r="O209" s="5" t="s">
        <v>565</v>
      </c>
      <c r="P209" s="11" t="s">
        <v>610</v>
      </c>
      <c r="Q209" s="9"/>
    </row>
    <row r="210" spans="1:17" x14ac:dyDescent="0.25">
      <c r="A210" s="5">
        <v>209</v>
      </c>
      <c r="B210" t="s">
        <v>165</v>
      </c>
      <c r="C210" s="1" t="s">
        <v>175</v>
      </c>
      <c r="D210" s="1">
        <v>2014</v>
      </c>
      <c r="E210">
        <v>2498</v>
      </c>
      <c r="F210">
        <v>1215</v>
      </c>
      <c r="G210" s="1">
        <f>6.5*25.4</f>
        <v>165.1</v>
      </c>
      <c r="H210" s="2">
        <f>4*25.4</f>
        <v>101.6</v>
      </c>
      <c r="I210" s="1">
        <v>4</v>
      </c>
      <c r="J210" s="3" t="s">
        <v>441</v>
      </c>
      <c r="K210" s="3" t="s">
        <v>178</v>
      </c>
      <c r="L210">
        <v>1</v>
      </c>
      <c r="M210">
        <v>0</v>
      </c>
      <c r="N210" s="1" t="s">
        <v>276</v>
      </c>
      <c r="O210" s="5" t="s">
        <v>565</v>
      </c>
      <c r="P210" s="11" t="s">
        <v>610</v>
      </c>
      <c r="Q210" s="9"/>
    </row>
    <row r="211" spans="1:17" x14ac:dyDescent="0.25">
      <c r="A211" s="5">
        <v>210</v>
      </c>
      <c r="B211" t="s">
        <v>165</v>
      </c>
      <c r="C211" s="1" t="s">
        <v>677</v>
      </c>
      <c r="D211" s="1">
        <v>2013</v>
      </c>
      <c r="E211">
        <v>1498</v>
      </c>
      <c r="F211">
        <v>840</v>
      </c>
      <c r="G211" s="1">
        <f>6.89*25.4</f>
        <v>175.00599999999997</v>
      </c>
      <c r="H211" s="2">
        <f>3.15*25.4</f>
        <v>80.009999999999991</v>
      </c>
      <c r="I211" s="1">
        <v>4</v>
      </c>
      <c r="J211" s="3" t="s">
        <v>359</v>
      </c>
      <c r="K211" s="3" t="s">
        <v>178</v>
      </c>
      <c r="L211">
        <v>1</v>
      </c>
      <c r="M211">
        <v>0</v>
      </c>
      <c r="N211" s="1" t="s">
        <v>276</v>
      </c>
      <c r="O211" s="5" t="s">
        <v>571</v>
      </c>
      <c r="P211" s="11" t="s">
        <v>610</v>
      </c>
      <c r="Q211" s="9"/>
    </row>
    <row r="212" spans="1:17" x14ac:dyDescent="0.25">
      <c r="A212" s="5">
        <v>211</v>
      </c>
      <c r="B212" t="s">
        <v>165</v>
      </c>
      <c r="C212" t="s">
        <v>304</v>
      </c>
      <c r="D212" s="1">
        <v>2016</v>
      </c>
      <c r="E212">
        <v>3000</v>
      </c>
      <c r="F212">
        <v>1480</v>
      </c>
      <c r="G212" s="1">
        <f>7.87*25.4</f>
        <v>199.898</v>
      </c>
      <c r="H212" s="2">
        <f>3.46*25.4</f>
        <v>87.884</v>
      </c>
      <c r="I212" s="1">
        <v>2.8</v>
      </c>
      <c r="J212" s="3" t="s">
        <v>359</v>
      </c>
      <c r="K212" s="3" t="s">
        <v>178</v>
      </c>
      <c r="L212">
        <v>1</v>
      </c>
      <c r="M212">
        <v>0</v>
      </c>
      <c r="N212" s="1" t="s">
        <v>276</v>
      </c>
      <c r="O212" s="5" t="s">
        <v>571</v>
      </c>
      <c r="P212" s="11" t="s">
        <v>610</v>
      </c>
      <c r="Q212" s="9"/>
    </row>
    <row r="213" spans="1:17" x14ac:dyDescent="0.25">
      <c r="A213" s="5">
        <v>212</v>
      </c>
      <c r="B213" t="s">
        <v>165</v>
      </c>
      <c r="C213" t="s">
        <v>302</v>
      </c>
      <c r="D213" s="1">
        <v>2016</v>
      </c>
      <c r="E213">
        <v>1198</v>
      </c>
      <c r="F213">
        <v>854</v>
      </c>
      <c r="G213">
        <f>5.65*25.4</f>
        <v>143.51</v>
      </c>
      <c r="H213" s="7">
        <f>3.31*25.4</f>
        <v>84.073999999999998</v>
      </c>
      <c r="I213" s="1">
        <v>5.6</v>
      </c>
      <c r="J213" s="3" t="s">
        <v>349</v>
      </c>
      <c r="K213" s="3" t="s">
        <v>178</v>
      </c>
      <c r="L213">
        <v>1</v>
      </c>
      <c r="M213">
        <v>0</v>
      </c>
      <c r="N213" s="1" t="s">
        <v>276</v>
      </c>
      <c r="O213" s="5" t="s">
        <v>571</v>
      </c>
      <c r="P213" s="11" t="s">
        <v>610</v>
      </c>
      <c r="Q213" s="9"/>
    </row>
    <row r="214" spans="1:17" x14ac:dyDescent="0.25">
      <c r="A214" s="5">
        <v>213</v>
      </c>
      <c r="B214" t="s">
        <v>165</v>
      </c>
      <c r="C214" t="s">
        <v>330</v>
      </c>
      <c r="D214" s="1">
        <v>2016</v>
      </c>
      <c r="E214">
        <v>1498</v>
      </c>
      <c r="F214">
        <v>778</v>
      </c>
      <c r="G214">
        <v>108</v>
      </c>
      <c r="H214" s="2">
        <v>83.5</v>
      </c>
      <c r="I214" s="1">
        <v>1.4</v>
      </c>
      <c r="J214" s="3" t="s">
        <v>74</v>
      </c>
      <c r="K214" s="3" t="s">
        <v>177</v>
      </c>
      <c r="L214">
        <v>0</v>
      </c>
      <c r="M214">
        <v>0</v>
      </c>
      <c r="N214" s="1" t="s">
        <v>276</v>
      </c>
      <c r="O214" s="5" t="s">
        <v>565</v>
      </c>
      <c r="P214" s="11" t="s">
        <v>610</v>
      </c>
      <c r="Q214" s="9"/>
    </row>
    <row r="215" spans="1:17" x14ac:dyDescent="0.25">
      <c r="A215" s="5">
        <v>214</v>
      </c>
      <c r="B215" t="s">
        <v>180</v>
      </c>
      <c r="C215" t="s">
        <v>186</v>
      </c>
      <c r="D215" s="1">
        <v>2015</v>
      </c>
      <c r="E215">
        <v>599</v>
      </c>
      <c r="F215">
        <v>450.77</v>
      </c>
      <c r="G215">
        <f>3.1*25.4</f>
        <v>78.739999999999995</v>
      </c>
      <c r="H215" s="2">
        <f>3.17*25.4</f>
        <v>80.518000000000001</v>
      </c>
      <c r="I215" s="1">
        <v>1.8</v>
      </c>
      <c r="J215" s="3" t="s">
        <v>70</v>
      </c>
      <c r="K215" s="3" t="s">
        <v>177</v>
      </c>
      <c r="L215">
        <v>1</v>
      </c>
      <c r="M215">
        <v>0</v>
      </c>
      <c r="N215" s="1" t="s">
        <v>276</v>
      </c>
      <c r="O215" s="5" t="s">
        <v>564</v>
      </c>
      <c r="P215" s="11" t="s">
        <v>610</v>
      </c>
      <c r="Q215" s="9"/>
    </row>
    <row r="216" spans="1:17" x14ac:dyDescent="0.25">
      <c r="A216" s="5">
        <v>215</v>
      </c>
      <c r="B216" t="s">
        <v>180</v>
      </c>
      <c r="C216" t="s">
        <v>187</v>
      </c>
      <c r="D216" s="1">
        <v>2015</v>
      </c>
      <c r="E216">
        <v>599</v>
      </c>
      <c r="F216">
        <v>498.95</v>
      </c>
      <c r="G216">
        <f>3.5*25.4</f>
        <v>88.899999999999991</v>
      </c>
      <c r="H216" s="2">
        <f>3.17</f>
        <v>3.17</v>
      </c>
      <c r="I216" s="1">
        <v>1.8</v>
      </c>
      <c r="J216" s="3" t="s">
        <v>98</v>
      </c>
      <c r="K216" s="3" t="s">
        <v>177</v>
      </c>
      <c r="L216">
        <v>1</v>
      </c>
      <c r="M216">
        <v>0</v>
      </c>
      <c r="N216" s="1" t="s">
        <v>276</v>
      </c>
      <c r="O216" s="5" t="s">
        <v>565</v>
      </c>
      <c r="P216" s="11" t="s">
        <v>610</v>
      </c>
      <c r="Q216" s="9"/>
    </row>
    <row r="217" spans="1:17" x14ac:dyDescent="0.25">
      <c r="A217" s="5">
        <v>216</v>
      </c>
      <c r="B217" t="s">
        <v>180</v>
      </c>
      <c r="C217" t="s">
        <v>197</v>
      </c>
      <c r="D217">
        <v>2012</v>
      </c>
      <c r="E217">
        <v>749</v>
      </c>
      <c r="F217">
        <v>550</v>
      </c>
      <c r="G217">
        <f>4.51*25.4</f>
        <v>114.55399999999999</v>
      </c>
      <c r="H217" s="2">
        <f>3.01*25.4</f>
        <v>76.453999999999994</v>
      </c>
      <c r="I217" s="1">
        <v>2.8</v>
      </c>
      <c r="J217" s="3" t="s">
        <v>171</v>
      </c>
      <c r="K217" s="3" t="s">
        <v>177</v>
      </c>
      <c r="L217">
        <v>1</v>
      </c>
      <c r="M217">
        <v>0</v>
      </c>
      <c r="N217" s="1" t="s">
        <v>276</v>
      </c>
      <c r="O217" s="5" t="s">
        <v>566</v>
      </c>
      <c r="P217" s="11" t="s">
        <v>610</v>
      </c>
      <c r="Q217" s="9"/>
    </row>
    <row r="218" spans="1:17" x14ac:dyDescent="0.25">
      <c r="A218" s="5">
        <v>217</v>
      </c>
      <c r="B218" t="s">
        <v>180</v>
      </c>
      <c r="C218" t="s">
        <v>183</v>
      </c>
      <c r="D218" s="1">
        <v>2013</v>
      </c>
      <c r="E218" s="1">
        <v>1069</v>
      </c>
      <c r="F218">
        <v>1950</v>
      </c>
      <c r="G218">
        <f>10.15*25.4</f>
        <v>257.81</v>
      </c>
      <c r="H218" s="2">
        <f>4.16*25.4</f>
        <v>105.664</v>
      </c>
      <c r="I218" s="1">
        <v>6.3</v>
      </c>
      <c r="J218" s="3" t="s">
        <v>408</v>
      </c>
      <c r="K218" s="3" t="s">
        <v>178</v>
      </c>
      <c r="L218">
        <v>1</v>
      </c>
      <c r="M218">
        <v>0</v>
      </c>
      <c r="N218" s="1" t="s">
        <v>276</v>
      </c>
      <c r="O218" s="5" t="s">
        <v>569</v>
      </c>
      <c r="P218" s="11" t="s">
        <v>610</v>
      </c>
      <c r="Q218" s="9"/>
    </row>
    <row r="219" spans="1:17" x14ac:dyDescent="0.25">
      <c r="A219" s="5">
        <v>218</v>
      </c>
      <c r="B219" t="s">
        <v>180</v>
      </c>
      <c r="C219" t="s">
        <v>181</v>
      </c>
      <c r="D219">
        <v>2014</v>
      </c>
      <c r="E219">
        <v>1199</v>
      </c>
      <c r="F219">
        <v>1100</v>
      </c>
      <c r="G219">
        <f>5.63*25.4</f>
        <v>143.00199999999998</v>
      </c>
      <c r="H219" s="7">
        <f>3.87*25.4</f>
        <v>98.298000000000002</v>
      </c>
      <c r="I219" s="1">
        <v>2.8</v>
      </c>
      <c r="J219" s="3" t="s">
        <v>434</v>
      </c>
      <c r="K219" s="3" t="s">
        <v>178</v>
      </c>
      <c r="L219">
        <v>1</v>
      </c>
      <c r="M219">
        <v>0</v>
      </c>
      <c r="N219" t="s">
        <v>276</v>
      </c>
      <c r="O219" s="5" t="s">
        <v>564</v>
      </c>
      <c r="P219" s="11" t="s">
        <v>610</v>
      </c>
      <c r="Q219" s="9"/>
    </row>
    <row r="220" spans="1:17" x14ac:dyDescent="0.25">
      <c r="A220" s="5">
        <v>219</v>
      </c>
      <c r="B220" t="s">
        <v>180</v>
      </c>
      <c r="C220" t="s">
        <v>198</v>
      </c>
      <c r="D220" s="1">
        <v>2012</v>
      </c>
      <c r="E220">
        <v>1299</v>
      </c>
      <c r="F220">
        <v>825</v>
      </c>
      <c r="G220">
        <f>4.6*25.4</f>
        <v>116.83999999999999</v>
      </c>
      <c r="H220" s="2">
        <f>3.5*25.4</f>
        <v>88.899999999999991</v>
      </c>
      <c r="I220" s="1">
        <v>2.8</v>
      </c>
      <c r="J220" s="3" t="s">
        <v>436</v>
      </c>
      <c r="K220" s="3" t="s">
        <v>178</v>
      </c>
      <c r="L220">
        <v>1</v>
      </c>
      <c r="M220">
        <v>0</v>
      </c>
      <c r="N220" s="1" t="s">
        <v>276</v>
      </c>
      <c r="O220" s="5" t="s">
        <v>565</v>
      </c>
      <c r="P220" s="11" t="s">
        <v>610</v>
      </c>
      <c r="Q220" s="9"/>
    </row>
    <row r="221" spans="1:17" x14ac:dyDescent="0.25">
      <c r="A221" s="5">
        <v>220</v>
      </c>
      <c r="B221" t="s">
        <v>180</v>
      </c>
      <c r="C221" t="s">
        <v>185</v>
      </c>
      <c r="D221" s="1">
        <v>2014</v>
      </c>
      <c r="E221">
        <v>849</v>
      </c>
      <c r="F221">
        <v>540</v>
      </c>
      <c r="G221">
        <f>3.78*25.4</f>
        <v>96.011999999999986</v>
      </c>
      <c r="H221" s="2">
        <f>2.93*25.4</f>
        <v>74.421999999999997</v>
      </c>
      <c r="I221" s="1">
        <v>6.3</v>
      </c>
      <c r="J221" s="3" t="s">
        <v>440</v>
      </c>
      <c r="K221" s="3" t="s">
        <v>178</v>
      </c>
      <c r="L221">
        <v>1</v>
      </c>
      <c r="M221">
        <v>0</v>
      </c>
      <c r="N221" s="1" t="s">
        <v>276</v>
      </c>
      <c r="O221" s="5" t="s">
        <v>570</v>
      </c>
      <c r="P221" s="11" t="s">
        <v>610</v>
      </c>
      <c r="Q221" s="9"/>
    </row>
    <row r="222" spans="1:17" x14ac:dyDescent="0.25">
      <c r="A222" s="5">
        <v>221</v>
      </c>
      <c r="B222" t="s">
        <v>180</v>
      </c>
      <c r="C222" t="s">
        <v>182</v>
      </c>
      <c r="D222" s="1">
        <v>2012</v>
      </c>
      <c r="E222">
        <v>1499</v>
      </c>
      <c r="F222">
        <v>1470</v>
      </c>
      <c r="G222">
        <f>7.41*25.4</f>
        <v>188.214</v>
      </c>
      <c r="H222" s="2">
        <f>3.38*25.4</f>
        <v>85.85199999999999</v>
      </c>
      <c r="I222" s="1">
        <v>2.8</v>
      </c>
      <c r="J222" s="3" t="s">
        <v>359</v>
      </c>
      <c r="K222" s="3" t="s">
        <v>178</v>
      </c>
      <c r="L222">
        <v>1</v>
      </c>
      <c r="M222">
        <v>0</v>
      </c>
      <c r="N222" s="1" t="s">
        <v>276</v>
      </c>
      <c r="O222" s="5" t="s">
        <v>571</v>
      </c>
      <c r="P222" s="11" t="s">
        <v>610</v>
      </c>
      <c r="Q222" s="9"/>
    </row>
    <row r="223" spans="1:17" x14ac:dyDescent="0.25">
      <c r="A223" s="5">
        <v>222</v>
      </c>
      <c r="B223" t="s">
        <v>180</v>
      </c>
      <c r="C223" t="s">
        <v>184</v>
      </c>
      <c r="D223" s="1">
        <v>2010</v>
      </c>
      <c r="E223">
        <v>449</v>
      </c>
      <c r="F223">
        <v>765</v>
      </c>
      <c r="G223">
        <f>5.9*25.4</f>
        <v>149.86000000000001</v>
      </c>
      <c r="H223" s="7">
        <f>3.21*25.4</f>
        <v>81.533999999999992</v>
      </c>
      <c r="I223" s="1">
        <v>5.6</v>
      </c>
      <c r="J223" s="3" t="s">
        <v>349</v>
      </c>
      <c r="K223" s="3" t="s">
        <v>178</v>
      </c>
      <c r="L223">
        <v>1</v>
      </c>
      <c r="M223">
        <v>0</v>
      </c>
      <c r="N223" t="s">
        <v>276</v>
      </c>
      <c r="O223" s="5" t="s">
        <v>571</v>
      </c>
      <c r="P223" s="11" t="s">
        <v>610</v>
      </c>
      <c r="Q223" s="9"/>
    </row>
    <row r="224" spans="1:17" x14ac:dyDescent="0.25">
      <c r="A224" s="5">
        <v>223</v>
      </c>
      <c r="B224" t="s">
        <v>180</v>
      </c>
      <c r="C224" t="s">
        <v>333</v>
      </c>
      <c r="D224" s="1">
        <v>1992</v>
      </c>
      <c r="E224">
        <v>499</v>
      </c>
      <c r="F224">
        <v>508</v>
      </c>
      <c r="G224">
        <v>91.9</v>
      </c>
      <c r="H224" s="2">
        <v>73</v>
      </c>
      <c r="I224" s="1">
        <v>2.8</v>
      </c>
      <c r="J224" s="3" t="s">
        <v>439</v>
      </c>
      <c r="K224" s="3" t="s">
        <v>178</v>
      </c>
      <c r="L224">
        <v>0</v>
      </c>
      <c r="M224">
        <v>0</v>
      </c>
      <c r="N224" s="1" t="s">
        <v>276</v>
      </c>
      <c r="O224" s="5" t="s">
        <v>565</v>
      </c>
      <c r="P224" s="11" t="s">
        <v>610</v>
      </c>
      <c r="Q224" s="9"/>
    </row>
    <row r="225" spans="1:17" x14ac:dyDescent="0.25">
      <c r="A225" s="5">
        <v>224</v>
      </c>
      <c r="B225" s="1" t="s">
        <v>180</v>
      </c>
      <c r="C225" t="s">
        <v>407</v>
      </c>
      <c r="D225" s="1">
        <v>2016</v>
      </c>
      <c r="E225">
        <v>1399</v>
      </c>
      <c r="F225">
        <v>2010</v>
      </c>
      <c r="G225">
        <v>260.2</v>
      </c>
      <c r="H225" s="2">
        <v>108.4</v>
      </c>
      <c r="I225" s="1">
        <v>5</v>
      </c>
      <c r="J225" s="3" t="s">
        <v>408</v>
      </c>
      <c r="K225" s="3" t="s">
        <v>178</v>
      </c>
      <c r="L225">
        <v>1</v>
      </c>
      <c r="M225">
        <v>0</v>
      </c>
      <c r="N225" s="1" t="s">
        <v>276</v>
      </c>
      <c r="O225" s="5" t="s">
        <v>569</v>
      </c>
      <c r="P225" s="11" t="s">
        <v>610</v>
      </c>
      <c r="Q225" s="9"/>
    </row>
    <row r="226" spans="1:17" x14ac:dyDescent="0.25">
      <c r="A226" s="5">
        <v>225</v>
      </c>
      <c r="B226" s="1" t="s">
        <v>180</v>
      </c>
      <c r="C226" t="s">
        <v>409</v>
      </c>
      <c r="D226" s="1">
        <v>2016</v>
      </c>
      <c r="E226">
        <v>749</v>
      </c>
      <c r="F226">
        <v>700</v>
      </c>
      <c r="G226">
        <v>91.3</v>
      </c>
      <c r="H226" s="2">
        <v>84.8</v>
      </c>
      <c r="I226" s="1">
        <v>1.8</v>
      </c>
      <c r="J226" s="3" t="s">
        <v>77</v>
      </c>
      <c r="K226" s="3" t="s">
        <v>177</v>
      </c>
      <c r="L226">
        <v>1</v>
      </c>
      <c r="M226">
        <v>0</v>
      </c>
      <c r="N226" s="1" t="s">
        <v>276</v>
      </c>
      <c r="O226" s="5" t="s">
        <v>567</v>
      </c>
      <c r="P226" s="11" t="s">
        <v>610</v>
      </c>
      <c r="Q226" s="9"/>
    </row>
    <row r="227" spans="1:17" x14ac:dyDescent="0.25">
      <c r="A227" s="5">
        <v>226</v>
      </c>
      <c r="B227" t="s">
        <v>189</v>
      </c>
      <c r="C227" t="s">
        <v>194</v>
      </c>
      <c r="D227" s="1">
        <v>2006</v>
      </c>
      <c r="E227">
        <v>379</v>
      </c>
      <c r="F227" s="1">
        <v>540</v>
      </c>
      <c r="G227">
        <f>3.74*25.4</f>
        <v>94.995999999999995</v>
      </c>
      <c r="H227" s="2">
        <f>2.9*25.4</f>
        <v>73.66</v>
      </c>
      <c r="I227" s="1">
        <v>2.8</v>
      </c>
      <c r="J227" s="3" t="s">
        <v>146</v>
      </c>
      <c r="K227" s="3" t="s">
        <v>177</v>
      </c>
      <c r="L227">
        <v>0</v>
      </c>
      <c r="M227">
        <v>0</v>
      </c>
      <c r="N227" t="s">
        <v>276</v>
      </c>
      <c r="O227" s="5" t="s">
        <v>566</v>
      </c>
      <c r="P227" s="11" t="s">
        <v>610</v>
      </c>
      <c r="Q227" s="9"/>
    </row>
    <row r="228" spans="1:17" x14ac:dyDescent="0.25">
      <c r="A228" s="5">
        <v>227</v>
      </c>
      <c r="B228" t="s">
        <v>189</v>
      </c>
      <c r="C228" t="s">
        <v>190</v>
      </c>
      <c r="D228" s="1">
        <v>2010</v>
      </c>
      <c r="E228">
        <v>629</v>
      </c>
      <c r="F228" s="1">
        <v>950</v>
      </c>
      <c r="G228">
        <f>5.25*25.4</f>
        <v>133.35</v>
      </c>
      <c r="H228" s="2">
        <f>3.54*25.4</f>
        <v>89.915999999999997</v>
      </c>
      <c r="I228" s="1">
        <v>2.8</v>
      </c>
      <c r="J228" s="3" t="s">
        <v>438</v>
      </c>
      <c r="K228" s="3" t="s">
        <v>178</v>
      </c>
      <c r="L228">
        <v>0</v>
      </c>
      <c r="M228">
        <v>0</v>
      </c>
      <c r="N228" t="s">
        <v>276</v>
      </c>
      <c r="O228" s="5" t="s">
        <v>562</v>
      </c>
      <c r="P228" s="11" t="s">
        <v>610</v>
      </c>
      <c r="Q228" s="9"/>
    </row>
    <row r="229" spans="1:17" x14ac:dyDescent="0.25">
      <c r="A229" s="5">
        <v>228</v>
      </c>
      <c r="B229" t="s">
        <v>189</v>
      </c>
      <c r="C229" t="s">
        <v>193</v>
      </c>
      <c r="D229" s="1">
        <v>2011</v>
      </c>
      <c r="E229">
        <v>449</v>
      </c>
      <c r="F229">
        <v>600</v>
      </c>
      <c r="G229">
        <f>3.7*25.4</f>
        <v>93.98</v>
      </c>
      <c r="H229" s="2">
        <f>3.5*25.4</f>
        <v>88.899999999999991</v>
      </c>
      <c r="I229" s="1">
        <v>4</v>
      </c>
      <c r="J229" s="3" t="s">
        <v>437</v>
      </c>
      <c r="K229" s="3" t="s">
        <v>178</v>
      </c>
      <c r="L229">
        <v>0</v>
      </c>
      <c r="M229">
        <v>0</v>
      </c>
      <c r="N229" t="s">
        <v>276</v>
      </c>
      <c r="O229" s="5" t="s">
        <v>562</v>
      </c>
      <c r="P229" s="11" t="s">
        <v>610</v>
      </c>
      <c r="Q229" s="9"/>
    </row>
    <row r="230" spans="1:17" x14ac:dyDescent="0.25">
      <c r="A230" s="5">
        <v>229</v>
      </c>
      <c r="B230" t="s">
        <v>189</v>
      </c>
      <c r="C230" t="s">
        <v>191</v>
      </c>
      <c r="D230" s="1">
        <v>2015</v>
      </c>
      <c r="E230">
        <v>999</v>
      </c>
      <c r="F230" s="1">
        <v>1000</v>
      </c>
      <c r="G230">
        <f>4.23*25.4</f>
        <v>107.44200000000001</v>
      </c>
      <c r="H230" s="7">
        <f>5.32*25.4</f>
        <v>135.12799999999999</v>
      </c>
      <c r="I230" s="1">
        <v>2.8</v>
      </c>
      <c r="J230" s="3" t="s">
        <v>436</v>
      </c>
      <c r="K230" s="3" t="s">
        <v>178</v>
      </c>
      <c r="L230">
        <v>0</v>
      </c>
      <c r="M230">
        <v>0</v>
      </c>
      <c r="N230" t="s">
        <v>276</v>
      </c>
      <c r="O230" s="5" t="s">
        <v>565</v>
      </c>
      <c r="P230" s="11" t="s">
        <v>610</v>
      </c>
      <c r="Q230" s="9"/>
    </row>
    <row r="231" spans="1:17" x14ac:dyDescent="0.25">
      <c r="A231" s="5">
        <v>230</v>
      </c>
      <c r="B231" t="s">
        <v>189</v>
      </c>
      <c r="C231" t="s">
        <v>192</v>
      </c>
      <c r="D231" s="1">
        <v>2014</v>
      </c>
      <c r="E231">
        <v>899</v>
      </c>
      <c r="F231">
        <v>980</v>
      </c>
      <c r="G231">
        <f>6.59*25.4</f>
        <v>167.386</v>
      </c>
      <c r="H231" s="2">
        <f>3.23*25.4</f>
        <v>82.042000000000002</v>
      </c>
      <c r="I231" s="1">
        <v>4</v>
      </c>
      <c r="J231" s="3" t="s">
        <v>359</v>
      </c>
      <c r="K231" s="3" t="s">
        <v>178</v>
      </c>
      <c r="L231">
        <v>1</v>
      </c>
      <c r="M231">
        <v>0</v>
      </c>
      <c r="N231" t="s">
        <v>276</v>
      </c>
      <c r="O231" s="5" t="s">
        <v>571</v>
      </c>
      <c r="P231" s="11" t="s">
        <v>610</v>
      </c>
      <c r="Q231" s="9"/>
    </row>
    <row r="232" spans="1:17" x14ac:dyDescent="0.25">
      <c r="A232" s="5">
        <v>231</v>
      </c>
      <c r="B232" t="s">
        <v>189</v>
      </c>
      <c r="C232" t="s">
        <v>416</v>
      </c>
      <c r="D232" s="1">
        <v>2016</v>
      </c>
      <c r="E232">
        <v>799</v>
      </c>
      <c r="F232">
        <v>490</v>
      </c>
      <c r="G232">
        <v>81.5</v>
      </c>
      <c r="H232" s="2">
        <v>69</v>
      </c>
      <c r="I232" s="1">
        <v>2</v>
      </c>
      <c r="J232" s="3" t="s">
        <v>116</v>
      </c>
      <c r="K232" s="3" t="s">
        <v>177</v>
      </c>
      <c r="L232">
        <v>0</v>
      </c>
      <c r="M232">
        <v>0</v>
      </c>
      <c r="N232" t="s">
        <v>276</v>
      </c>
      <c r="O232" s="5" t="s">
        <v>562</v>
      </c>
      <c r="P232" s="11" t="s">
        <v>610</v>
      </c>
      <c r="Q232" s="9"/>
    </row>
    <row r="233" spans="1:17" x14ac:dyDescent="0.25">
      <c r="A233" s="5">
        <v>232</v>
      </c>
      <c r="B233" t="s">
        <v>256</v>
      </c>
      <c r="C233" t="s">
        <v>257</v>
      </c>
      <c r="D233" s="1">
        <v>2015</v>
      </c>
      <c r="E233">
        <v>499</v>
      </c>
      <c r="F233">
        <v>410</v>
      </c>
      <c r="G233">
        <v>64.7</v>
      </c>
      <c r="H233" s="2">
        <v>83.8</v>
      </c>
      <c r="I233" s="1">
        <v>4</v>
      </c>
      <c r="J233" s="3" t="s">
        <v>134</v>
      </c>
      <c r="K233" s="3" t="s">
        <v>177</v>
      </c>
      <c r="L233">
        <v>0</v>
      </c>
      <c r="M233">
        <v>0</v>
      </c>
      <c r="N233" s="1" t="s">
        <v>276</v>
      </c>
      <c r="O233" s="5" t="s">
        <v>562</v>
      </c>
      <c r="P233" s="11" t="s">
        <v>614</v>
      </c>
      <c r="Q233" s="11" t="s">
        <v>614</v>
      </c>
    </row>
    <row r="234" spans="1:17" x14ac:dyDescent="0.25">
      <c r="A234" s="5">
        <v>233</v>
      </c>
      <c r="B234" s="1" t="s">
        <v>256</v>
      </c>
      <c r="C234" t="s">
        <v>258</v>
      </c>
      <c r="D234" s="1">
        <v>2015</v>
      </c>
      <c r="E234">
        <v>399</v>
      </c>
      <c r="F234">
        <v>503</v>
      </c>
      <c r="G234">
        <v>95</v>
      </c>
      <c r="H234" s="7">
        <v>70</v>
      </c>
      <c r="I234" s="1">
        <v>2.8</v>
      </c>
      <c r="J234" s="3" t="s">
        <v>90</v>
      </c>
      <c r="K234" s="3" t="s">
        <v>177</v>
      </c>
      <c r="L234">
        <v>0</v>
      </c>
      <c r="M234">
        <v>0</v>
      </c>
      <c r="N234" s="1" t="s">
        <v>276</v>
      </c>
      <c r="O234" s="5" t="s">
        <v>566</v>
      </c>
      <c r="P234" s="11" t="s">
        <v>614</v>
      </c>
      <c r="Q234" s="11" t="s">
        <v>614</v>
      </c>
    </row>
    <row r="235" spans="1:17" x14ac:dyDescent="0.25">
      <c r="A235" s="5">
        <v>234</v>
      </c>
      <c r="B235" s="1" t="s">
        <v>256</v>
      </c>
      <c r="C235" t="s">
        <v>663</v>
      </c>
      <c r="D235" s="1">
        <v>2016</v>
      </c>
      <c r="E235" s="11">
        <v>699</v>
      </c>
      <c r="F235">
        <v>745</v>
      </c>
      <c r="G235">
        <v>98.9</v>
      </c>
      <c r="H235" s="2">
        <v>76</v>
      </c>
      <c r="I235" s="1">
        <v>2</v>
      </c>
      <c r="J235" s="3" t="s">
        <v>80</v>
      </c>
      <c r="K235" s="3" t="s">
        <v>177</v>
      </c>
      <c r="L235">
        <v>0</v>
      </c>
      <c r="M235">
        <v>0</v>
      </c>
      <c r="N235" s="1" t="s">
        <v>276</v>
      </c>
      <c r="O235" s="5" t="s">
        <v>567</v>
      </c>
      <c r="P235" s="11" t="s">
        <v>614</v>
      </c>
      <c r="Q235" s="11" t="s">
        <v>614</v>
      </c>
    </row>
    <row r="236" spans="1:17" x14ac:dyDescent="0.25">
      <c r="A236" s="5">
        <v>235</v>
      </c>
      <c r="B236" s="1" t="s">
        <v>256</v>
      </c>
      <c r="C236" t="s">
        <v>417</v>
      </c>
      <c r="D236" s="1">
        <v>2016</v>
      </c>
      <c r="E236">
        <v>949</v>
      </c>
      <c r="F236">
        <v>609</v>
      </c>
      <c r="G236">
        <v>82.8</v>
      </c>
      <c r="H236" s="2">
        <v>74.8</v>
      </c>
      <c r="I236" s="1">
        <v>2.8</v>
      </c>
      <c r="J236" s="3" t="s">
        <v>214</v>
      </c>
      <c r="K236" s="3" t="s">
        <v>177</v>
      </c>
      <c r="L236">
        <v>0</v>
      </c>
      <c r="M236">
        <v>0</v>
      </c>
      <c r="N236" s="1" t="s">
        <v>276</v>
      </c>
      <c r="O236" s="5" t="s">
        <v>562</v>
      </c>
      <c r="P236" s="11" t="s">
        <v>614</v>
      </c>
      <c r="Q236" s="11" t="s">
        <v>614</v>
      </c>
    </row>
    <row r="237" spans="1:17" x14ac:dyDescent="0.25">
      <c r="A237" s="5">
        <v>236</v>
      </c>
      <c r="B237" s="1" t="s">
        <v>213</v>
      </c>
      <c r="C237" t="s">
        <v>278</v>
      </c>
      <c r="D237" s="1">
        <v>2014</v>
      </c>
      <c r="E237">
        <v>1099</v>
      </c>
      <c r="F237">
        <v>586</v>
      </c>
      <c r="G237">
        <f>3.24*25.4</f>
        <v>82.296000000000006</v>
      </c>
      <c r="H237" s="11">
        <f>3.03*25.4</f>
        <v>76.961999999999989</v>
      </c>
      <c r="I237" s="1">
        <v>0.95</v>
      </c>
      <c r="J237" s="3" t="s">
        <v>281</v>
      </c>
      <c r="K237" s="3" t="s">
        <v>177</v>
      </c>
      <c r="L237">
        <v>0</v>
      </c>
      <c r="M237">
        <v>0</v>
      </c>
      <c r="N237" s="1" t="s">
        <v>284</v>
      </c>
      <c r="O237" s="5" t="s">
        <v>562</v>
      </c>
      <c r="P237" s="13"/>
      <c r="Q237" s="13"/>
    </row>
    <row r="238" spans="1:17" x14ac:dyDescent="0.25">
      <c r="A238" s="5">
        <v>237</v>
      </c>
      <c r="B238" s="1" t="s">
        <v>213</v>
      </c>
      <c r="C238" t="s">
        <v>216</v>
      </c>
      <c r="D238" s="1">
        <v>2010</v>
      </c>
      <c r="E238">
        <v>699</v>
      </c>
      <c r="F238">
        <v>230</v>
      </c>
      <c r="G238">
        <v>42.5</v>
      </c>
      <c r="H238" s="7">
        <v>74.599999999999994</v>
      </c>
      <c r="I238" s="1">
        <v>5.6</v>
      </c>
      <c r="J238" s="3" t="s">
        <v>214</v>
      </c>
      <c r="K238" s="3" t="s">
        <v>177</v>
      </c>
      <c r="L238">
        <v>0</v>
      </c>
      <c r="M238">
        <v>0</v>
      </c>
      <c r="N238" s="1" t="s">
        <v>276</v>
      </c>
      <c r="O238" s="5" t="s">
        <v>562</v>
      </c>
      <c r="P238" s="13"/>
      <c r="Q238" s="13"/>
    </row>
    <row r="239" spans="1:17" x14ac:dyDescent="0.25">
      <c r="A239" s="5">
        <v>238</v>
      </c>
      <c r="B239" s="1" t="s">
        <v>213</v>
      </c>
      <c r="C239" s="1" t="s">
        <v>215</v>
      </c>
      <c r="D239" s="9">
        <v>2014</v>
      </c>
      <c r="E239">
        <v>699</v>
      </c>
      <c r="F239">
        <v>247</v>
      </c>
      <c r="G239">
        <v>55.2</v>
      </c>
      <c r="H239" s="2">
        <v>64.8</v>
      </c>
      <c r="I239" s="1">
        <v>4.5</v>
      </c>
      <c r="J239" s="3" t="s">
        <v>134</v>
      </c>
      <c r="K239" s="3" t="s">
        <v>177</v>
      </c>
      <c r="L239">
        <v>0</v>
      </c>
      <c r="M239">
        <v>0</v>
      </c>
      <c r="N239" s="1" t="s">
        <v>276</v>
      </c>
      <c r="O239" s="5" t="s">
        <v>562</v>
      </c>
      <c r="P239" s="13"/>
      <c r="Q239" s="13"/>
    </row>
    <row r="240" spans="1:17" x14ac:dyDescent="0.25">
      <c r="A240" s="5">
        <v>239</v>
      </c>
      <c r="B240" s="1" t="s">
        <v>213</v>
      </c>
      <c r="C240" t="s">
        <v>279</v>
      </c>
      <c r="D240" s="1">
        <v>2012</v>
      </c>
      <c r="E240">
        <v>899</v>
      </c>
      <c r="F240">
        <v>540</v>
      </c>
      <c r="G240">
        <f>3.15*25.4</f>
        <v>80.009999999999991</v>
      </c>
      <c r="H240" s="2">
        <f>2.5*25.4</f>
        <v>63.5</v>
      </c>
      <c r="I240" s="1">
        <v>0.95</v>
      </c>
      <c r="J240" s="3" t="s">
        <v>282</v>
      </c>
      <c r="K240" s="3" t="s">
        <v>177</v>
      </c>
      <c r="L240">
        <v>0</v>
      </c>
      <c r="M240">
        <v>0</v>
      </c>
      <c r="N240" s="1" t="s">
        <v>284</v>
      </c>
      <c r="O240" s="5" t="s">
        <v>564</v>
      </c>
      <c r="P240" s="13"/>
      <c r="Q240" s="13"/>
    </row>
    <row r="241" spans="1:17" x14ac:dyDescent="0.25">
      <c r="A241" s="5">
        <v>240</v>
      </c>
      <c r="B241" s="1" t="s">
        <v>213</v>
      </c>
      <c r="C241" t="s">
        <v>217</v>
      </c>
      <c r="D241" s="9">
        <v>2014</v>
      </c>
      <c r="E241">
        <v>419</v>
      </c>
      <c r="F241">
        <v>136</v>
      </c>
      <c r="G241">
        <v>25</v>
      </c>
      <c r="H241" s="2">
        <v>55</v>
      </c>
      <c r="I241" s="1">
        <v>4</v>
      </c>
      <c r="J241" s="3" t="s">
        <v>137</v>
      </c>
      <c r="K241" s="3" t="s">
        <v>177</v>
      </c>
      <c r="L241">
        <v>0</v>
      </c>
      <c r="M241">
        <v>0</v>
      </c>
      <c r="N241" s="1" t="s">
        <v>276</v>
      </c>
      <c r="O241" s="5" t="s">
        <v>564</v>
      </c>
      <c r="P241" s="13"/>
      <c r="Q241" s="13"/>
    </row>
    <row r="242" spans="1:17" x14ac:dyDescent="0.25">
      <c r="A242" s="5">
        <v>241</v>
      </c>
      <c r="B242" s="1" t="s">
        <v>213</v>
      </c>
      <c r="C242" t="s">
        <v>268</v>
      </c>
      <c r="D242" s="1">
        <v>2012</v>
      </c>
      <c r="E242">
        <v>1049</v>
      </c>
      <c r="F242">
        <v>412</v>
      </c>
      <c r="G242">
        <v>92</v>
      </c>
      <c r="H242" s="2">
        <v>69</v>
      </c>
      <c r="I242" s="1">
        <v>1.8</v>
      </c>
      <c r="J242" s="3" t="s">
        <v>137</v>
      </c>
      <c r="K242" s="3" t="s">
        <v>177</v>
      </c>
      <c r="L242">
        <v>0</v>
      </c>
      <c r="M242">
        <v>0</v>
      </c>
      <c r="N242" s="1" t="s">
        <v>276</v>
      </c>
      <c r="O242" s="5" t="s">
        <v>564</v>
      </c>
      <c r="P242" s="13"/>
      <c r="Q242" s="13"/>
    </row>
    <row r="243" spans="1:17" x14ac:dyDescent="0.25">
      <c r="A243" s="5">
        <v>242</v>
      </c>
      <c r="B243" s="1" t="s">
        <v>213</v>
      </c>
      <c r="C243" t="s">
        <v>269</v>
      </c>
      <c r="D243" s="9">
        <v>2014</v>
      </c>
      <c r="E243">
        <v>419</v>
      </c>
      <c r="F243">
        <v>144</v>
      </c>
      <c r="G243">
        <v>30</v>
      </c>
      <c r="H243" s="2">
        <v>55</v>
      </c>
      <c r="I243" s="1">
        <v>4</v>
      </c>
      <c r="J243" s="3" t="s">
        <v>138</v>
      </c>
      <c r="K243" s="3" t="s">
        <v>177</v>
      </c>
      <c r="L243">
        <v>0</v>
      </c>
      <c r="M243">
        <v>0</v>
      </c>
      <c r="N243" s="1" t="s">
        <v>276</v>
      </c>
      <c r="O243" s="5" t="s">
        <v>564</v>
      </c>
      <c r="P243" s="13"/>
      <c r="Q243" s="13"/>
    </row>
    <row r="244" spans="1:17" x14ac:dyDescent="0.25">
      <c r="A244" s="5">
        <v>243</v>
      </c>
      <c r="B244" s="1" t="s">
        <v>213</v>
      </c>
      <c r="C244" t="s">
        <v>277</v>
      </c>
      <c r="D244" s="1">
        <v>2013</v>
      </c>
      <c r="E244">
        <v>799</v>
      </c>
      <c r="F244">
        <v>435</v>
      </c>
      <c r="G244">
        <f>2.76*25.4</f>
        <v>70.103999999999985</v>
      </c>
      <c r="H244" s="2">
        <f>2.39*25.4</f>
        <v>60.706000000000003</v>
      </c>
      <c r="I244" s="1">
        <v>0.95</v>
      </c>
      <c r="J244" s="3" t="s">
        <v>138</v>
      </c>
      <c r="K244" s="3" t="s">
        <v>177</v>
      </c>
      <c r="L244">
        <v>0</v>
      </c>
      <c r="M244">
        <v>0</v>
      </c>
      <c r="N244" s="1" t="s">
        <v>284</v>
      </c>
      <c r="O244" s="5" t="s">
        <v>565</v>
      </c>
      <c r="P244" s="13"/>
      <c r="Q244" s="13"/>
    </row>
    <row r="245" spans="1:17" x14ac:dyDescent="0.25">
      <c r="A245" s="5">
        <v>244</v>
      </c>
      <c r="B245" s="1" t="s">
        <v>213</v>
      </c>
      <c r="C245" t="s">
        <v>218</v>
      </c>
      <c r="D245" s="9">
        <v>2014</v>
      </c>
      <c r="E245">
        <v>599</v>
      </c>
      <c r="F245">
        <v>244</v>
      </c>
      <c r="G245">
        <v>51</v>
      </c>
      <c r="H245" s="2">
        <v>55</v>
      </c>
      <c r="I245" s="1">
        <v>2</v>
      </c>
      <c r="J245" s="3" t="s">
        <v>69</v>
      </c>
      <c r="K245" s="3" t="s">
        <v>177</v>
      </c>
      <c r="L245">
        <v>0</v>
      </c>
      <c r="M245">
        <v>0</v>
      </c>
      <c r="N245" s="1" t="s">
        <v>276</v>
      </c>
      <c r="O245" s="5" t="s">
        <v>564</v>
      </c>
      <c r="P245" s="13"/>
      <c r="Q245" s="13"/>
    </row>
    <row r="246" spans="1:17" x14ac:dyDescent="0.25">
      <c r="A246" s="5">
        <v>245</v>
      </c>
      <c r="B246" s="1" t="s">
        <v>213</v>
      </c>
      <c r="C246" t="s">
        <v>219</v>
      </c>
      <c r="D246" s="9">
        <v>2012</v>
      </c>
      <c r="E246">
        <v>979</v>
      </c>
      <c r="F246">
        <v>238</v>
      </c>
      <c r="G246">
        <v>53</v>
      </c>
      <c r="H246" s="7">
        <v>50.9</v>
      </c>
      <c r="I246" s="1">
        <v>1.7</v>
      </c>
      <c r="J246" s="3" t="s">
        <v>70</v>
      </c>
      <c r="K246" s="3" t="s">
        <v>177</v>
      </c>
      <c r="L246">
        <v>0</v>
      </c>
      <c r="M246">
        <v>0</v>
      </c>
      <c r="N246" s="1" t="s">
        <v>276</v>
      </c>
      <c r="O246" s="5" t="s">
        <v>564</v>
      </c>
      <c r="P246" s="13"/>
      <c r="Q246" s="13"/>
    </row>
    <row r="247" spans="1:17" x14ac:dyDescent="0.25">
      <c r="A247" s="5">
        <v>246</v>
      </c>
      <c r="B247" t="s">
        <v>213</v>
      </c>
      <c r="C247" t="s">
        <v>270</v>
      </c>
      <c r="D247" s="9">
        <v>2006</v>
      </c>
      <c r="E247">
        <v>629</v>
      </c>
      <c r="F247">
        <v>200</v>
      </c>
      <c r="G247">
        <v>29</v>
      </c>
      <c r="H247" s="7">
        <v>55</v>
      </c>
      <c r="I247" s="1">
        <v>1.4</v>
      </c>
      <c r="J247" s="3" t="s">
        <v>70</v>
      </c>
      <c r="K247" s="3" t="s">
        <v>177</v>
      </c>
      <c r="L247">
        <v>0</v>
      </c>
      <c r="M247">
        <v>0</v>
      </c>
      <c r="N247" s="1" t="s">
        <v>276</v>
      </c>
      <c r="O247" s="5" t="s">
        <v>564</v>
      </c>
      <c r="P247" s="13"/>
      <c r="Q247" s="13"/>
    </row>
    <row r="248" spans="1:17" x14ac:dyDescent="0.25">
      <c r="A248" s="5">
        <v>247</v>
      </c>
      <c r="B248" t="s">
        <v>213</v>
      </c>
      <c r="C248" t="s">
        <v>220</v>
      </c>
      <c r="D248" s="9">
        <v>2012</v>
      </c>
      <c r="E248">
        <v>950</v>
      </c>
      <c r="F248">
        <v>471</v>
      </c>
      <c r="G248">
        <v>62</v>
      </c>
      <c r="H248" s="2">
        <v>60.8</v>
      </c>
      <c r="I248" s="1">
        <v>1.2</v>
      </c>
      <c r="J248" s="3" t="s">
        <v>70</v>
      </c>
      <c r="K248" s="3" t="s">
        <v>177</v>
      </c>
      <c r="L248">
        <v>0</v>
      </c>
      <c r="M248">
        <v>0</v>
      </c>
      <c r="N248" t="s">
        <v>276</v>
      </c>
      <c r="O248" s="5" t="s">
        <v>564</v>
      </c>
      <c r="P248" s="13"/>
      <c r="Q248" s="13"/>
    </row>
    <row r="249" spans="1:17" x14ac:dyDescent="0.25">
      <c r="A249" s="5">
        <v>248</v>
      </c>
      <c r="B249" t="s">
        <v>213</v>
      </c>
      <c r="C249" t="s">
        <v>271</v>
      </c>
      <c r="D249" s="9">
        <v>2008</v>
      </c>
      <c r="E249">
        <v>449</v>
      </c>
      <c r="F249">
        <v>175</v>
      </c>
      <c r="G249">
        <v>30</v>
      </c>
      <c r="H249" s="2">
        <v>55</v>
      </c>
      <c r="I249" s="1">
        <v>1.4</v>
      </c>
      <c r="J249" s="3" t="s">
        <v>221</v>
      </c>
      <c r="K249" s="3" t="s">
        <v>177</v>
      </c>
      <c r="L249">
        <v>0</v>
      </c>
      <c r="M249">
        <v>0</v>
      </c>
      <c r="N249" t="s">
        <v>276</v>
      </c>
      <c r="O249" s="5" t="s">
        <v>565</v>
      </c>
      <c r="P249" s="13"/>
      <c r="Q249" s="13"/>
    </row>
    <row r="250" spans="1:17" x14ac:dyDescent="0.25">
      <c r="A250" s="5">
        <v>249</v>
      </c>
      <c r="B250" t="s">
        <v>213</v>
      </c>
      <c r="C250" t="s">
        <v>280</v>
      </c>
      <c r="D250" s="1">
        <v>2014</v>
      </c>
      <c r="E250">
        <v>799</v>
      </c>
      <c r="F250">
        <v>571</v>
      </c>
      <c r="G250">
        <f>2.94*25.4</f>
        <v>74.675999999999988</v>
      </c>
      <c r="H250" s="2">
        <f>2.53*25.4</f>
        <v>64.261999999999986</v>
      </c>
      <c r="I250" s="1">
        <v>0.95</v>
      </c>
      <c r="J250" s="3" t="s">
        <v>283</v>
      </c>
      <c r="K250" s="3" t="s">
        <v>177</v>
      </c>
      <c r="L250">
        <v>0</v>
      </c>
      <c r="M250">
        <v>0</v>
      </c>
      <c r="N250" t="s">
        <v>284</v>
      </c>
      <c r="O250" s="5" t="s">
        <v>567</v>
      </c>
      <c r="P250" s="13"/>
      <c r="Q250" s="13"/>
    </row>
    <row r="251" spans="1:17" x14ac:dyDescent="0.25">
      <c r="A251" s="5">
        <v>250</v>
      </c>
      <c r="B251" t="s">
        <v>213</v>
      </c>
      <c r="C251" t="s">
        <v>272</v>
      </c>
      <c r="D251" s="1">
        <v>2013</v>
      </c>
      <c r="E251">
        <v>799</v>
      </c>
      <c r="F251">
        <v>220</v>
      </c>
      <c r="G251">
        <v>45.7</v>
      </c>
      <c r="H251" s="2">
        <v>53.8</v>
      </c>
      <c r="I251" s="1">
        <v>1.5</v>
      </c>
      <c r="J251" s="3" t="s">
        <v>74</v>
      </c>
      <c r="K251" s="3" t="s">
        <v>177</v>
      </c>
      <c r="L251">
        <v>0</v>
      </c>
      <c r="M251">
        <v>0</v>
      </c>
      <c r="N251" t="s">
        <v>276</v>
      </c>
      <c r="O251" s="5" t="s">
        <v>565</v>
      </c>
      <c r="P251" s="13"/>
      <c r="Q251" s="13"/>
    </row>
    <row r="252" spans="1:17" x14ac:dyDescent="0.25">
      <c r="A252" s="5">
        <v>251</v>
      </c>
      <c r="B252" s="1" t="s">
        <v>213</v>
      </c>
      <c r="C252" s="1" t="s">
        <v>222</v>
      </c>
      <c r="D252" s="9">
        <v>2008</v>
      </c>
      <c r="E252" s="1">
        <v>899</v>
      </c>
      <c r="F252" s="1">
        <v>428</v>
      </c>
      <c r="G252" s="1">
        <v>57.2</v>
      </c>
      <c r="H252" s="2">
        <v>69.599999999999994</v>
      </c>
      <c r="I252" s="1">
        <v>1.1000000000000001</v>
      </c>
      <c r="J252" s="3" t="s">
        <v>74</v>
      </c>
      <c r="K252" s="3" t="s">
        <v>177</v>
      </c>
      <c r="L252" s="1">
        <v>0</v>
      </c>
      <c r="M252" s="1">
        <v>0</v>
      </c>
      <c r="N252" s="1" t="s">
        <v>276</v>
      </c>
      <c r="O252" s="5" t="s">
        <v>565</v>
      </c>
      <c r="P252" s="13"/>
      <c r="Q252" s="13"/>
    </row>
    <row r="253" spans="1:17" x14ac:dyDescent="0.25">
      <c r="A253" s="5">
        <v>252</v>
      </c>
      <c r="B253" s="1" t="s">
        <v>213</v>
      </c>
      <c r="C253" s="1" t="s">
        <v>223</v>
      </c>
      <c r="D253" s="9">
        <v>2006</v>
      </c>
      <c r="E253" s="1">
        <v>699</v>
      </c>
      <c r="F253" s="1">
        <v>427</v>
      </c>
      <c r="G253" s="1">
        <v>57.9</v>
      </c>
      <c r="H253" s="2">
        <v>73.8</v>
      </c>
      <c r="I253" s="1">
        <v>1.8</v>
      </c>
      <c r="J253" s="3" t="s">
        <v>224</v>
      </c>
      <c r="K253" s="3" t="s">
        <v>177</v>
      </c>
      <c r="L253" s="1">
        <v>0</v>
      </c>
      <c r="M253" s="1">
        <v>0</v>
      </c>
      <c r="N253" s="1" t="s">
        <v>276</v>
      </c>
      <c r="O253" s="5" t="s">
        <v>567</v>
      </c>
      <c r="P253" s="13"/>
      <c r="Q253" s="13"/>
    </row>
    <row r="254" spans="1:17" x14ac:dyDescent="0.25">
      <c r="A254" s="5">
        <v>253</v>
      </c>
      <c r="B254" t="s">
        <v>132</v>
      </c>
      <c r="C254" t="s">
        <v>133</v>
      </c>
      <c r="D254">
        <v>2012</v>
      </c>
      <c r="E254">
        <v>2950</v>
      </c>
      <c r="F254">
        <v>820</v>
      </c>
      <c r="G254">
        <f>5.31*25.4</f>
        <v>134.874</v>
      </c>
      <c r="H254" s="2">
        <f>4.06*25.4</f>
        <v>103.12399999999998</v>
      </c>
      <c r="I254" s="1">
        <v>2.8</v>
      </c>
      <c r="J254" s="3" t="s">
        <v>134</v>
      </c>
      <c r="K254" s="3" t="s">
        <v>177</v>
      </c>
      <c r="L254">
        <v>0</v>
      </c>
      <c r="M254">
        <v>0</v>
      </c>
      <c r="N254" t="s">
        <v>276</v>
      </c>
      <c r="O254" s="5" t="s">
        <v>562</v>
      </c>
      <c r="P254" s="11" t="s">
        <v>613</v>
      </c>
      <c r="Q254" s="11" t="s">
        <v>610</v>
      </c>
    </row>
    <row r="255" spans="1:17" x14ac:dyDescent="0.25">
      <c r="A255" s="5">
        <v>254</v>
      </c>
      <c r="B255" t="s">
        <v>132</v>
      </c>
      <c r="C255" t="s">
        <v>200</v>
      </c>
      <c r="D255" s="9">
        <v>2006</v>
      </c>
      <c r="E255">
        <v>4600</v>
      </c>
      <c r="F255">
        <v>550</v>
      </c>
      <c r="G255">
        <v>92</v>
      </c>
      <c r="H255" s="2">
        <v>78</v>
      </c>
      <c r="I255" s="1">
        <v>2.8</v>
      </c>
      <c r="J255" s="3" t="s">
        <v>134</v>
      </c>
      <c r="K255" s="3" t="s">
        <v>177</v>
      </c>
      <c r="L255">
        <v>0</v>
      </c>
      <c r="M255">
        <v>0</v>
      </c>
      <c r="N255" t="s">
        <v>276</v>
      </c>
      <c r="O255" s="5" t="s">
        <v>562</v>
      </c>
      <c r="P255" s="11" t="s">
        <v>613</v>
      </c>
      <c r="Q255" s="11" t="s">
        <v>613</v>
      </c>
    </row>
    <row r="256" spans="1:17" x14ac:dyDescent="0.25">
      <c r="A256" s="5">
        <v>255</v>
      </c>
      <c r="B256" t="s">
        <v>132</v>
      </c>
      <c r="C256" t="s">
        <v>318</v>
      </c>
      <c r="D256" s="1">
        <v>2012</v>
      </c>
      <c r="E256">
        <v>5700</v>
      </c>
      <c r="F256">
        <v>900</v>
      </c>
      <c r="G256">
        <v>86</v>
      </c>
      <c r="H256" s="2">
        <v>114</v>
      </c>
      <c r="I256" s="1">
        <v>2.9</v>
      </c>
      <c r="J256" s="3" t="s">
        <v>134</v>
      </c>
      <c r="K256" s="3" t="s">
        <v>177</v>
      </c>
      <c r="L256">
        <v>0</v>
      </c>
      <c r="M256">
        <v>1</v>
      </c>
      <c r="N256" t="s">
        <v>276</v>
      </c>
      <c r="O256" s="5" t="s">
        <v>562</v>
      </c>
      <c r="P256" s="11" t="s">
        <v>613</v>
      </c>
      <c r="Q256" s="11" t="s">
        <v>613</v>
      </c>
    </row>
    <row r="257" spans="1:17" x14ac:dyDescent="0.25">
      <c r="A257" s="5">
        <v>256</v>
      </c>
      <c r="B257" t="s">
        <v>132</v>
      </c>
      <c r="C257" t="s">
        <v>135</v>
      </c>
      <c r="D257" s="11">
        <v>2009</v>
      </c>
      <c r="E257">
        <v>1395</v>
      </c>
      <c r="F257">
        <v>510</v>
      </c>
      <c r="G257">
        <f>3.43*25.4</f>
        <v>87.122</v>
      </c>
      <c r="H257" s="2">
        <f>3.31*25.4</f>
        <v>84.073999999999998</v>
      </c>
      <c r="I257" s="1">
        <v>3.5</v>
      </c>
      <c r="J257" s="3" t="s">
        <v>136</v>
      </c>
      <c r="K257" s="3" t="s">
        <v>177</v>
      </c>
      <c r="L257">
        <v>0</v>
      </c>
      <c r="M257">
        <v>0</v>
      </c>
      <c r="N257" t="s">
        <v>276</v>
      </c>
      <c r="O257" s="5" t="s">
        <v>562</v>
      </c>
      <c r="P257" s="11" t="s">
        <v>613</v>
      </c>
      <c r="Q257" s="11" t="s">
        <v>613</v>
      </c>
    </row>
    <row r="258" spans="1:17" x14ac:dyDescent="0.25">
      <c r="A258" s="5">
        <v>257</v>
      </c>
      <c r="B258" t="s">
        <v>132</v>
      </c>
      <c r="C258" t="s">
        <v>201</v>
      </c>
      <c r="D258" s="1">
        <v>2005</v>
      </c>
      <c r="E258">
        <v>1428</v>
      </c>
      <c r="F258">
        <v>350</v>
      </c>
      <c r="G258">
        <v>71</v>
      </c>
      <c r="H258" s="2">
        <v>65</v>
      </c>
      <c r="I258" s="1">
        <v>4</v>
      </c>
      <c r="J258" s="3" t="s">
        <v>136</v>
      </c>
      <c r="K258" s="3" t="s">
        <v>177</v>
      </c>
      <c r="L258">
        <v>0</v>
      </c>
      <c r="M258">
        <v>0</v>
      </c>
      <c r="N258" t="s">
        <v>276</v>
      </c>
      <c r="O258" s="5" t="s">
        <v>562</v>
      </c>
      <c r="P258" s="11" t="s">
        <v>613</v>
      </c>
      <c r="Q258" s="11" t="s">
        <v>613</v>
      </c>
    </row>
    <row r="259" spans="1:17" x14ac:dyDescent="0.25">
      <c r="A259" s="5">
        <v>258</v>
      </c>
      <c r="B259" t="s">
        <v>132</v>
      </c>
      <c r="C259" t="s">
        <v>321</v>
      </c>
      <c r="D259" s="4">
        <v>2010</v>
      </c>
      <c r="E259">
        <v>3990</v>
      </c>
      <c r="F259">
        <v>900</v>
      </c>
      <c r="G259">
        <v>80</v>
      </c>
      <c r="H259" s="2">
        <v>114</v>
      </c>
      <c r="I259" s="1">
        <v>3.6</v>
      </c>
      <c r="J259" s="3" t="s">
        <v>136</v>
      </c>
      <c r="K259" s="3" t="s">
        <v>177</v>
      </c>
      <c r="L259">
        <v>0</v>
      </c>
      <c r="M259">
        <v>1</v>
      </c>
      <c r="N259" t="s">
        <v>276</v>
      </c>
      <c r="O259" s="5" t="s">
        <v>562</v>
      </c>
      <c r="P259" s="11" t="s">
        <v>613</v>
      </c>
      <c r="Q259" s="11" t="s">
        <v>613</v>
      </c>
    </row>
    <row r="260" spans="1:17" x14ac:dyDescent="0.25">
      <c r="A260" s="5">
        <v>259</v>
      </c>
      <c r="B260" t="s">
        <v>132</v>
      </c>
      <c r="C260" t="s">
        <v>159</v>
      </c>
      <c r="D260">
        <v>2008</v>
      </c>
      <c r="E260">
        <v>1843</v>
      </c>
      <c r="F260">
        <v>600</v>
      </c>
      <c r="G260">
        <f>4.29*25.4</f>
        <v>108.96599999999999</v>
      </c>
      <c r="H260" s="2">
        <f>3.43*25.4</f>
        <v>87.122</v>
      </c>
      <c r="I260" s="1">
        <v>2.8</v>
      </c>
      <c r="J260" s="3" t="s">
        <v>137</v>
      </c>
      <c r="K260" s="3" t="s">
        <v>177</v>
      </c>
      <c r="L260">
        <v>0</v>
      </c>
      <c r="M260">
        <v>0</v>
      </c>
      <c r="N260" t="s">
        <v>276</v>
      </c>
      <c r="O260" s="5" t="s">
        <v>562</v>
      </c>
      <c r="P260" s="11" t="s">
        <v>613</v>
      </c>
      <c r="Q260" s="11" t="s">
        <v>613</v>
      </c>
    </row>
    <row r="261" spans="1:17" x14ac:dyDescent="0.25">
      <c r="A261" s="5">
        <v>260</v>
      </c>
      <c r="B261" t="s">
        <v>132</v>
      </c>
      <c r="C261" t="s">
        <v>152</v>
      </c>
      <c r="D261">
        <v>2015</v>
      </c>
      <c r="E261">
        <v>1843</v>
      </c>
      <c r="F261">
        <v>735</v>
      </c>
      <c r="G261">
        <f>3.64*25.4</f>
        <v>92.456000000000003</v>
      </c>
      <c r="H261" s="2">
        <f>3.75*25.4</f>
        <v>95.25</v>
      </c>
      <c r="I261" s="1">
        <v>2.8</v>
      </c>
      <c r="J261" s="3" t="s">
        <v>137</v>
      </c>
      <c r="K261" s="3" t="s">
        <v>177</v>
      </c>
      <c r="L261">
        <v>0</v>
      </c>
      <c r="M261">
        <v>0</v>
      </c>
      <c r="N261" t="s">
        <v>276</v>
      </c>
      <c r="O261" s="5" t="s">
        <v>562</v>
      </c>
      <c r="P261" s="11" t="s">
        <v>613</v>
      </c>
      <c r="Q261" s="11" t="s">
        <v>613</v>
      </c>
    </row>
    <row r="262" spans="1:17" x14ac:dyDescent="0.25">
      <c r="A262" s="5">
        <v>261</v>
      </c>
      <c r="B262" t="s">
        <v>132</v>
      </c>
      <c r="C262" t="s">
        <v>162</v>
      </c>
      <c r="D262">
        <v>2015</v>
      </c>
      <c r="E262">
        <v>1499</v>
      </c>
      <c r="F262">
        <v>394</v>
      </c>
      <c r="G262">
        <f>2.83*25.4</f>
        <v>71.881999999999991</v>
      </c>
      <c r="H262" s="2">
        <f>2.44*25.4</f>
        <v>61.975999999999992</v>
      </c>
      <c r="I262" s="1">
        <v>2.8</v>
      </c>
      <c r="J262" s="3" t="s">
        <v>137</v>
      </c>
      <c r="K262" s="3" t="s">
        <v>177</v>
      </c>
      <c r="L262">
        <v>0</v>
      </c>
      <c r="M262">
        <v>0</v>
      </c>
      <c r="N262" t="s">
        <v>276</v>
      </c>
      <c r="O262" s="5" t="s">
        <v>562</v>
      </c>
      <c r="P262" s="11" t="s">
        <v>613</v>
      </c>
      <c r="Q262" s="11" t="s">
        <v>613</v>
      </c>
    </row>
    <row r="263" spans="1:17" x14ac:dyDescent="0.25">
      <c r="A263" s="5">
        <v>262</v>
      </c>
      <c r="B263" t="s">
        <v>132</v>
      </c>
      <c r="C263" t="s">
        <v>273</v>
      </c>
      <c r="D263" s="9">
        <v>2006</v>
      </c>
      <c r="E263">
        <v>1428</v>
      </c>
      <c r="F263">
        <v>300</v>
      </c>
      <c r="G263" s="9">
        <v>75</v>
      </c>
      <c r="H263" s="10">
        <v>60</v>
      </c>
      <c r="I263" s="1">
        <v>2.8</v>
      </c>
      <c r="J263" s="3" t="s">
        <v>137</v>
      </c>
      <c r="K263" s="3" t="s">
        <v>177</v>
      </c>
      <c r="L263">
        <v>0</v>
      </c>
      <c r="M263">
        <v>0</v>
      </c>
      <c r="N263" t="s">
        <v>276</v>
      </c>
      <c r="O263" s="5" t="s">
        <v>562</v>
      </c>
      <c r="P263" s="11" t="s">
        <v>613</v>
      </c>
      <c r="Q263" s="11" t="s">
        <v>613</v>
      </c>
    </row>
    <row r="264" spans="1:17" x14ac:dyDescent="0.25">
      <c r="A264" s="5">
        <v>263</v>
      </c>
      <c r="B264" t="s">
        <v>132</v>
      </c>
      <c r="C264" t="s">
        <v>202</v>
      </c>
      <c r="D264">
        <v>2005</v>
      </c>
      <c r="E264">
        <v>1201</v>
      </c>
      <c r="F264">
        <v>190</v>
      </c>
      <c r="G264">
        <v>31</v>
      </c>
      <c r="H264" s="2">
        <v>53</v>
      </c>
      <c r="I264" s="1">
        <v>4.5</v>
      </c>
      <c r="J264" s="3" t="s">
        <v>137</v>
      </c>
      <c r="K264" s="3" t="s">
        <v>177</v>
      </c>
      <c r="L264">
        <v>0</v>
      </c>
      <c r="M264">
        <v>0</v>
      </c>
      <c r="N264" t="s">
        <v>276</v>
      </c>
      <c r="O264" s="5" t="s">
        <v>562</v>
      </c>
      <c r="P264" s="11" t="s">
        <v>613</v>
      </c>
      <c r="Q264" s="11" t="s">
        <v>613</v>
      </c>
    </row>
    <row r="265" spans="1:17" x14ac:dyDescent="0.25">
      <c r="A265" s="5">
        <v>264</v>
      </c>
      <c r="B265" t="s">
        <v>132</v>
      </c>
      <c r="C265" t="s">
        <v>327</v>
      </c>
      <c r="D265" s="9">
        <v>2010</v>
      </c>
      <c r="E265">
        <v>3990</v>
      </c>
      <c r="F265">
        <v>1000</v>
      </c>
      <c r="G265">
        <v>80</v>
      </c>
      <c r="H265" s="2">
        <v>114</v>
      </c>
      <c r="I265" s="1">
        <v>2.9</v>
      </c>
      <c r="J265" s="3" t="s">
        <v>137</v>
      </c>
      <c r="K265" s="3" t="s">
        <v>177</v>
      </c>
      <c r="L265">
        <v>0</v>
      </c>
      <c r="M265">
        <v>1</v>
      </c>
      <c r="N265" t="s">
        <v>276</v>
      </c>
      <c r="O265" s="5" t="s">
        <v>562</v>
      </c>
      <c r="P265" s="11" t="s">
        <v>613</v>
      </c>
      <c r="Q265" s="11" t="s">
        <v>613</v>
      </c>
    </row>
    <row r="266" spans="1:17" x14ac:dyDescent="0.25">
      <c r="A266" s="5">
        <v>265</v>
      </c>
      <c r="B266" t="s">
        <v>132</v>
      </c>
      <c r="C266" t="s">
        <v>674</v>
      </c>
      <c r="D266">
        <v>2011</v>
      </c>
      <c r="E266">
        <v>1699</v>
      </c>
      <c r="F266">
        <v>600</v>
      </c>
      <c r="G266">
        <f>3.86*25.4</f>
        <v>98.043999999999997</v>
      </c>
      <c r="H266" s="7">
        <f>2.87*25.4</f>
        <v>72.897999999999996</v>
      </c>
      <c r="I266" s="1">
        <v>2</v>
      </c>
      <c r="J266" s="3" t="s">
        <v>138</v>
      </c>
      <c r="K266" s="3" t="s">
        <v>177</v>
      </c>
      <c r="L266">
        <v>0</v>
      </c>
      <c r="M266">
        <v>0</v>
      </c>
      <c r="N266" t="s">
        <v>276</v>
      </c>
      <c r="O266" s="5" t="s">
        <v>564</v>
      </c>
      <c r="P266" s="11" t="s">
        <v>613</v>
      </c>
      <c r="Q266" s="11" t="s">
        <v>613</v>
      </c>
    </row>
    <row r="267" spans="1:17" x14ac:dyDescent="0.25">
      <c r="A267" s="5">
        <v>266</v>
      </c>
      <c r="B267" t="s">
        <v>132</v>
      </c>
      <c r="C267" t="s">
        <v>139</v>
      </c>
      <c r="D267">
        <v>2010</v>
      </c>
      <c r="E267">
        <v>1004</v>
      </c>
      <c r="F267">
        <v>480</v>
      </c>
      <c r="G267">
        <f>3.54*25.4</f>
        <v>89.915999999999997</v>
      </c>
      <c r="H267" s="2">
        <f>2.36*25.4</f>
        <v>59.943999999999996</v>
      </c>
      <c r="I267" s="1">
        <v>2.8</v>
      </c>
      <c r="J267" s="3" t="s">
        <v>138</v>
      </c>
      <c r="K267" s="3" t="s">
        <v>177</v>
      </c>
      <c r="L267">
        <v>0</v>
      </c>
      <c r="M267">
        <v>0</v>
      </c>
      <c r="N267" t="s">
        <v>276</v>
      </c>
      <c r="O267" s="5" t="s">
        <v>564</v>
      </c>
      <c r="P267" s="11" t="s">
        <v>613</v>
      </c>
      <c r="Q267" s="11" t="s">
        <v>613</v>
      </c>
    </row>
    <row r="268" spans="1:17" x14ac:dyDescent="0.25">
      <c r="A268" s="5">
        <v>267</v>
      </c>
      <c r="B268" s="1" t="s">
        <v>132</v>
      </c>
      <c r="C268" s="1" t="s">
        <v>675</v>
      </c>
      <c r="D268">
        <v>2015</v>
      </c>
      <c r="E268">
        <v>1299</v>
      </c>
      <c r="F268">
        <v>335</v>
      </c>
      <c r="G268">
        <f>3.07*25.4</f>
        <v>77.977999999999994</v>
      </c>
      <c r="H268" s="2">
        <f>3.19*25.4</f>
        <v>81.025999999999996</v>
      </c>
      <c r="I268" s="1">
        <v>2</v>
      </c>
      <c r="J268" s="3" t="s">
        <v>138</v>
      </c>
      <c r="K268" s="3" t="s">
        <v>177</v>
      </c>
      <c r="L268">
        <v>1</v>
      </c>
      <c r="M268">
        <v>0</v>
      </c>
      <c r="N268" t="s">
        <v>276</v>
      </c>
      <c r="O268" s="5" t="s">
        <v>564</v>
      </c>
      <c r="P268" s="11" t="s">
        <v>613</v>
      </c>
      <c r="Q268" s="11" t="s">
        <v>613</v>
      </c>
    </row>
    <row r="269" spans="1:17" x14ac:dyDescent="0.25">
      <c r="A269" s="5">
        <v>268</v>
      </c>
      <c r="B269" s="1" t="s">
        <v>132</v>
      </c>
      <c r="C269" s="1" t="s">
        <v>203</v>
      </c>
      <c r="D269">
        <v>2005</v>
      </c>
      <c r="E269">
        <v>1201</v>
      </c>
      <c r="F269">
        <v>260</v>
      </c>
      <c r="G269">
        <v>71</v>
      </c>
      <c r="H269" s="2">
        <v>53</v>
      </c>
      <c r="I269" s="1">
        <v>2.8</v>
      </c>
      <c r="J269" s="3" t="s">
        <v>138</v>
      </c>
      <c r="K269" s="3" t="s">
        <v>177</v>
      </c>
      <c r="L269">
        <v>0</v>
      </c>
      <c r="M269">
        <v>0</v>
      </c>
      <c r="N269" t="s">
        <v>276</v>
      </c>
      <c r="O269" s="5" t="s">
        <v>564</v>
      </c>
      <c r="P269" s="11" t="s">
        <v>613</v>
      </c>
      <c r="Q269" s="11" t="s">
        <v>613</v>
      </c>
    </row>
    <row r="270" spans="1:17" x14ac:dyDescent="0.25">
      <c r="A270" s="5">
        <v>269</v>
      </c>
      <c r="B270" t="s">
        <v>132</v>
      </c>
      <c r="C270" t="s">
        <v>323</v>
      </c>
      <c r="D270">
        <v>2012</v>
      </c>
      <c r="E270">
        <v>4500</v>
      </c>
      <c r="F270">
        <v>900</v>
      </c>
      <c r="G270">
        <v>80</v>
      </c>
      <c r="H270" s="2">
        <v>114</v>
      </c>
      <c r="I270" s="1">
        <v>2.1</v>
      </c>
      <c r="J270" s="3" t="s">
        <v>138</v>
      </c>
      <c r="K270" s="3" t="s">
        <v>177</v>
      </c>
      <c r="L270">
        <v>0</v>
      </c>
      <c r="M270">
        <v>1</v>
      </c>
      <c r="N270" t="s">
        <v>276</v>
      </c>
      <c r="O270" s="5" t="s">
        <v>564</v>
      </c>
      <c r="P270" s="11" t="s">
        <v>613</v>
      </c>
      <c r="Q270" s="11" t="s">
        <v>613</v>
      </c>
    </row>
    <row r="271" spans="1:17" x14ac:dyDescent="0.25">
      <c r="A271" s="5">
        <v>270</v>
      </c>
      <c r="B271" t="s">
        <v>132</v>
      </c>
      <c r="C271" t="s">
        <v>141</v>
      </c>
      <c r="D271">
        <v>2009</v>
      </c>
      <c r="E271">
        <v>1283</v>
      </c>
      <c r="F271">
        <v>520</v>
      </c>
      <c r="G271">
        <f>3.66*25.4</f>
        <v>92.963999999999999</v>
      </c>
      <c r="H271" s="2">
        <f>2.52*25.4</f>
        <v>64.007999999999996</v>
      </c>
      <c r="I271" s="1">
        <v>2</v>
      </c>
      <c r="J271" s="3" t="s">
        <v>69</v>
      </c>
      <c r="K271" s="3" t="s">
        <v>177</v>
      </c>
      <c r="L271">
        <v>0</v>
      </c>
      <c r="M271">
        <v>0</v>
      </c>
      <c r="N271" t="s">
        <v>276</v>
      </c>
      <c r="O271" s="5" t="s">
        <v>564</v>
      </c>
      <c r="P271" s="11" t="s">
        <v>613</v>
      </c>
      <c r="Q271" s="11" t="s">
        <v>613</v>
      </c>
    </row>
    <row r="272" spans="1:17" x14ac:dyDescent="0.25">
      <c r="A272" s="5">
        <v>271</v>
      </c>
      <c r="B272" t="s">
        <v>132</v>
      </c>
      <c r="C272" t="s">
        <v>150</v>
      </c>
      <c r="D272">
        <v>2015</v>
      </c>
      <c r="E272">
        <v>4990</v>
      </c>
      <c r="F272">
        <v>1350</v>
      </c>
      <c r="G272">
        <f>5.31*25.4</f>
        <v>134.874</v>
      </c>
      <c r="H272" s="2">
        <f>4.29*25.4</f>
        <v>108.96599999999999</v>
      </c>
      <c r="I272" s="1">
        <v>1.4</v>
      </c>
      <c r="J272" s="3" t="s">
        <v>69</v>
      </c>
      <c r="K272" s="3" t="s">
        <v>177</v>
      </c>
      <c r="L272">
        <v>0</v>
      </c>
      <c r="M272">
        <v>0</v>
      </c>
      <c r="N272" t="s">
        <v>276</v>
      </c>
      <c r="O272" s="5" t="s">
        <v>564</v>
      </c>
      <c r="P272" s="11" t="s">
        <v>613</v>
      </c>
      <c r="Q272" s="11" t="s">
        <v>613</v>
      </c>
    </row>
    <row r="273" spans="1:17" x14ac:dyDescent="0.25">
      <c r="A273" s="5">
        <v>272</v>
      </c>
      <c r="B273" t="s">
        <v>132</v>
      </c>
      <c r="C273" t="s">
        <v>204</v>
      </c>
      <c r="D273">
        <v>2005</v>
      </c>
      <c r="E273">
        <v>1087</v>
      </c>
      <c r="F273">
        <v>230</v>
      </c>
      <c r="G273">
        <v>62</v>
      </c>
      <c r="H273" s="2">
        <v>53</v>
      </c>
      <c r="I273" s="1">
        <v>2.8</v>
      </c>
      <c r="J273" s="3" t="s">
        <v>69</v>
      </c>
      <c r="K273" s="3" t="s">
        <v>177</v>
      </c>
      <c r="L273">
        <v>0</v>
      </c>
      <c r="M273">
        <v>0</v>
      </c>
      <c r="N273" t="s">
        <v>276</v>
      </c>
      <c r="O273" s="5" t="s">
        <v>564</v>
      </c>
      <c r="P273" s="11" t="s">
        <v>613</v>
      </c>
      <c r="Q273" s="11" t="s">
        <v>613</v>
      </c>
    </row>
    <row r="274" spans="1:17" x14ac:dyDescent="0.25">
      <c r="A274" s="5">
        <v>273</v>
      </c>
      <c r="B274" t="s">
        <v>132</v>
      </c>
      <c r="C274" t="s">
        <v>328</v>
      </c>
      <c r="D274" s="4">
        <v>2010</v>
      </c>
      <c r="E274">
        <v>3990</v>
      </c>
      <c r="F274">
        <v>1000</v>
      </c>
      <c r="G274">
        <v>80</v>
      </c>
      <c r="H274" s="2">
        <v>114</v>
      </c>
      <c r="I274" s="1">
        <v>2.1</v>
      </c>
      <c r="J274" s="3" t="s">
        <v>69</v>
      </c>
      <c r="K274" s="3" t="s">
        <v>177</v>
      </c>
      <c r="L274">
        <v>0</v>
      </c>
      <c r="M274">
        <v>1</v>
      </c>
      <c r="N274" t="s">
        <v>276</v>
      </c>
      <c r="O274" s="5" t="s">
        <v>564</v>
      </c>
      <c r="P274" s="11" t="s">
        <v>613</v>
      </c>
      <c r="Q274" s="11" t="s">
        <v>613</v>
      </c>
    </row>
    <row r="275" spans="1:17" x14ac:dyDescent="0.25">
      <c r="A275" s="5">
        <v>274</v>
      </c>
      <c r="B275" t="s">
        <v>132</v>
      </c>
      <c r="C275" t="s">
        <v>140</v>
      </c>
      <c r="D275">
        <v>2006</v>
      </c>
      <c r="E275">
        <v>1117</v>
      </c>
      <c r="F275">
        <v>570</v>
      </c>
      <c r="G275">
        <f>2.95*25.4</f>
        <v>74.930000000000007</v>
      </c>
      <c r="H275" s="2">
        <f>2.86*25.4</f>
        <v>72.643999999999991</v>
      </c>
      <c r="I275" s="1">
        <v>2</v>
      </c>
      <c r="J275" s="3" t="s">
        <v>70</v>
      </c>
      <c r="K275" s="3" t="s">
        <v>177</v>
      </c>
      <c r="L275">
        <v>0</v>
      </c>
      <c r="M275">
        <v>0</v>
      </c>
      <c r="N275" t="s">
        <v>276</v>
      </c>
      <c r="O275" s="5" t="s">
        <v>564</v>
      </c>
      <c r="P275" s="11" t="s">
        <v>613</v>
      </c>
      <c r="Q275" s="11" t="s">
        <v>610</v>
      </c>
    </row>
    <row r="276" spans="1:17" x14ac:dyDescent="0.25">
      <c r="A276" s="5">
        <v>275</v>
      </c>
      <c r="B276" t="s">
        <v>132</v>
      </c>
      <c r="C276" t="s">
        <v>142</v>
      </c>
      <c r="D276">
        <v>2010</v>
      </c>
      <c r="E276">
        <v>1843</v>
      </c>
      <c r="F276">
        <v>830</v>
      </c>
      <c r="G276">
        <f>4.72*25.4</f>
        <v>119.88799999999999</v>
      </c>
      <c r="H276" s="2">
        <f>3.07*25.4</f>
        <v>77.977999999999994</v>
      </c>
      <c r="I276" s="1">
        <v>1.4</v>
      </c>
      <c r="J276" s="3" t="s">
        <v>70</v>
      </c>
      <c r="K276" s="3" t="s">
        <v>177</v>
      </c>
      <c r="L276">
        <v>0</v>
      </c>
      <c r="M276">
        <v>0</v>
      </c>
      <c r="N276" t="s">
        <v>276</v>
      </c>
      <c r="O276" s="5" t="s">
        <v>564</v>
      </c>
      <c r="P276" s="11" t="s">
        <v>613</v>
      </c>
      <c r="Q276" s="11" t="s">
        <v>610</v>
      </c>
    </row>
    <row r="277" spans="1:17" x14ac:dyDescent="0.25">
      <c r="A277" s="5">
        <v>276</v>
      </c>
      <c r="B277" t="s">
        <v>132</v>
      </c>
      <c r="C277" t="s">
        <v>153</v>
      </c>
      <c r="D277">
        <v>2015</v>
      </c>
      <c r="E277">
        <v>1117</v>
      </c>
      <c r="F277">
        <v>702</v>
      </c>
      <c r="G277">
        <f>3.27*25.4</f>
        <v>83.057999999999993</v>
      </c>
      <c r="H277" s="2">
        <f>3.03*25.4</f>
        <v>76.961999999999989</v>
      </c>
      <c r="I277" s="1">
        <v>2</v>
      </c>
      <c r="J277" s="3" t="s">
        <v>70</v>
      </c>
      <c r="K277" s="3" t="s">
        <v>177</v>
      </c>
      <c r="L277">
        <v>0</v>
      </c>
      <c r="M277">
        <v>0</v>
      </c>
      <c r="N277" t="s">
        <v>276</v>
      </c>
      <c r="O277" s="5" t="s">
        <v>564</v>
      </c>
      <c r="P277" s="11" t="s">
        <v>613</v>
      </c>
      <c r="Q277" s="11" t="s">
        <v>610</v>
      </c>
    </row>
    <row r="278" spans="1:17" x14ac:dyDescent="0.25">
      <c r="A278" s="5">
        <v>277</v>
      </c>
      <c r="B278" t="s">
        <v>132</v>
      </c>
      <c r="C278" t="s">
        <v>161</v>
      </c>
      <c r="D278">
        <v>2014</v>
      </c>
      <c r="E278">
        <v>1299</v>
      </c>
      <c r="F278">
        <v>340</v>
      </c>
      <c r="G278">
        <f>2.33*25.4</f>
        <v>59.181999999999995</v>
      </c>
      <c r="H278" s="11">
        <f>2.44*25.4</f>
        <v>61.975999999999992</v>
      </c>
      <c r="I278" s="1">
        <v>2</v>
      </c>
      <c r="J278" s="3" t="s">
        <v>70</v>
      </c>
      <c r="K278" s="3" t="s">
        <v>177</v>
      </c>
      <c r="L278">
        <v>0</v>
      </c>
      <c r="M278">
        <v>0</v>
      </c>
      <c r="N278" t="s">
        <v>276</v>
      </c>
      <c r="O278" s="5" t="s">
        <v>564</v>
      </c>
      <c r="P278" s="11" t="s">
        <v>613</v>
      </c>
      <c r="Q278" s="11" t="s">
        <v>610</v>
      </c>
    </row>
    <row r="279" spans="1:17" x14ac:dyDescent="0.25">
      <c r="A279" s="5">
        <v>278</v>
      </c>
      <c r="B279" t="s">
        <v>132</v>
      </c>
      <c r="C279" t="s">
        <v>205</v>
      </c>
      <c r="D279">
        <v>2014</v>
      </c>
      <c r="E279">
        <v>2290</v>
      </c>
      <c r="F279">
        <v>381</v>
      </c>
      <c r="G279">
        <v>65.3</v>
      </c>
      <c r="H279" s="2">
        <v>2.4900000000000002</v>
      </c>
      <c r="I279" s="1">
        <v>1.4</v>
      </c>
      <c r="J279" s="3" t="s">
        <v>70</v>
      </c>
      <c r="K279" s="3" t="s">
        <v>177</v>
      </c>
      <c r="L279">
        <v>0</v>
      </c>
      <c r="M279">
        <v>0</v>
      </c>
      <c r="N279" t="s">
        <v>276</v>
      </c>
      <c r="O279" s="5" t="s">
        <v>564</v>
      </c>
      <c r="P279" s="11" t="s">
        <v>613</v>
      </c>
      <c r="Q279" s="11" t="s">
        <v>610</v>
      </c>
    </row>
    <row r="280" spans="1:17" x14ac:dyDescent="0.25">
      <c r="A280" s="5">
        <v>279</v>
      </c>
      <c r="B280" t="s">
        <v>132</v>
      </c>
      <c r="C280" t="s">
        <v>207</v>
      </c>
      <c r="D280">
        <v>2005</v>
      </c>
      <c r="E280">
        <v>1087</v>
      </c>
      <c r="F280">
        <v>240</v>
      </c>
      <c r="G280">
        <v>68</v>
      </c>
      <c r="H280" s="2">
        <v>52</v>
      </c>
      <c r="I280" s="1">
        <v>2</v>
      </c>
      <c r="J280" s="3" t="s">
        <v>70</v>
      </c>
      <c r="K280" s="3" t="s">
        <v>177</v>
      </c>
      <c r="L280">
        <v>0</v>
      </c>
      <c r="M280">
        <v>0</v>
      </c>
      <c r="N280" t="s">
        <v>276</v>
      </c>
      <c r="O280" s="5" t="s">
        <v>564</v>
      </c>
      <c r="P280" s="11" t="s">
        <v>613</v>
      </c>
      <c r="Q280" s="11" t="s">
        <v>610</v>
      </c>
    </row>
    <row r="281" spans="1:17" x14ac:dyDescent="0.25">
      <c r="A281" s="5">
        <v>280</v>
      </c>
      <c r="B281" t="s">
        <v>132</v>
      </c>
      <c r="C281" t="s">
        <v>206</v>
      </c>
      <c r="D281">
        <v>2005</v>
      </c>
      <c r="E281">
        <v>860</v>
      </c>
      <c r="F281">
        <v>200</v>
      </c>
      <c r="G281">
        <v>55</v>
      </c>
      <c r="H281" s="7">
        <v>52</v>
      </c>
      <c r="I281" s="1">
        <v>2.8</v>
      </c>
      <c r="J281" s="3" t="s">
        <v>70</v>
      </c>
      <c r="K281" s="3" t="s">
        <v>177</v>
      </c>
      <c r="L281">
        <v>0</v>
      </c>
      <c r="M281">
        <v>0</v>
      </c>
      <c r="N281" t="s">
        <v>276</v>
      </c>
      <c r="O281" s="5" t="s">
        <v>564</v>
      </c>
      <c r="P281" s="11" t="s">
        <v>613</v>
      </c>
      <c r="Q281" s="11" t="s">
        <v>610</v>
      </c>
    </row>
    <row r="282" spans="1:17" x14ac:dyDescent="0.25">
      <c r="A282" s="5">
        <v>281</v>
      </c>
      <c r="B282" t="s">
        <v>132</v>
      </c>
      <c r="C282" t="s">
        <v>319</v>
      </c>
      <c r="D282" s="9">
        <v>2010</v>
      </c>
      <c r="E282">
        <v>3990</v>
      </c>
      <c r="F282">
        <v>1000</v>
      </c>
      <c r="G282">
        <v>80</v>
      </c>
      <c r="H282" s="2">
        <v>114</v>
      </c>
      <c r="I282" s="1">
        <v>2.1</v>
      </c>
      <c r="J282" s="3" t="s">
        <v>70</v>
      </c>
      <c r="K282" s="3" t="s">
        <v>177</v>
      </c>
      <c r="L282">
        <v>0</v>
      </c>
      <c r="M282">
        <v>1</v>
      </c>
      <c r="N282" t="s">
        <v>276</v>
      </c>
      <c r="O282" s="5" t="s">
        <v>564</v>
      </c>
      <c r="P282" s="11" t="s">
        <v>613</v>
      </c>
      <c r="Q282" s="11" t="s">
        <v>613</v>
      </c>
    </row>
    <row r="283" spans="1:17" x14ac:dyDescent="0.25">
      <c r="A283" s="5">
        <v>282</v>
      </c>
      <c r="B283" t="s">
        <v>132</v>
      </c>
      <c r="C283" t="s">
        <v>313</v>
      </c>
      <c r="D283" s="9">
        <v>2010</v>
      </c>
      <c r="E283">
        <v>4900</v>
      </c>
      <c r="F283">
        <v>1100</v>
      </c>
      <c r="G283">
        <v>91</v>
      </c>
      <c r="H283" s="2">
        <v>114</v>
      </c>
      <c r="I283" s="1">
        <v>1.5</v>
      </c>
      <c r="J283" s="3" t="s">
        <v>70</v>
      </c>
      <c r="K283" s="3" t="s">
        <v>177</v>
      </c>
      <c r="L283">
        <v>0</v>
      </c>
      <c r="M283">
        <v>1</v>
      </c>
      <c r="N283" t="s">
        <v>276</v>
      </c>
      <c r="O283" s="5" t="s">
        <v>564</v>
      </c>
      <c r="P283" s="11" t="s">
        <v>613</v>
      </c>
      <c r="Q283" s="11" t="s">
        <v>613</v>
      </c>
    </row>
    <row r="284" spans="1:17" x14ac:dyDescent="0.25">
      <c r="A284" s="5">
        <v>283</v>
      </c>
      <c r="B284" t="s">
        <v>132</v>
      </c>
      <c r="C284" t="s">
        <v>143</v>
      </c>
      <c r="D284">
        <v>2006</v>
      </c>
      <c r="E284">
        <v>725</v>
      </c>
      <c r="F284">
        <v>350</v>
      </c>
      <c r="G284">
        <f>2.72*25.4</f>
        <v>69.088000000000008</v>
      </c>
      <c r="H284" s="2">
        <f>2.6*25.4</f>
        <v>66.039999999999992</v>
      </c>
      <c r="I284" s="1">
        <v>1.4</v>
      </c>
      <c r="J284" s="3" t="s">
        <v>74</v>
      </c>
      <c r="K284" s="3" t="s">
        <v>177</v>
      </c>
      <c r="L284">
        <v>0</v>
      </c>
      <c r="M284">
        <v>0</v>
      </c>
      <c r="N284" t="s">
        <v>276</v>
      </c>
      <c r="O284" s="5" t="s">
        <v>565</v>
      </c>
      <c r="P284" s="11" t="s">
        <v>613</v>
      </c>
      <c r="Q284" s="11" t="s">
        <v>610</v>
      </c>
    </row>
    <row r="285" spans="1:17" x14ac:dyDescent="0.25">
      <c r="A285" s="5">
        <v>284</v>
      </c>
      <c r="B285" t="s">
        <v>132</v>
      </c>
      <c r="C285" t="s">
        <v>254</v>
      </c>
      <c r="D285">
        <v>2006</v>
      </c>
      <c r="E285">
        <v>1283</v>
      </c>
      <c r="F285">
        <v>530</v>
      </c>
      <c r="G285">
        <f>3.46*25.4</f>
        <v>87.884</v>
      </c>
      <c r="H285" s="2">
        <f>2.83*25.4</f>
        <v>71.881999999999991</v>
      </c>
      <c r="I285" s="1">
        <v>2</v>
      </c>
      <c r="J285" s="3" t="s">
        <v>74</v>
      </c>
      <c r="K285" s="3" t="s">
        <v>177</v>
      </c>
      <c r="L285">
        <v>0</v>
      </c>
      <c r="M285">
        <v>0</v>
      </c>
      <c r="N285" t="s">
        <v>276</v>
      </c>
      <c r="O285" s="5" t="s">
        <v>566</v>
      </c>
      <c r="P285" s="11" t="s">
        <v>613</v>
      </c>
      <c r="Q285" s="11" t="s">
        <v>610</v>
      </c>
    </row>
    <row r="286" spans="1:17" x14ac:dyDescent="0.25">
      <c r="A286" s="5">
        <v>285</v>
      </c>
      <c r="B286" t="s">
        <v>132</v>
      </c>
      <c r="C286" t="s">
        <v>154</v>
      </c>
      <c r="D286">
        <v>2015</v>
      </c>
      <c r="E286">
        <v>1199</v>
      </c>
      <c r="F286">
        <v>922</v>
      </c>
      <c r="G286">
        <f>3.84*25.4</f>
        <v>97.535999999999987</v>
      </c>
      <c r="H286" s="2">
        <f>3.25*25.4</f>
        <v>82.55</v>
      </c>
      <c r="I286" s="1">
        <v>1.4</v>
      </c>
      <c r="J286" s="3" t="s">
        <v>74</v>
      </c>
      <c r="K286" s="3" t="s">
        <v>177</v>
      </c>
      <c r="L286">
        <v>0</v>
      </c>
      <c r="M286">
        <v>0</v>
      </c>
      <c r="N286" t="s">
        <v>276</v>
      </c>
      <c r="O286" s="5" t="s">
        <v>565</v>
      </c>
      <c r="P286" s="11" t="s">
        <v>613</v>
      </c>
      <c r="Q286" s="11" t="s">
        <v>610</v>
      </c>
    </row>
    <row r="287" spans="1:17" x14ac:dyDescent="0.25">
      <c r="A287" s="5">
        <v>286</v>
      </c>
      <c r="B287" t="s">
        <v>132</v>
      </c>
      <c r="C287" t="s">
        <v>156</v>
      </c>
      <c r="D287">
        <v>2015</v>
      </c>
      <c r="E287">
        <v>1283</v>
      </c>
      <c r="F287">
        <v>730</v>
      </c>
      <c r="G287">
        <f>2.96*25.4</f>
        <v>75.183999999999997</v>
      </c>
      <c r="H287" s="2">
        <f>3.19*25.4</f>
        <v>81.025999999999996</v>
      </c>
      <c r="I287" s="1">
        <v>2</v>
      </c>
      <c r="J287" s="3" t="s">
        <v>74</v>
      </c>
      <c r="K287" s="3" t="s">
        <v>177</v>
      </c>
      <c r="L287">
        <v>0</v>
      </c>
      <c r="M287">
        <v>0</v>
      </c>
      <c r="N287" t="s">
        <v>276</v>
      </c>
      <c r="O287" s="5" t="s">
        <v>565</v>
      </c>
      <c r="P287" s="11" t="s">
        <v>613</v>
      </c>
      <c r="Q287" s="11" t="s">
        <v>610</v>
      </c>
    </row>
    <row r="288" spans="1:17" x14ac:dyDescent="0.25">
      <c r="A288" s="5">
        <v>287</v>
      </c>
      <c r="B288" t="s">
        <v>132</v>
      </c>
      <c r="C288" t="s">
        <v>163</v>
      </c>
      <c r="D288">
        <v>2014</v>
      </c>
      <c r="E288">
        <v>949</v>
      </c>
      <c r="F288">
        <v>320</v>
      </c>
      <c r="G288">
        <f>2.33*25.4</f>
        <v>59.181999999999995</v>
      </c>
      <c r="H288" s="2">
        <f>2.44*25.4</f>
        <v>61.975999999999992</v>
      </c>
      <c r="I288" s="1">
        <v>2</v>
      </c>
      <c r="J288" s="3" t="s">
        <v>74</v>
      </c>
      <c r="K288" s="3" t="s">
        <v>177</v>
      </c>
      <c r="L288">
        <v>0</v>
      </c>
      <c r="M288">
        <v>0</v>
      </c>
      <c r="N288" t="s">
        <v>276</v>
      </c>
      <c r="O288" s="5" t="s">
        <v>565</v>
      </c>
      <c r="P288" s="11" t="s">
        <v>613</v>
      </c>
      <c r="Q288" s="11" t="s">
        <v>610</v>
      </c>
    </row>
    <row r="289" spans="1:17" x14ac:dyDescent="0.25">
      <c r="A289" s="5">
        <v>288</v>
      </c>
      <c r="B289" t="s">
        <v>132</v>
      </c>
      <c r="C289" t="s">
        <v>208</v>
      </c>
      <c r="D289">
        <v>2005</v>
      </c>
      <c r="E289">
        <v>1201</v>
      </c>
      <c r="F289">
        <v>250</v>
      </c>
      <c r="G289">
        <v>63</v>
      </c>
      <c r="H289" s="7">
        <v>56</v>
      </c>
      <c r="I289" s="1">
        <v>1.5</v>
      </c>
      <c r="J289" s="3" t="s">
        <v>74</v>
      </c>
      <c r="K289" s="3" t="s">
        <v>177</v>
      </c>
      <c r="L289">
        <v>0</v>
      </c>
      <c r="M289">
        <v>0</v>
      </c>
      <c r="N289" t="s">
        <v>276</v>
      </c>
      <c r="O289" s="5" t="s">
        <v>565</v>
      </c>
      <c r="P289" s="11" t="s">
        <v>613</v>
      </c>
      <c r="Q289" s="11" t="s">
        <v>610</v>
      </c>
    </row>
    <row r="290" spans="1:17" x14ac:dyDescent="0.25">
      <c r="A290" s="5">
        <v>289</v>
      </c>
      <c r="B290" t="s">
        <v>132</v>
      </c>
      <c r="C290" t="s">
        <v>209</v>
      </c>
      <c r="D290">
        <v>2005</v>
      </c>
      <c r="E290">
        <v>860</v>
      </c>
      <c r="F290">
        <v>210</v>
      </c>
      <c r="G290">
        <v>68</v>
      </c>
      <c r="H290" s="2">
        <v>52</v>
      </c>
      <c r="I290" s="1">
        <v>2</v>
      </c>
      <c r="J290" s="3" t="s">
        <v>74</v>
      </c>
      <c r="K290" s="3" t="s">
        <v>177</v>
      </c>
      <c r="L290">
        <v>0</v>
      </c>
      <c r="M290">
        <v>0</v>
      </c>
      <c r="N290" t="s">
        <v>276</v>
      </c>
      <c r="O290" s="5" t="s">
        <v>565</v>
      </c>
      <c r="P290" s="11" t="s">
        <v>613</v>
      </c>
      <c r="Q290" s="11" t="s">
        <v>610</v>
      </c>
    </row>
    <row r="291" spans="1:17" x14ac:dyDescent="0.25">
      <c r="A291" s="5">
        <v>290</v>
      </c>
      <c r="B291" t="s">
        <v>132</v>
      </c>
      <c r="C291" t="s">
        <v>312</v>
      </c>
      <c r="D291" s="9">
        <v>2010</v>
      </c>
      <c r="E291">
        <v>3990</v>
      </c>
      <c r="F291">
        <v>900</v>
      </c>
      <c r="G291">
        <v>80</v>
      </c>
      <c r="H291" s="2">
        <v>114</v>
      </c>
      <c r="I291" s="1">
        <v>2.1</v>
      </c>
      <c r="J291" s="3" t="s">
        <v>74</v>
      </c>
      <c r="K291" s="3" t="s">
        <v>177</v>
      </c>
      <c r="L291">
        <v>0</v>
      </c>
      <c r="M291">
        <v>1</v>
      </c>
      <c r="N291" t="s">
        <v>276</v>
      </c>
      <c r="O291" s="5" t="s">
        <v>565</v>
      </c>
      <c r="P291" s="11" t="s">
        <v>613</v>
      </c>
      <c r="Q291" s="11" t="s">
        <v>613</v>
      </c>
    </row>
    <row r="292" spans="1:17" x14ac:dyDescent="0.25">
      <c r="A292" s="5">
        <v>291</v>
      </c>
      <c r="B292" t="s">
        <v>132</v>
      </c>
      <c r="C292" t="s">
        <v>320</v>
      </c>
      <c r="D292" s="9">
        <v>2010</v>
      </c>
      <c r="E292">
        <v>4500</v>
      </c>
      <c r="F292">
        <v>900</v>
      </c>
      <c r="G292">
        <v>80</v>
      </c>
      <c r="H292" s="2">
        <v>114</v>
      </c>
      <c r="I292" s="1">
        <v>1.5</v>
      </c>
      <c r="J292" s="3" t="s">
        <v>74</v>
      </c>
      <c r="K292" s="3" t="s">
        <v>177</v>
      </c>
      <c r="L292">
        <v>0</v>
      </c>
      <c r="M292">
        <v>1</v>
      </c>
      <c r="N292" t="s">
        <v>276</v>
      </c>
      <c r="O292" s="5" t="s">
        <v>565</v>
      </c>
      <c r="P292" s="11" t="s">
        <v>613</v>
      </c>
      <c r="Q292" s="11" t="s">
        <v>613</v>
      </c>
    </row>
    <row r="293" spans="1:17" x14ac:dyDescent="0.25">
      <c r="A293" s="5">
        <v>292</v>
      </c>
      <c r="B293" t="s">
        <v>132</v>
      </c>
      <c r="C293" t="s">
        <v>322</v>
      </c>
      <c r="D293" s="9">
        <v>2010</v>
      </c>
      <c r="E293">
        <v>4900</v>
      </c>
      <c r="F293">
        <v>1400</v>
      </c>
      <c r="G293">
        <v>132</v>
      </c>
      <c r="H293" s="2">
        <v>134</v>
      </c>
      <c r="I293" s="1">
        <v>2.1</v>
      </c>
      <c r="J293" s="3" t="s">
        <v>74</v>
      </c>
      <c r="K293" s="3" t="s">
        <v>177</v>
      </c>
      <c r="L293">
        <v>0</v>
      </c>
      <c r="M293">
        <v>1</v>
      </c>
      <c r="N293" t="s">
        <v>276</v>
      </c>
      <c r="O293" s="5" t="s">
        <v>565</v>
      </c>
      <c r="P293" s="11" t="s">
        <v>613</v>
      </c>
      <c r="Q293" s="11" t="s">
        <v>613</v>
      </c>
    </row>
    <row r="294" spans="1:17" x14ac:dyDescent="0.25">
      <c r="A294" s="5">
        <v>293</v>
      </c>
      <c r="B294" t="s">
        <v>132</v>
      </c>
      <c r="C294" t="s">
        <v>148</v>
      </c>
      <c r="D294">
        <v>2013</v>
      </c>
      <c r="E294">
        <v>3990</v>
      </c>
      <c r="F294">
        <v>1030</v>
      </c>
      <c r="G294">
        <f>5.66*25.4</f>
        <v>143.76399999999998</v>
      </c>
      <c r="H294" s="2">
        <f>3.64*25.4</f>
        <v>92.456000000000003</v>
      </c>
      <c r="I294" s="1">
        <v>1.4</v>
      </c>
      <c r="J294" s="3" t="s">
        <v>149</v>
      </c>
      <c r="K294" s="3" t="s">
        <v>177</v>
      </c>
      <c r="L294">
        <v>0</v>
      </c>
      <c r="M294">
        <v>0</v>
      </c>
      <c r="N294" t="s">
        <v>276</v>
      </c>
      <c r="O294" s="5" t="s">
        <v>565</v>
      </c>
      <c r="P294" s="11" t="s">
        <v>613</v>
      </c>
      <c r="Q294" s="11" t="s">
        <v>610</v>
      </c>
    </row>
    <row r="295" spans="1:17" x14ac:dyDescent="0.25">
      <c r="A295" s="5">
        <v>294</v>
      </c>
      <c r="B295" t="s">
        <v>132</v>
      </c>
      <c r="C295" t="s">
        <v>144</v>
      </c>
      <c r="D295">
        <v>2006</v>
      </c>
      <c r="E295">
        <v>1283</v>
      </c>
      <c r="F295">
        <v>670</v>
      </c>
      <c r="G295">
        <f>2.56*25.4</f>
        <v>65.024000000000001</v>
      </c>
      <c r="H295" s="2">
        <f>3.08*25.4</f>
        <v>78.231999999999999</v>
      </c>
      <c r="I295" s="1">
        <v>1.4</v>
      </c>
      <c r="J295" s="3" t="s">
        <v>77</v>
      </c>
      <c r="K295" s="3" t="s">
        <v>177</v>
      </c>
      <c r="L295">
        <v>0</v>
      </c>
      <c r="M295">
        <v>0</v>
      </c>
      <c r="N295" t="s">
        <v>276</v>
      </c>
      <c r="O295" s="5" t="s">
        <v>567</v>
      </c>
      <c r="P295" s="11" t="s">
        <v>613</v>
      </c>
      <c r="Q295" s="11" t="s">
        <v>610</v>
      </c>
    </row>
    <row r="296" spans="1:17" x14ac:dyDescent="0.25">
      <c r="A296" s="5">
        <v>295</v>
      </c>
      <c r="B296" t="s">
        <v>132</v>
      </c>
      <c r="C296" t="s">
        <v>151</v>
      </c>
      <c r="D296">
        <v>2014</v>
      </c>
      <c r="E296">
        <v>4490</v>
      </c>
      <c r="F296">
        <v>1200</v>
      </c>
      <c r="G296">
        <f>4.88*25.4</f>
        <v>123.95199999999998</v>
      </c>
      <c r="H296" s="2">
        <f>3.98*25.4</f>
        <v>101.092</v>
      </c>
      <c r="I296" s="1">
        <v>1.4</v>
      </c>
      <c r="J296" s="3" t="s">
        <v>77</v>
      </c>
      <c r="K296" s="3" t="s">
        <v>177</v>
      </c>
      <c r="L296">
        <v>0</v>
      </c>
      <c r="M296">
        <v>0</v>
      </c>
      <c r="N296" t="s">
        <v>276</v>
      </c>
      <c r="O296" s="5" t="s">
        <v>567</v>
      </c>
      <c r="P296" s="11" t="s">
        <v>613</v>
      </c>
      <c r="Q296" s="11" t="s">
        <v>610</v>
      </c>
    </row>
    <row r="297" spans="1:17" x14ac:dyDescent="0.25">
      <c r="A297" s="5">
        <v>296</v>
      </c>
      <c r="B297" t="s">
        <v>132</v>
      </c>
      <c r="C297" t="s">
        <v>155</v>
      </c>
      <c r="D297">
        <v>2015</v>
      </c>
      <c r="E297">
        <v>1799</v>
      </c>
      <c r="F297">
        <v>1280</v>
      </c>
      <c r="G297">
        <f>4.45*25.4</f>
        <v>113.03</v>
      </c>
      <c r="H297" s="2">
        <f>3.54*25.4</f>
        <v>89.915999999999997</v>
      </c>
      <c r="I297" s="1">
        <v>1.4</v>
      </c>
      <c r="J297" s="3" t="s">
        <v>77</v>
      </c>
      <c r="K297" s="3" t="s">
        <v>177</v>
      </c>
      <c r="L297">
        <v>0</v>
      </c>
      <c r="M297">
        <v>0</v>
      </c>
      <c r="N297" t="s">
        <v>276</v>
      </c>
      <c r="O297" s="5" t="s">
        <v>567</v>
      </c>
      <c r="P297" s="11" t="s">
        <v>613</v>
      </c>
      <c r="Q297" s="11" t="s">
        <v>610</v>
      </c>
    </row>
    <row r="298" spans="1:17" x14ac:dyDescent="0.25">
      <c r="A298" s="5">
        <v>297</v>
      </c>
      <c r="B298" t="s">
        <v>132</v>
      </c>
      <c r="C298" t="s">
        <v>332</v>
      </c>
      <c r="D298">
        <v>2015</v>
      </c>
      <c r="E298">
        <v>1199</v>
      </c>
      <c r="F298">
        <v>475</v>
      </c>
      <c r="G298">
        <f>3.62*25.4</f>
        <v>91.947999999999993</v>
      </c>
      <c r="H298" s="2">
        <f>3.19*25.4</f>
        <v>81.025999999999996</v>
      </c>
      <c r="I298" s="1">
        <v>1.8</v>
      </c>
      <c r="J298" s="3" t="s">
        <v>77</v>
      </c>
      <c r="K298" s="3" t="s">
        <v>177</v>
      </c>
      <c r="L298">
        <v>1</v>
      </c>
      <c r="M298">
        <v>0</v>
      </c>
      <c r="N298" t="s">
        <v>276</v>
      </c>
      <c r="O298" s="5" t="s">
        <v>567</v>
      </c>
      <c r="P298" s="11" t="s">
        <v>613</v>
      </c>
      <c r="Q298" s="11" t="s">
        <v>610</v>
      </c>
    </row>
    <row r="299" spans="1:17" x14ac:dyDescent="0.25">
      <c r="A299" s="5">
        <v>298</v>
      </c>
      <c r="B299" t="s">
        <v>132</v>
      </c>
      <c r="C299" t="s">
        <v>210</v>
      </c>
      <c r="D299" s="11">
        <v>2005</v>
      </c>
      <c r="E299">
        <v>940</v>
      </c>
      <c r="F299">
        <v>310</v>
      </c>
      <c r="G299">
        <v>95</v>
      </c>
      <c r="H299" s="2">
        <v>54</v>
      </c>
      <c r="I299" s="1">
        <v>4</v>
      </c>
      <c r="J299" s="3" t="s">
        <v>77</v>
      </c>
      <c r="K299" s="3" t="s">
        <v>177</v>
      </c>
      <c r="L299">
        <v>0</v>
      </c>
      <c r="M299">
        <v>0</v>
      </c>
      <c r="N299" t="s">
        <v>276</v>
      </c>
      <c r="O299" s="5" t="s">
        <v>567</v>
      </c>
      <c r="P299" s="11" t="s">
        <v>613</v>
      </c>
      <c r="Q299" s="11" t="s">
        <v>610</v>
      </c>
    </row>
    <row r="300" spans="1:17" x14ac:dyDescent="0.25">
      <c r="A300" s="5">
        <v>299</v>
      </c>
      <c r="B300" t="s">
        <v>132</v>
      </c>
      <c r="C300" t="s">
        <v>316</v>
      </c>
      <c r="D300" s="4">
        <v>2010</v>
      </c>
      <c r="E300">
        <v>3990</v>
      </c>
      <c r="F300">
        <v>900</v>
      </c>
      <c r="G300">
        <v>80</v>
      </c>
      <c r="H300" s="2">
        <v>114</v>
      </c>
      <c r="I300" s="1">
        <v>2.1</v>
      </c>
      <c r="J300" s="3" t="s">
        <v>77</v>
      </c>
      <c r="K300" s="3" t="s">
        <v>177</v>
      </c>
      <c r="L300">
        <v>0</v>
      </c>
      <c r="M300">
        <v>1</v>
      </c>
      <c r="N300" t="s">
        <v>276</v>
      </c>
      <c r="O300" s="5" t="s">
        <v>567</v>
      </c>
      <c r="P300" s="11" t="s">
        <v>613</v>
      </c>
      <c r="Q300" s="11" t="s">
        <v>613</v>
      </c>
    </row>
    <row r="301" spans="1:17" x14ac:dyDescent="0.25">
      <c r="A301" s="5">
        <v>300</v>
      </c>
      <c r="B301" t="s">
        <v>132</v>
      </c>
      <c r="C301" t="s">
        <v>315</v>
      </c>
      <c r="D301">
        <v>2010</v>
      </c>
      <c r="E301">
        <v>4500</v>
      </c>
      <c r="F301">
        <v>900</v>
      </c>
      <c r="G301">
        <v>80</v>
      </c>
      <c r="H301" s="2">
        <v>114</v>
      </c>
      <c r="I301" s="1">
        <v>1.5</v>
      </c>
      <c r="J301" s="3" t="s">
        <v>77</v>
      </c>
      <c r="K301" s="3" t="s">
        <v>177</v>
      </c>
      <c r="L301">
        <v>0</v>
      </c>
      <c r="M301">
        <v>1</v>
      </c>
      <c r="N301" t="s">
        <v>276</v>
      </c>
      <c r="O301" s="5" t="s">
        <v>567</v>
      </c>
      <c r="P301" s="11" t="s">
        <v>613</v>
      </c>
      <c r="Q301" s="11" t="s">
        <v>613</v>
      </c>
    </row>
    <row r="302" spans="1:17" x14ac:dyDescent="0.25">
      <c r="A302" s="5">
        <v>301</v>
      </c>
      <c r="B302" t="s">
        <v>132</v>
      </c>
      <c r="C302" t="s">
        <v>145</v>
      </c>
      <c r="D302">
        <v>2006</v>
      </c>
      <c r="E302">
        <v>1843</v>
      </c>
      <c r="F302">
        <v>680</v>
      </c>
      <c r="G302">
        <f>4.45*25.4</f>
        <v>113.03</v>
      </c>
      <c r="H302" s="7">
        <f>2.99*25.4</f>
        <v>75.945999999999998</v>
      </c>
      <c r="I302" s="1">
        <v>2</v>
      </c>
      <c r="J302" s="3" t="s">
        <v>146</v>
      </c>
      <c r="K302" s="3" t="s">
        <v>177</v>
      </c>
      <c r="L302">
        <v>0</v>
      </c>
      <c r="M302">
        <v>0</v>
      </c>
      <c r="N302" t="s">
        <v>276</v>
      </c>
      <c r="O302" s="5" t="s">
        <v>566</v>
      </c>
      <c r="P302" s="11" t="s">
        <v>613</v>
      </c>
      <c r="Q302" s="11" t="s">
        <v>610</v>
      </c>
    </row>
    <row r="303" spans="1:17" x14ac:dyDescent="0.25">
      <c r="A303" s="5">
        <v>302</v>
      </c>
      <c r="B303" t="s">
        <v>132</v>
      </c>
      <c r="C303" t="s">
        <v>157</v>
      </c>
      <c r="D303">
        <v>2015</v>
      </c>
      <c r="E303">
        <v>1843</v>
      </c>
      <c r="F303">
        <v>843</v>
      </c>
      <c r="G303">
        <f>4.09*25.4</f>
        <v>103.886</v>
      </c>
      <c r="H303" s="7">
        <f>3.17*25.4</f>
        <v>80.518000000000001</v>
      </c>
      <c r="I303" s="1">
        <v>2</v>
      </c>
      <c r="J303" s="3" t="s">
        <v>146</v>
      </c>
      <c r="K303" s="3" t="s">
        <v>177</v>
      </c>
      <c r="L303">
        <v>0</v>
      </c>
      <c r="M303">
        <v>0</v>
      </c>
      <c r="N303" t="s">
        <v>276</v>
      </c>
      <c r="O303" s="5" t="s">
        <v>566</v>
      </c>
      <c r="P303" s="11" t="s">
        <v>613</v>
      </c>
      <c r="Q303" s="11" t="s">
        <v>610</v>
      </c>
    </row>
    <row r="304" spans="1:17" x14ac:dyDescent="0.25">
      <c r="A304" s="5">
        <v>303</v>
      </c>
      <c r="B304" t="s">
        <v>132</v>
      </c>
      <c r="C304" t="s">
        <v>314</v>
      </c>
      <c r="D304" s="9">
        <v>2010</v>
      </c>
      <c r="E304">
        <v>4900</v>
      </c>
      <c r="F304">
        <v>1500</v>
      </c>
      <c r="G304">
        <v>132</v>
      </c>
      <c r="H304" s="2">
        <v>114</v>
      </c>
      <c r="I304" s="1">
        <v>2.1</v>
      </c>
      <c r="J304" s="3" t="s">
        <v>146</v>
      </c>
      <c r="K304" s="3" t="s">
        <v>177</v>
      </c>
      <c r="L304">
        <v>0</v>
      </c>
      <c r="M304">
        <v>1</v>
      </c>
      <c r="N304" t="s">
        <v>276</v>
      </c>
      <c r="O304" s="5" t="s">
        <v>566</v>
      </c>
      <c r="P304" s="11" t="s">
        <v>613</v>
      </c>
      <c r="Q304" s="11" t="s">
        <v>613</v>
      </c>
    </row>
    <row r="305" spans="1:17" x14ac:dyDescent="0.25">
      <c r="A305" s="5">
        <v>304</v>
      </c>
      <c r="B305" t="s">
        <v>132</v>
      </c>
      <c r="C305" t="s">
        <v>147</v>
      </c>
      <c r="D305">
        <v>2012</v>
      </c>
      <c r="E305">
        <v>2122</v>
      </c>
      <c r="F305">
        <v>930</v>
      </c>
      <c r="G305">
        <f>4.25*25.4</f>
        <v>107.94999999999999</v>
      </c>
      <c r="H305" s="2">
        <f>3.31*25.4</f>
        <v>84.073999999999998</v>
      </c>
      <c r="I305" s="1">
        <v>2</v>
      </c>
      <c r="J305" s="3" t="s">
        <v>125</v>
      </c>
      <c r="K305" s="3" t="s">
        <v>177</v>
      </c>
      <c r="L305">
        <v>0</v>
      </c>
      <c r="M305">
        <v>0</v>
      </c>
      <c r="N305" t="s">
        <v>276</v>
      </c>
      <c r="O305" s="5" t="s">
        <v>568</v>
      </c>
      <c r="P305" s="11" t="s">
        <v>613</v>
      </c>
      <c r="Q305" s="11" t="s">
        <v>610</v>
      </c>
    </row>
    <row r="306" spans="1:17" x14ac:dyDescent="0.25">
      <c r="A306" s="5">
        <v>305</v>
      </c>
      <c r="B306" t="s">
        <v>132</v>
      </c>
      <c r="C306" t="s">
        <v>317</v>
      </c>
      <c r="D306" s="11">
        <v>2012</v>
      </c>
      <c r="E306">
        <v>5700</v>
      </c>
      <c r="F306">
        <v>1600</v>
      </c>
      <c r="G306">
        <v>149</v>
      </c>
      <c r="H306" s="2">
        <v>114</v>
      </c>
      <c r="I306" s="1">
        <v>2.1</v>
      </c>
      <c r="J306" s="3" t="s">
        <v>125</v>
      </c>
      <c r="K306" s="3" t="s">
        <v>177</v>
      </c>
      <c r="L306">
        <v>0</v>
      </c>
      <c r="M306">
        <v>1</v>
      </c>
      <c r="N306" t="s">
        <v>276</v>
      </c>
      <c r="O306" s="5" t="s">
        <v>568</v>
      </c>
      <c r="P306" s="11" t="s">
        <v>613</v>
      </c>
      <c r="Q306" s="11" t="s">
        <v>613</v>
      </c>
    </row>
    <row r="307" spans="1:17" x14ac:dyDescent="0.25">
      <c r="A307" s="5">
        <v>306</v>
      </c>
      <c r="B307" t="s">
        <v>132</v>
      </c>
      <c r="C307" t="s">
        <v>326</v>
      </c>
      <c r="D307">
        <v>2012</v>
      </c>
      <c r="E307">
        <v>19900</v>
      </c>
      <c r="F307">
        <v>2800</v>
      </c>
      <c r="G307">
        <v>250</v>
      </c>
      <c r="H307" s="7">
        <v>95</v>
      </c>
      <c r="I307" s="1">
        <v>2.9</v>
      </c>
      <c r="J307" s="3" t="s">
        <v>359</v>
      </c>
      <c r="K307" s="3" t="s">
        <v>178</v>
      </c>
      <c r="L307">
        <v>0</v>
      </c>
      <c r="M307">
        <v>1</v>
      </c>
      <c r="N307" t="s">
        <v>276</v>
      </c>
      <c r="O307" s="5" t="s">
        <v>571</v>
      </c>
      <c r="P307" s="11" t="s">
        <v>613</v>
      </c>
      <c r="Q307" s="11" t="s">
        <v>613</v>
      </c>
    </row>
    <row r="308" spans="1:17" x14ac:dyDescent="0.25">
      <c r="A308" s="5">
        <v>307</v>
      </c>
      <c r="B308" t="s">
        <v>132</v>
      </c>
      <c r="C308" t="s">
        <v>324</v>
      </c>
      <c r="D308">
        <v>2014</v>
      </c>
      <c r="E308">
        <v>23900</v>
      </c>
      <c r="F308">
        <v>2600</v>
      </c>
      <c r="G308">
        <v>198</v>
      </c>
      <c r="H308" s="7">
        <v>114</v>
      </c>
      <c r="I308" s="1">
        <v>2.9</v>
      </c>
      <c r="J308" s="3" t="s">
        <v>434</v>
      </c>
      <c r="K308" s="3" t="s">
        <v>178</v>
      </c>
      <c r="L308">
        <v>0</v>
      </c>
      <c r="M308">
        <v>1</v>
      </c>
      <c r="N308" t="s">
        <v>276</v>
      </c>
      <c r="O308" s="5" t="s">
        <v>562</v>
      </c>
      <c r="P308" s="11" t="s">
        <v>613</v>
      </c>
      <c r="Q308" s="11" t="s">
        <v>613</v>
      </c>
    </row>
    <row r="309" spans="1:17" x14ac:dyDescent="0.25">
      <c r="A309" s="5">
        <v>308</v>
      </c>
      <c r="B309" t="s">
        <v>132</v>
      </c>
      <c r="C309" t="s">
        <v>325</v>
      </c>
      <c r="D309" s="9">
        <v>2010</v>
      </c>
      <c r="E309">
        <v>19900</v>
      </c>
      <c r="F309">
        <v>2500</v>
      </c>
      <c r="G309">
        <v>196</v>
      </c>
      <c r="H309" s="7">
        <v>95</v>
      </c>
      <c r="I309" s="1">
        <v>2.9</v>
      </c>
      <c r="J309" s="3" t="s">
        <v>433</v>
      </c>
      <c r="K309" s="3" t="s">
        <v>178</v>
      </c>
      <c r="L309">
        <v>0</v>
      </c>
      <c r="M309">
        <v>1</v>
      </c>
      <c r="N309" t="s">
        <v>276</v>
      </c>
      <c r="O309" s="5" t="s">
        <v>565</v>
      </c>
      <c r="P309" s="11" t="s">
        <v>613</v>
      </c>
      <c r="Q309" s="11" t="s">
        <v>613</v>
      </c>
    </row>
    <row r="310" spans="1:17" x14ac:dyDescent="0.25">
      <c r="A310" s="5">
        <v>309</v>
      </c>
      <c r="B310" t="s">
        <v>132</v>
      </c>
      <c r="C310" t="s">
        <v>412</v>
      </c>
      <c r="D310">
        <v>2016</v>
      </c>
      <c r="E310">
        <v>2699</v>
      </c>
      <c r="F310">
        <v>880</v>
      </c>
      <c r="G310">
        <v>99</v>
      </c>
      <c r="H310" s="7">
        <v>102.3</v>
      </c>
      <c r="I310" s="1">
        <v>2.8</v>
      </c>
      <c r="J310" s="3" t="s">
        <v>134</v>
      </c>
      <c r="K310" s="3" t="s">
        <v>177</v>
      </c>
      <c r="L310">
        <v>0</v>
      </c>
      <c r="M310">
        <v>0</v>
      </c>
      <c r="N310" t="s">
        <v>276</v>
      </c>
      <c r="O310" s="5" t="s">
        <v>562</v>
      </c>
      <c r="P310" s="11" t="s">
        <v>613</v>
      </c>
      <c r="Q310" s="11" t="s">
        <v>610</v>
      </c>
    </row>
    <row r="311" spans="1:17" x14ac:dyDescent="0.25">
      <c r="A311" s="5">
        <v>310</v>
      </c>
      <c r="B311" t="s">
        <v>132</v>
      </c>
      <c r="C311" t="s">
        <v>410</v>
      </c>
      <c r="D311">
        <v>2016</v>
      </c>
      <c r="E311">
        <v>2299</v>
      </c>
      <c r="F311">
        <v>721</v>
      </c>
      <c r="G311">
        <v>93</v>
      </c>
      <c r="H311" s="2">
        <v>90</v>
      </c>
      <c r="I311" s="1">
        <v>2.8</v>
      </c>
      <c r="J311" s="3" t="s">
        <v>136</v>
      </c>
      <c r="K311" s="3" t="s">
        <v>177</v>
      </c>
      <c r="L311">
        <v>0</v>
      </c>
      <c r="M311">
        <v>0</v>
      </c>
      <c r="N311" t="s">
        <v>276</v>
      </c>
      <c r="O311" s="5" t="s">
        <v>562</v>
      </c>
      <c r="P311" s="11" t="s">
        <v>613</v>
      </c>
      <c r="Q311" s="11" t="s">
        <v>610</v>
      </c>
    </row>
    <row r="312" spans="1:17" x14ac:dyDescent="0.25">
      <c r="A312" s="5">
        <v>311</v>
      </c>
      <c r="B312" t="s">
        <v>132</v>
      </c>
      <c r="C312" t="s">
        <v>411</v>
      </c>
      <c r="D312">
        <v>2016</v>
      </c>
      <c r="E312">
        <v>2199</v>
      </c>
      <c r="F312">
        <v>1123</v>
      </c>
      <c r="G312">
        <v>115</v>
      </c>
      <c r="H312" s="2">
        <v>89.7</v>
      </c>
      <c r="I312" s="1">
        <v>2</v>
      </c>
      <c r="J312" s="3" t="s">
        <v>125</v>
      </c>
      <c r="K312" s="3" t="s">
        <v>177</v>
      </c>
      <c r="L312">
        <v>0</v>
      </c>
      <c r="M312">
        <v>0</v>
      </c>
      <c r="N312" t="s">
        <v>276</v>
      </c>
      <c r="O312" s="5" t="s">
        <v>568</v>
      </c>
      <c r="P312" s="11" t="s">
        <v>613</v>
      </c>
      <c r="Q312" s="11" t="s">
        <v>610</v>
      </c>
    </row>
    <row r="313" spans="1:17" x14ac:dyDescent="0.25">
      <c r="A313" s="5">
        <v>312</v>
      </c>
      <c r="B313" t="s">
        <v>132</v>
      </c>
      <c r="C313" t="s">
        <v>413</v>
      </c>
      <c r="D313">
        <v>2016</v>
      </c>
      <c r="E313">
        <v>1399</v>
      </c>
      <c r="F313">
        <v>594</v>
      </c>
      <c r="G313">
        <v>94.8</v>
      </c>
      <c r="H313" s="2">
        <v>62.5</v>
      </c>
      <c r="I313" s="1">
        <v>2.4</v>
      </c>
      <c r="J313" s="3" t="s">
        <v>77</v>
      </c>
      <c r="K313" s="3" t="s">
        <v>177</v>
      </c>
      <c r="L313">
        <v>0</v>
      </c>
      <c r="M313">
        <v>0</v>
      </c>
      <c r="N313" t="s">
        <v>276</v>
      </c>
      <c r="O313" s="5" t="s">
        <v>567</v>
      </c>
      <c r="P313" s="11" t="s">
        <v>613</v>
      </c>
      <c r="Q313" s="11" t="s">
        <v>610</v>
      </c>
    </row>
    <row r="314" spans="1:17" x14ac:dyDescent="0.25">
      <c r="A314" s="5">
        <v>313</v>
      </c>
      <c r="B314" t="s">
        <v>132</v>
      </c>
      <c r="C314" t="s">
        <v>414</v>
      </c>
      <c r="D314">
        <v>2016</v>
      </c>
      <c r="E314">
        <v>1499</v>
      </c>
      <c r="F314">
        <v>330</v>
      </c>
      <c r="G314">
        <v>80</v>
      </c>
      <c r="H314" s="2">
        <v>100</v>
      </c>
      <c r="I314" s="1">
        <v>2.8</v>
      </c>
      <c r="J314" s="3" t="s">
        <v>136</v>
      </c>
      <c r="K314" s="3" t="s">
        <v>177</v>
      </c>
      <c r="L314">
        <v>0</v>
      </c>
      <c r="M314">
        <v>0</v>
      </c>
      <c r="N314" t="s">
        <v>276</v>
      </c>
      <c r="O314" s="5" t="s">
        <v>562</v>
      </c>
      <c r="P314" s="11" t="s">
        <v>613</v>
      </c>
      <c r="Q314" s="11" t="s">
        <v>610</v>
      </c>
    </row>
    <row r="315" spans="1:17" x14ac:dyDescent="0.25">
      <c r="A315" s="5">
        <v>314</v>
      </c>
      <c r="B315" t="s">
        <v>367</v>
      </c>
      <c r="C315" t="s">
        <v>432</v>
      </c>
      <c r="D315">
        <v>2017</v>
      </c>
      <c r="E315">
        <v>3799</v>
      </c>
      <c r="F315">
        <v>980</v>
      </c>
      <c r="G315">
        <v>206.3</v>
      </c>
      <c r="H315" s="2">
        <v>85</v>
      </c>
      <c r="I315" s="1">
        <v>2.9</v>
      </c>
      <c r="J315" s="3" t="s">
        <v>362</v>
      </c>
      <c r="K315" s="3" t="s">
        <v>178</v>
      </c>
      <c r="L315">
        <v>0</v>
      </c>
      <c r="M315">
        <v>1</v>
      </c>
      <c r="N315" t="s">
        <v>435</v>
      </c>
      <c r="O315" s="5" t="s">
        <v>565</v>
      </c>
      <c r="P315" s="11" t="s">
        <v>610</v>
      </c>
      <c r="Q315" s="11" t="s">
        <v>610</v>
      </c>
    </row>
    <row r="316" spans="1:17" x14ac:dyDescent="0.25">
      <c r="A316" s="5">
        <v>315</v>
      </c>
      <c r="B316" t="s">
        <v>367</v>
      </c>
      <c r="C316" t="s">
        <v>459</v>
      </c>
      <c r="D316">
        <v>2017</v>
      </c>
      <c r="E316">
        <v>3799</v>
      </c>
      <c r="F316">
        <v>980</v>
      </c>
      <c r="G316">
        <v>206.3</v>
      </c>
      <c r="H316" s="2">
        <v>85</v>
      </c>
      <c r="I316" s="1">
        <v>2.9</v>
      </c>
      <c r="J316" s="3" t="s">
        <v>460</v>
      </c>
      <c r="K316" s="3" t="s">
        <v>178</v>
      </c>
      <c r="L316">
        <v>0</v>
      </c>
      <c r="M316">
        <v>1</v>
      </c>
      <c r="N316" t="s">
        <v>435</v>
      </c>
      <c r="O316" s="5" t="s">
        <v>571</v>
      </c>
      <c r="P316" s="11" t="s">
        <v>610</v>
      </c>
      <c r="Q316" s="11" t="s">
        <v>610</v>
      </c>
    </row>
    <row r="317" spans="1:17" x14ac:dyDescent="0.25">
      <c r="A317" s="5">
        <v>316</v>
      </c>
      <c r="B317" t="s">
        <v>100</v>
      </c>
      <c r="C317" t="s">
        <v>461</v>
      </c>
      <c r="D317" s="11">
        <v>2017</v>
      </c>
      <c r="E317" s="11">
        <v>1599</v>
      </c>
      <c r="F317">
        <v>1170</v>
      </c>
      <c r="G317">
        <v>126</v>
      </c>
      <c r="H317" s="2">
        <v>95.4</v>
      </c>
      <c r="I317" s="1">
        <v>1.8</v>
      </c>
      <c r="J317" s="3" t="s">
        <v>110</v>
      </c>
      <c r="K317" s="3" t="s">
        <v>177</v>
      </c>
      <c r="L317">
        <v>0</v>
      </c>
      <c r="M317">
        <v>0</v>
      </c>
      <c r="N317" t="s">
        <v>276</v>
      </c>
      <c r="O317" s="5" t="s">
        <v>562</v>
      </c>
      <c r="P317" s="11" t="s">
        <v>610</v>
      </c>
      <c r="Q317" s="11" t="s">
        <v>610</v>
      </c>
    </row>
    <row r="318" spans="1:17" x14ac:dyDescent="0.25">
      <c r="A318" s="5">
        <v>317</v>
      </c>
      <c r="B318" t="s">
        <v>100</v>
      </c>
      <c r="C318" t="s">
        <v>462</v>
      </c>
      <c r="D318">
        <v>2017</v>
      </c>
      <c r="E318" s="11">
        <v>1399</v>
      </c>
      <c r="F318">
        <v>1130</v>
      </c>
      <c r="G318">
        <v>114.9</v>
      </c>
      <c r="H318" s="2">
        <v>91.4</v>
      </c>
      <c r="I318" s="1">
        <v>1.8</v>
      </c>
      <c r="J318" s="3" t="s">
        <v>125</v>
      </c>
      <c r="K318" s="3" t="s">
        <v>177</v>
      </c>
      <c r="L318">
        <v>0</v>
      </c>
      <c r="M318">
        <v>0</v>
      </c>
      <c r="N318" t="s">
        <v>276</v>
      </c>
      <c r="O318" s="5" t="s">
        <v>568</v>
      </c>
      <c r="P318" s="11" t="s">
        <v>610</v>
      </c>
      <c r="Q318" s="11" t="s">
        <v>610</v>
      </c>
    </row>
    <row r="319" spans="1:17" x14ac:dyDescent="0.25">
      <c r="A319" s="5">
        <v>318</v>
      </c>
      <c r="B319" t="s">
        <v>100</v>
      </c>
      <c r="C319" t="s">
        <v>672</v>
      </c>
      <c r="D319">
        <v>2017</v>
      </c>
      <c r="E319" s="11">
        <v>1299</v>
      </c>
      <c r="F319" s="11">
        <v>1020</v>
      </c>
      <c r="G319">
        <v>107.6</v>
      </c>
      <c r="H319" s="7">
        <v>88</v>
      </c>
      <c r="I319" s="1">
        <v>2.8</v>
      </c>
      <c r="J319" s="3" t="s">
        <v>436</v>
      </c>
      <c r="K319" s="3" t="s">
        <v>178</v>
      </c>
      <c r="L319">
        <v>1</v>
      </c>
      <c r="M319">
        <v>0</v>
      </c>
      <c r="N319" t="s">
        <v>276</v>
      </c>
      <c r="O319" s="5" t="s">
        <v>565</v>
      </c>
      <c r="P319" s="11" t="s">
        <v>610</v>
      </c>
      <c r="Q319" s="11" t="s">
        <v>610</v>
      </c>
    </row>
    <row r="320" spans="1:17" x14ac:dyDescent="0.25">
      <c r="A320" s="5">
        <v>319</v>
      </c>
      <c r="B320" t="s">
        <v>100</v>
      </c>
      <c r="C320" t="s">
        <v>463</v>
      </c>
      <c r="D320">
        <v>2017</v>
      </c>
      <c r="E320" s="11">
        <v>799</v>
      </c>
      <c r="F320">
        <v>1160</v>
      </c>
      <c r="G320">
        <v>182.3</v>
      </c>
      <c r="H320" s="2">
        <v>86.4</v>
      </c>
      <c r="I320" s="1">
        <v>6.3</v>
      </c>
      <c r="J320" s="3" t="s">
        <v>394</v>
      </c>
      <c r="K320" s="3" t="s">
        <v>178</v>
      </c>
      <c r="L320">
        <v>1</v>
      </c>
      <c r="M320">
        <v>0</v>
      </c>
      <c r="N320" t="s">
        <v>276</v>
      </c>
      <c r="O320" s="5" t="s">
        <v>569</v>
      </c>
      <c r="P320" s="11" t="s">
        <v>610</v>
      </c>
      <c r="Q320" s="11" t="s">
        <v>610</v>
      </c>
    </row>
    <row r="321" spans="1:17" x14ac:dyDescent="0.25">
      <c r="A321" s="5">
        <v>320</v>
      </c>
      <c r="B321" t="s">
        <v>7</v>
      </c>
      <c r="C321" t="s">
        <v>467</v>
      </c>
      <c r="D321">
        <v>1995</v>
      </c>
      <c r="E321">
        <v>1349</v>
      </c>
      <c r="F321" s="11">
        <v>1310</v>
      </c>
      <c r="G321">
        <v>193.6</v>
      </c>
      <c r="H321" s="2">
        <v>84.6</v>
      </c>
      <c r="I321" s="1">
        <v>2.8</v>
      </c>
      <c r="J321" s="3" t="s">
        <v>466</v>
      </c>
      <c r="K321" s="3" t="s">
        <v>178</v>
      </c>
      <c r="L321">
        <v>0</v>
      </c>
      <c r="M321">
        <v>0</v>
      </c>
      <c r="N321" t="s">
        <v>276</v>
      </c>
      <c r="O321" t="s">
        <v>571</v>
      </c>
      <c r="P321" s="11" t="s">
        <v>610</v>
      </c>
      <c r="Q321" s="11" t="s">
        <v>610</v>
      </c>
    </row>
    <row r="322" spans="1:17" x14ac:dyDescent="0.25">
      <c r="A322" s="5">
        <v>321</v>
      </c>
      <c r="B322" t="s">
        <v>211</v>
      </c>
      <c r="C322" t="s">
        <v>664</v>
      </c>
      <c r="D322" s="9"/>
      <c r="E322">
        <v>3360</v>
      </c>
      <c r="F322">
        <v>1200</v>
      </c>
      <c r="G322">
        <v>135.6</v>
      </c>
      <c r="H322" s="7">
        <v>100</v>
      </c>
      <c r="I322" s="1">
        <v>2</v>
      </c>
      <c r="J322" s="3" t="s">
        <v>74</v>
      </c>
      <c r="K322" s="3" t="s">
        <v>177</v>
      </c>
      <c r="L322">
        <v>0</v>
      </c>
      <c r="M322">
        <v>1</v>
      </c>
      <c r="N322" t="s">
        <v>276</v>
      </c>
      <c r="O322" s="11" t="s">
        <v>565</v>
      </c>
      <c r="P322" s="11" t="s">
        <v>613</v>
      </c>
      <c r="Q322" s="11" t="s">
        <v>613</v>
      </c>
    </row>
    <row r="323" spans="1:17" x14ac:dyDescent="0.25">
      <c r="A323" s="5">
        <v>322</v>
      </c>
      <c r="B323" t="s">
        <v>211</v>
      </c>
      <c r="C323" s="1" t="s">
        <v>665</v>
      </c>
      <c r="D323" s="9"/>
      <c r="E323">
        <v>3360</v>
      </c>
      <c r="F323">
        <v>1160</v>
      </c>
      <c r="G323">
        <v>135.6</v>
      </c>
      <c r="H323" s="2">
        <v>100</v>
      </c>
      <c r="I323" s="1">
        <v>2</v>
      </c>
      <c r="J323" s="3" t="s">
        <v>70</v>
      </c>
      <c r="K323" s="3" t="s">
        <v>177</v>
      </c>
      <c r="L323">
        <v>0</v>
      </c>
      <c r="M323">
        <v>1</v>
      </c>
      <c r="N323" t="s">
        <v>276</v>
      </c>
      <c r="O323" s="11" t="s">
        <v>565</v>
      </c>
      <c r="P323" s="11" t="s">
        <v>613</v>
      </c>
      <c r="Q323" s="11" t="s">
        <v>613</v>
      </c>
    </row>
    <row r="324" spans="1:17" x14ac:dyDescent="0.25">
      <c r="A324" s="5">
        <v>323</v>
      </c>
      <c r="B324" t="s">
        <v>211</v>
      </c>
      <c r="C324" s="1" t="s">
        <v>666</v>
      </c>
      <c r="D324" s="9"/>
      <c r="E324">
        <v>3360</v>
      </c>
      <c r="F324">
        <v>1180</v>
      </c>
      <c r="G324">
        <v>135.6</v>
      </c>
      <c r="H324" s="2">
        <v>100</v>
      </c>
      <c r="I324" s="1">
        <v>2</v>
      </c>
      <c r="J324" s="3" t="s">
        <v>224</v>
      </c>
      <c r="K324" s="3" t="s">
        <v>177</v>
      </c>
      <c r="L324">
        <v>0</v>
      </c>
      <c r="M324">
        <v>1</v>
      </c>
      <c r="N324" t="s">
        <v>276</v>
      </c>
      <c r="O324" s="11" t="s">
        <v>567</v>
      </c>
      <c r="P324" s="11" t="s">
        <v>613</v>
      </c>
      <c r="Q324" s="11" t="s">
        <v>613</v>
      </c>
    </row>
    <row r="325" spans="1:17" x14ac:dyDescent="0.25">
      <c r="A325" s="6">
        <v>324</v>
      </c>
      <c r="B325" t="s">
        <v>100</v>
      </c>
      <c r="C325" t="s">
        <v>471</v>
      </c>
      <c r="D325" s="9"/>
      <c r="E325">
        <v>3999</v>
      </c>
      <c r="F325">
        <v>1450</v>
      </c>
      <c r="G325">
        <v>129.5</v>
      </c>
      <c r="H325" s="7">
        <v>95</v>
      </c>
      <c r="I325" s="1">
        <v>2</v>
      </c>
      <c r="J325" s="3" t="s">
        <v>468</v>
      </c>
      <c r="K325" s="3" t="s">
        <v>178</v>
      </c>
      <c r="L325">
        <v>0</v>
      </c>
      <c r="M325">
        <v>1</v>
      </c>
      <c r="N325" t="s">
        <v>435</v>
      </c>
      <c r="O325" s="11" t="s">
        <v>565</v>
      </c>
      <c r="P325" s="11" t="s">
        <v>610</v>
      </c>
      <c r="Q325" s="9" t="s">
        <v>610</v>
      </c>
    </row>
    <row r="326" spans="1:17" x14ac:dyDescent="0.25">
      <c r="A326" s="6">
        <v>325</v>
      </c>
      <c r="B326" t="s">
        <v>189</v>
      </c>
      <c r="C326" t="s">
        <v>470</v>
      </c>
      <c r="D326" s="9"/>
      <c r="E326">
        <v>4499</v>
      </c>
      <c r="F326">
        <v>1530</v>
      </c>
      <c r="G326">
        <v>159</v>
      </c>
      <c r="H326" s="7">
        <v>114</v>
      </c>
      <c r="I326" s="1">
        <v>2.8</v>
      </c>
      <c r="J326" s="3" t="s">
        <v>469</v>
      </c>
      <c r="K326" s="3" t="s">
        <v>178</v>
      </c>
      <c r="L326">
        <v>0</v>
      </c>
      <c r="M326">
        <v>1</v>
      </c>
      <c r="N326" t="s">
        <v>435</v>
      </c>
      <c r="O326" s="11" t="s">
        <v>567</v>
      </c>
      <c r="P326" s="11" t="s">
        <v>610</v>
      </c>
      <c r="Q326" s="11" t="s">
        <v>610</v>
      </c>
    </row>
    <row r="327" spans="1:17" x14ac:dyDescent="0.25">
      <c r="A327" s="6">
        <v>326</v>
      </c>
      <c r="B327" t="s">
        <v>7</v>
      </c>
      <c r="C327" t="s">
        <v>475</v>
      </c>
      <c r="D327">
        <v>2017</v>
      </c>
      <c r="E327" s="9"/>
      <c r="F327">
        <v>1250</v>
      </c>
      <c r="G327">
        <v>182.1</v>
      </c>
      <c r="H327" s="2"/>
      <c r="I327" s="1">
        <v>4</v>
      </c>
      <c r="J327" s="3" t="s">
        <v>466</v>
      </c>
      <c r="K327" s="3" t="s">
        <v>178</v>
      </c>
      <c r="L327">
        <v>0</v>
      </c>
      <c r="M327">
        <v>1</v>
      </c>
      <c r="N327" t="s">
        <v>276</v>
      </c>
      <c r="O327" s="6" t="s">
        <v>571</v>
      </c>
      <c r="P327" s="11" t="s">
        <v>610</v>
      </c>
      <c r="Q327" s="11" t="s">
        <v>610</v>
      </c>
    </row>
    <row r="328" spans="1:17" x14ac:dyDescent="0.25">
      <c r="A328" s="6">
        <v>327</v>
      </c>
      <c r="B328" t="s">
        <v>7</v>
      </c>
      <c r="C328" t="s">
        <v>476</v>
      </c>
      <c r="D328" s="6">
        <v>2016</v>
      </c>
      <c r="E328">
        <v>5225</v>
      </c>
      <c r="F328">
        <v>1200</v>
      </c>
      <c r="G328">
        <v>182.3</v>
      </c>
      <c r="H328" s="2">
        <v>84</v>
      </c>
      <c r="I328" s="1">
        <v>4</v>
      </c>
      <c r="J328" s="3" t="s">
        <v>472</v>
      </c>
      <c r="K328" s="3" t="s">
        <v>178</v>
      </c>
      <c r="L328">
        <v>0</v>
      </c>
      <c r="M328">
        <v>1</v>
      </c>
      <c r="N328" t="s">
        <v>435</v>
      </c>
      <c r="O328" s="6" t="s">
        <v>570</v>
      </c>
      <c r="P328" s="11" t="s">
        <v>610</v>
      </c>
      <c r="Q328" s="11" t="s">
        <v>610</v>
      </c>
    </row>
    <row r="329" spans="1:17" x14ac:dyDescent="0.25">
      <c r="A329" s="6">
        <v>328</v>
      </c>
      <c r="B329" t="s">
        <v>7</v>
      </c>
      <c r="C329" t="s">
        <v>473</v>
      </c>
      <c r="D329" s="6">
        <v>2014</v>
      </c>
      <c r="E329">
        <v>26350</v>
      </c>
      <c r="F329">
        <v>2900</v>
      </c>
      <c r="G329">
        <v>263</v>
      </c>
      <c r="H329" s="2">
        <v>114</v>
      </c>
      <c r="I329" s="1">
        <v>2.8</v>
      </c>
      <c r="J329" s="3" t="s">
        <v>474</v>
      </c>
      <c r="K329" s="3" t="s">
        <v>178</v>
      </c>
      <c r="L329">
        <v>0</v>
      </c>
      <c r="M329">
        <v>1</v>
      </c>
      <c r="N329" t="s">
        <v>435</v>
      </c>
      <c r="O329" s="6" t="s">
        <v>570</v>
      </c>
      <c r="P329" s="11" t="s">
        <v>610</v>
      </c>
      <c r="Q329" s="11" t="s">
        <v>610</v>
      </c>
    </row>
    <row r="330" spans="1:17" x14ac:dyDescent="0.25">
      <c r="A330" s="6">
        <v>329</v>
      </c>
      <c r="B330" t="s">
        <v>7</v>
      </c>
      <c r="C330" t="s">
        <v>477</v>
      </c>
      <c r="D330" s="6">
        <v>2011</v>
      </c>
      <c r="E330">
        <v>44650</v>
      </c>
      <c r="F330">
        <v>5800</v>
      </c>
      <c r="G330">
        <v>342.1</v>
      </c>
      <c r="H330" s="2">
        <v>136</v>
      </c>
      <c r="I330" s="1">
        <v>2.8</v>
      </c>
      <c r="J330" s="3" t="s">
        <v>478</v>
      </c>
      <c r="K330" s="3" t="s">
        <v>178</v>
      </c>
      <c r="L330">
        <v>0</v>
      </c>
      <c r="M330">
        <v>1</v>
      </c>
      <c r="N330" t="s">
        <v>435</v>
      </c>
      <c r="O330" s="6" t="s">
        <v>570</v>
      </c>
      <c r="P330" s="11" t="s">
        <v>610</v>
      </c>
      <c r="Q330" s="11" t="s">
        <v>610</v>
      </c>
    </row>
    <row r="331" spans="1:17" x14ac:dyDescent="0.25">
      <c r="A331" s="6">
        <v>330</v>
      </c>
      <c r="B331" t="s">
        <v>7</v>
      </c>
      <c r="C331" s="1" t="s">
        <v>488</v>
      </c>
      <c r="D331" s="6">
        <v>2011</v>
      </c>
      <c r="E331">
        <v>42750</v>
      </c>
      <c r="F331">
        <v>4500</v>
      </c>
      <c r="G331">
        <v>326</v>
      </c>
      <c r="H331" s="2">
        <v>136</v>
      </c>
      <c r="I331" s="1">
        <v>2.6</v>
      </c>
      <c r="J331" s="3" t="s">
        <v>479</v>
      </c>
      <c r="K331" s="3" t="s">
        <v>178</v>
      </c>
      <c r="L331">
        <v>0</v>
      </c>
      <c r="M331">
        <v>1</v>
      </c>
      <c r="N331" t="s">
        <v>435</v>
      </c>
      <c r="O331" s="11" t="s">
        <v>564</v>
      </c>
      <c r="P331" s="11" t="s">
        <v>610</v>
      </c>
      <c r="Q331" s="11" t="s">
        <v>610</v>
      </c>
    </row>
    <row r="332" spans="1:17" x14ac:dyDescent="0.25">
      <c r="A332" s="6">
        <v>331</v>
      </c>
      <c r="B332" t="s">
        <v>211</v>
      </c>
      <c r="C332" t="s">
        <v>480</v>
      </c>
      <c r="D332" s="9"/>
      <c r="E332">
        <v>7750</v>
      </c>
      <c r="F332">
        <v>1590</v>
      </c>
      <c r="G332">
        <v>179.3</v>
      </c>
      <c r="H332" s="2">
        <v>104</v>
      </c>
      <c r="I332" s="1">
        <v>2</v>
      </c>
      <c r="J332" s="3" t="s">
        <v>74</v>
      </c>
      <c r="K332" s="3" t="s">
        <v>177</v>
      </c>
      <c r="L332">
        <v>0</v>
      </c>
      <c r="M332">
        <v>1</v>
      </c>
      <c r="N332" t="s">
        <v>435</v>
      </c>
      <c r="O332" s="11" t="s">
        <v>567</v>
      </c>
      <c r="P332" s="11" t="s">
        <v>613</v>
      </c>
      <c r="Q332" s="11" t="s">
        <v>613</v>
      </c>
    </row>
    <row r="333" spans="1:17" x14ac:dyDescent="0.25">
      <c r="A333" s="6">
        <v>332</v>
      </c>
      <c r="B333" t="s">
        <v>211</v>
      </c>
      <c r="C333" t="s">
        <v>481</v>
      </c>
      <c r="D333" s="9"/>
      <c r="E333">
        <v>7750</v>
      </c>
      <c r="F333">
        <v>1690</v>
      </c>
      <c r="G333">
        <v>179.3</v>
      </c>
      <c r="H333" s="2">
        <v>104</v>
      </c>
      <c r="I333" s="1">
        <v>2</v>
      </c>
      <c r="J333" s="3" t="s">
        <v>224</v>
      </c>
      <c r="K333" s="3" t="s">
        <v>177</v>
      </c>
      <c r="L333">
        <v>0</v>
      </c>
      <c r="M333">
        <v>1</v>
      </c>
      <c r="N333" t="s">
        <v>435</v>
      </c>
      <c r="O333" s="11" t="s">
        <v>567</v>
      </c>
      <c r="P333" s="11" t="s">
        <v>613</v>
      </c>
      <c r="Q333" s="11" t="s">
        <v>613</v>
      </c>
    </row>
    <row r="334" spans="1:17" x14ac:dyDescent="0.25">
      <c r="A334" s="6">
        <v>333</v>
      </c>
      <c r="B334" t="s">
        <v>211</v>
      </c>
      <c r="C334" t="s">
        <v>482</v>
      </c>
      <c r="D334" s="9"/>
      <c r="E334">
        <v>7750</v>
      </c>
      <c r="F334">
        <v>1810</v>
      </c>
      <c r="G334">
        <v>179.3</v>
      </c>
      <c r="H334" s="7">
        <v>104</v>
      </c>
      <c r="I334" s="1">
        <v>2</v>
      </c>
      <c r="J334" s="3" t="s">
        <v>486</v>
      </c>
      <c r="K334" s="3" t="s">
        <v>177</v>
      </c>
      <c r="L334">
        <v>0</v>
      </c>
      <c r="M334">
        <v>1</v>
      </c>
      <c r="N334" t="s">
        <v>435</v>
      </c>
      <c r="O334" s="11" t="s">
        <v>571</v>
      </c>
      <c r="P334" s="11" t="s">
        <v>613</v>
      </c>
      <c r="Q334" s="11" t="s">
        <v>613</v>
      </c>
    </row>
    <row r="335" spans="1:17" x14ac:dyDescent="0.25">
      <c r="A335" s="6">
        <v>334</v>
      </c>
      <c r="B335" t="s">
        <v>211</v>
      </c>
      <c r="C335" t="s">
        <v>483</v>
      </c>
      <c r="D335" s="9"/>
      <c r="E335">
        <v>9660</v>
      </c>
      <c r="F335">
        <v>2060</v>
      </c>
      <c r="G335">
        <v>179.3</v>
      </c>
      <c r="H335" s="2">
        <v>104</v>
      </c>
      <c r="I335" s="1">
        <v>2</v>
      </c>
      <c r="J335" s="3" t="s">
        <v>136</v>
      </c>
      <c r="K335" s="3" t="s">
        <v>177</v>
      </c>
      <c r="L335">
        <v>0</v>
      </c>
      <c r="M335">
        <v>1</v>
      </c>
      <c r="N335" t="s">
        <v>435</v>
      </c>
      <c r="O335" s="11" t="s">
        <v>564</v>
      </c>
      <c r="P335" s="11" t="s">
        <v>613</v>
      </c>
      <c r="Q335" s="11" t="s">
        <v>613</v>
      </c>
    </row>
    <row r="336" spans="1:17" x14ac:dyDescent="0.25">
      <c r="A336" s="6">
        <v>335</v>
      </c>
      <c r="B336" t="s">
        <v>211</v>
      </c>
      <c r="C336" t="s">
        <v>484</v>
      </c>
      <c r="D336" s="9"/>
      <c r="E336">
        <v>7750</v>
      </c>
      <c r="F336">
        <v>1890</v>
      </c>
      <c r="G336">
        <v>179.3</v>
      </c>
      <c r="H336" s="2">
        <v>104</v>
      </c>
      <c r="I336" s="1">
        <v>2</v>
      </c>
      <c r="J336" s="3" t="s">
        <v>138</v>
      </c>
      <c r="K336" s="3" t="s">
        <v>177</v>
      </c>
      <c r="L336">
        <v>0</v>
      </c>
      <c r="M336">
        <v>1</v>
      </c>
      <c r="N336" t="s">
        <v>435</v>
      </c>
      <c r="O336" s="11" t="s">
        <v>564</v>
      </c>
      <c r="P336" s="11" t="s">
        <v>613</v>
      </c>
      <c r="Q336" s="11" t="s">
        <v>613</v>
      </c>
    </row>
    <row r="337" spans="1:17" x14ac:dyDescent="0.25">
      <c r="A337" s="6">
        <v>336</v>
      </c>
      <c r="B337" t="s">
        <v>211</v>
      </c>
      <c r="C337" t="s">
        <v>485</v>
      </c>
      <c r="D337" s="9"/>
      <c r="E337">
        <v>7750</v>
      </c>
      <c r="F337">
        <v>1830</v>
      </c>
      <c r="G337">
        <v>179.3</v>
      </c>
      <c r="H337" s="2">
        <v>104</v>
      </c>
      <c r="I337" s="1">
        <v>2</v>
      </c>
      <c r="J337" s="3" t="s">
        <v>70</v>
      </c>
      <c r="K337" s="3" t="s">
        <v>177</v>
      </c>
      <c r="L337">
        <v>0</v>
      </c>
      <c r="M337">
        <v>1</v>
      </c>
      <c r="N337" t="s">
        <v>435</v>
      </c>
      <c r="O337" s="11" t="s">
        <v>565</v>
      </c>
      <c r="P337" s="11" t="s">
        <v>613</v>
      </c>
      <c r="Q337" s="11" t="s">
        <v>613</v>
      </c>
    </row>
    <row r="338" spans="1:17" x14ac:dyDescent="0.25">
      <c r="A338" s="6">
        <v>337</v>
      </c>
      <c r="B338" t="s">
        <v>489</v>
      </c>
      <c r="C338" t="s">
        <v>490</v>
      </c>
      <c r="D338">
        <v>2017</v>
      </c>
      <c r="E338">
        <v>43999</v>
      </c>
      <c r="F338">
        <v>2120</v>
      </c>
      <c r="G338">
        <v>210</v>
      </c>
      <c r="H338" s="2">
        <v>114</v>
      </c>
      <c r="I338" s="1">
        <v>1.9</v>
      </c>
      <c r="J338" s="3" t="s">
        <v>491</v>
      </c>
      <c r="K338" s="3" t="s">
        <v>178</v>
      </c>
      <c r="L338">
        <v>0</v>
      </c>
      <c r="M338">
        <v>1</v>
      </c>
      <c r="N338" t="s">
        <v>435</v>
      </c>
      <c r="O338" s="11" t="s">
        <v>565</v>
      </c>
      <c r="P338" s="11" t="s">
        <v>611</v>
      </c>
      <c r="Q338" s="11" t="s">
        <v>611</v>
      </c>
    </row>
    <row r="339" spans="1:17" x14ac:dyDescent="0.25">
      <c r="A339" s="6">
        <v>338</v>
      </c>
      <c r="B339" t="s">
        <v>489</v>
      </c>
      <c r="C339" t="s">
        <v>492</v>
      </c>
      <c r="D339" s="11">
        <v>2017</v>
      </c>
      <c r="E339" s="9"/>
      <c r="F339">
        <v>2070</v>
      </c>
      <c r="G339">
        <v>210</v>
      </c>
      <c r="H339" s="2">
        <v>114</v>
      </c>
      <c r="I339" s="1">
        <v>2.8</v>
      </c>
      <c r="J339" s="3" t="s">
        <v>495</v>
      </c>
      <c r="K339" s="3" t="s">
        <v>178</v>
      </c>
      <c r="L339">
        <v>0</v>
      </c>
      <c r="M339">
        <v>1</v>
      </c>
      <c r="N339" t="s">
        <v>435</v>
      </c>
      <c r="O339" s="11" t="s">
        <v>565</v>
      </c>
      <c r="P339" s="11" t="s">
        <v>611</v>
      </c>
      <c r="Q339" s="11" t="s">
        <v>611</v>
      </c>
    </row>
    <row r="340" spans="1:17" x14ac:dyDescent="0.25">
      <c r="A340" s="6">
        <v>339</v>
      </c>
      <c r="B340" t="s">
        <v>489</v>
      </c>
      <c r="C340" t="s">
        <v>493</v>
      </c>
      <c r="D340">
        <v>2017</v>
      </c>
      <c r="E340" s="9"/>
      <c r="F340">
        <v>2150</v>
      </c>
      <c r="G340">
        <v>226</v>
      </c>
      <c r="H340" s="2">
        <v>114</v>
      </c>
      <c r="I340" s="1">
        <v>1.9</v>
      </c>
      <c r="J340" s="3" t="s">
        <v>496</v>
      </c>
      <c r="K340" s="3" t="s">
        <v>178</v>
      </c>
      <c r="L340">
        <v>0</v>
      </c>
      <c r="M340">
        <v>1</v>
      </c>
      <c r="N340" t="s">
        <v>435</v>
      </c>
      <c r="O340" s="11" t="s">
        <v>567</v>
      </c>
      <c r="P340" s="11" t="s">
        <v>611</v>
      </c>
      <c r="Q340" s="11" t="s">
        <v>611</v>
      </c>
    </row>
    <row r="341" spans="1:17" x14ac:dyDescent="0.25">
      <c r="A341" s="6">
        <v>340</v>
      </c>
      <c r="B341" t="s">
        <v>489</v>
      </c>
      <c r="C341" t="s">
        <v>494</v>
      </c>
      <c r="D341">
        <v>2017</v>
      </c>
      <c r="E341" s="9"/>
      <c r="F341">
        <v>2050</v>
      </c>
      <c r="G341">
        <v>226</v>
      </c>
      <c r="H341" s="2">
        <v>114</v>
      </c>
      <c r="I341" s="1">
        <v>2.8</v>
      </c>
      <c r="J341" s="3" t="s">
        <v>497</v>
      </c>
      <c r="K341" s="3" t="s">
        <v>178</v>
      </c>
      <c r="L341">
        <v>0</v>
      </c>
      <c r="M341">
        <v>1</v>
      </c>
      <c r="N341" t="s">
        <v>435</v>
      </c>
      <c r="O341" s="11" t="s">
        <v>567</v>
      </c>
      <c r="P341" s="11" t="s">
        <v>611</v>
      </c>
      <c r="Q341" s="11" t="s">
        <v>611</v>
      </c>
    </row>
    <row r="342" spans="1:17" x14ac:dyDescent="0.25">
      <c r="A342" s="6">
        <v>341</v>
      </c>
      <c r="B342" t="s">
        <v>489</v>
      </c>
      <c r="C342" t="s">
        <v>498</v>
      </c>
      <c r="D342">
        <v>2017</v>
      </c>
      <c r="E342" s="9"/>
      <c r="F342">
        <v>1950</v>
      </c>
      <c r="G342">
        <v>206</v>
      </c>
      <c r="H342" s="7">
        <v>114</v>
      </c>
      <c r="I342" s="1">
        <v>2.8</v>
      </c>
      <c r="J342" s="3" t="s">
        <v>499</v>
      </c>
      <c r="K342" s="3" t="s">
        <v>178</v>
      </c>
      <c r="L342">
        <v>0</v>
      </c>
      <c r="M342">
        <v>1</v>
      </c>
      <c r="N342" t="s">
        <v>435</v>
      </c>
      <c r="O342" s="11" t="s">
        <v>571</v>
      </c>
      <c r="P342" s="11" t="s">
        <v>611</v>
      </c>
      <c r="Q342" s="11" t="s">
        <v>611</v>
      </c>
    </row>
    <row r="343" spans="1:17" x14ac:dyDescent="0.25">
      <c r="A343" s="6">
        <v>342</v>
      </c>
      <c r="B343" t="s">
        <v>489</v>
      </c>
      <c r="C343" t="s">
        <v>500</v>
      </c>
      <c r="D343" s="11">
        <v>2017</v>
      </c>
      <c r="E343" s="9"/>
      <c r="F343">
        <v>1920</v>
      </c>
      <c r="G343">
        <v>186</v>
      </c>
      <c r="H343" s="2">
        <v>114</v>
      </c>
      <c r="I343" s="1">
        <v>2.6</v>
      </c>
      <c r="J343" s="3" t="s">
        <v>501</v>
      </c>
      <c r="K343" s="3" t="s">
        <v>178</v>
      </c>
      <c r="L343">
        <v>0</v>
      </c>
      <c r="M343">
        <v>1</v>
      </c>
      <c r="N343" t="s">
        <v>435</v>
      </c>
      <c r="O343" s="11" t="s">
        <v>565</v>
      </c>
      <c r="P343" s="11" t="s">
        <v>611</v>
      </c>
      <c r="Q343" s="11" t="s">
        <v>611</v>
      </c>
    </row>
    <row r="344" spans="1:17" x14ac:dyDescent="0.25">
      <c r="A344" s="6">
        <v>343</v>
      </c>
      <c r="B344" t="s">
        <v>489</v>
      </c>
      <c r="C344" t="s">
        <v>502</v>
      </c>
      <c r="D344" s="11">
        <v>2017</v>
      </c>
      <c r="E344" s="9"/>
      <c r="F344">
        <v>1920</v>
      </c>
      <c r="G344">
        <v>186</v>
      </c>
      <c r="H344" s="2">
        <v>114</v>
      </c>
      <c r="I344" s="1">
        <v>2.6</v>
      </c>
      <c r="J344" s="3" t="s">
        <v>503</v>
      </c>
      <c r="K344" s="3" t="s">
        <v>178</v>
      </c>
      <c r="L344">
        <v>0</v>
      </c>
      <c r="M344">
        <v>1</v>
      </c>
      <c r="N344" t="s">
        <v>435</v>
      </c>
      <c r="O344" s="11" t="s">
        <v>565</v>
      </c>
      <c r="P344" s="11" t="s">
        <v>611</v>
      </c>
      <c r="Q344" s="11" t="s">
        <v>611</v>
      </c>
    </row>
    <row r="345" spans="1:17" x14ac:dyDescent="0.25">
      <c r="A345" s="6">
        <v>344</v>
      </c>
      <c r="B345" t="s">
        <v>489</v>
      </c>
      <c r="C345" t="s">
        <v>504</v>
      </c>
      <c r="D345">
        <v>2017</v>
      </c>
      <c r="E345" s="9"/>
      <c r="F345">
        <v>7300</v>
      </c>
      <c r="G345">
        <v>377.4</v>
      </c>
      <c r="H345" s="2">
        <v>136</v>
      </c>
      <c r="I345" s="1">
        <v>3.2</v>
      </c>
      <c r="J345" s="3" t="s">
        <v>505</v>
      </c>
      <c r="K345" s="3" t="s">
        <v>178</v>
      </c>
      <c r="L345">
        <v>0</v>
      </c>
      <c r="M345">
        <v>1</v>
      </c>
      <c r="N345" t="s">
        <v>435</v>
      </c>
      <c r="O345" s="11" t="s">
        <v>570</v>
      </c>
      <c r="P345" s="11" t="s">
        <v>611</v>
      </c>
      <c r="Q345" s="11" t="s">
        <v>611</v>
      </c>
    </row>
    <row r="346" spans="1:17" x14ac:dyDescent="0.25">
      <c r="A346" s="6">
        <v>345</v>
      </c>
      <c r="B346" t="s">
        <v>489</v>
      </c>
      <c r="C346" t="s">
        <v>506</v>
      </c>
      <c r="D346">
        <v>2017</v>
      </c>
      <c r="E346" s="9"/>
      <c r="F346">
        <v>1920</v>
      </c>
      <c r="G346">
        <v>186</v>
      </c>
      <c r="H346" s="7">
        <v>114</v>
      </c>
      <c r="I346" s="1">
        <v>2.4</v>
      </c>
      <c r="J346" s="3" t="s">
        <v>491</v>
      </c>
      <c r="K346" s="3" t="s">
        <v>178</v>
      </c>
      <c r="L346">
        <v>0</v>
      </c>
      <c r="M346">
        <v>1</v>
      </c>
      <c r="N346" t="s">
        <v>435</v>
      </c>
      <c r="O346" s="11" t="s">
        <v>565</v>
      </c>
      <c r="P346" s="11" t="s">
        <v>611</v>
      </c>
      <c r="Q346" s="11" t="s">
        <v>611</v>
      </c>
    </row>
    <row r="347" spans="1:17" x14ac:dyDescent="0.25">
      <c r="A347" s="6">
        <v>346</v>
      </c>
      <c r="B347" t="s">
        <v>489</v>
      </c>
      <c r="C347" t="s">
        <v>507</v>
      </c>
      <c r="D347">
        <v>2017</v>
      </c>
      <c r="E347" s="9"/>
      <c r="F347">
        <v>1920</v>
      </c>
      <c r="G347">
        <v>186</v>
      </c>
      <c r="H347" s="2">
        <v>114</v>
      </c>
      <c r="I347" s="1">
        <v>2.4</v>
      </c>
      <c r="J347" s="3" t="s">
        <v>508</v>
      </c>
      <c r="K347" s="3" t="s">
        <v>178</v>
      </c>
      <c r="L347">
        <v>0</v>
      </c>
      <c r="M347">
        <v>1</v>
      </c>
      <c r="N347" t="s">
        <v>435</v>
      </c>
      <c r="O347" s="11" t="s">
        <v>567</v>
      </c>
      <c r="P347" s="11" t="s">
        <v>611</v>
      </c>
      <c r="Q347" s="11" t="s">
        <v>611</v>
      </c>
    </row>
    <row r="348" spans="1:17" x14ac:dyDescent="0.25">
      <c r="A348" s="6">
        <v>347</v>
      </c>
      <c r="B348" t="s">
        <v>489</v>
      </c>
      <c r="C348" t="s">
        <v>509</v>
      </c>
      <c r="D348">
        <v>2017</v>
      </c>
      <c r="E348" s="9"/>
      <c r="F348">
        <v>1950</v>
      </c>
      <c r="G348">
        <v>203</v>
      </c>
      <c r="H348" s="2">
        <v>114</v>
      </c>
      <c r="I348" s="1">
        <v>2.6</v>
      </c>
      <c r="J348" s="3" t="s">
        <v>510</v>
      </c>
      <c r="K348" s="3" t="s">
        <v>178</v>
      </c>
      <c r="L348">
        <v>0</v>
      </c>
      <c r="M348">
        <v>1</v>
      </c>
      <c r="N348" t="s">
        <v>435</v>
      </c>
      <c r="O348" s="11" t="s">
        <v>567</v>
      </c>
      <c r="P348" s="11" t="s">
        <v>611</v>
      </c>
      <c r="Q348" s="11" t="s">
        <v>611</v>
      </c>
    </row>
    <row r="349" spans="1:17" x14ac:dyDescent="0.25">
      <c r="A349" s="6">
        <v>348</v>
      </c>
      <c r="B349" t="s">
        <v>489</v>
      </c>
      <c r="C349" t="s">
        <v>511</v>
      </c>
      <c r="D349">
        <v>2017</v>
      </c>
      <c r="E349" s="9"/>
      <c r="F349">
        <v>11100</v>
      </c>
      <c r="G349">
        <v>454</v>
      </c>
      <c r="H349" s="2">
        <v>162</v>
      </c>
      <c r="I349" s="1">
        <v>2.9</v>
      </c>
      <c r="J349" s="3" t="s">
        <v>512</v>
      </c>
      <c r="K349" s="3" t="s">
        <v>178</v>
      </c>
      <c r="L349">
        <v>0</v>
      </c>
      <c r="M349">
        <v>1</v>
      </c>
      <c r="N349" t="s">
        <v>435</v>
      </c>
      <c r="O349" s="11" t="s">
        <v>570</v>
      </c>
      <c r="P349" s="11" t="s">
        <v>611</v>
      </c>
      <c r="Q349" s="11" t="s">
        <v>611</v>
      </c>
    </row>
    <row r="350" spans="1:17" x14ac:dyDescent="0.25">
      <c r="A350" s="6">
        <v>349</v>
      </c>
      <c r="B350" t="s">
        <v>489</v>
      </c>
      <c r="C350" t="s">
        <v>513</v>
      </c>
      <c r="D350">
        <v>2017</v>
      </c>
      <c r="E350" s="9"/>
      <c r="F350">
        <v>11000</v>
      </c>
      <c r="G350">
        <v>440</v>
      </c>
      <c r="H350" s="2">
        <v>162</v>
      </c>
      <c r="I350" s="1">
        <v>2.5</v>
      </c>
      <c r="J350" s="3" t="s">
        <v>514</v>
      </c>
      <c r="K350" s="3" t="s">
        <v>178</v>
      </c>
      <c r="L350">
        <v>0</v>
      </c>
      <c r="M350">
        <v>1</v>
      </c>
      <c r="N350" t="s">
        <v>435</v>
      </c>
      <c r="O350" s="11" t="s">
        <v>570</v>
      </c>
      <c r="P350" s="11" t="s">
        <v>611</v>
      </c>
      <c r="Q350" s="11" t="s">
        <v>611</v>
      </c>
    </row>
    <row r="351" spans="1:17" x14ac:dyDescent="0.25">
      <c r="A351" s="6">
        <v>350</v>
      </c>
      <c r="B351" t="s">
        <v>489</v>
      </c>
      <c r="C351" t="s">
        <v>515</v>
      </c>
      <c r="D351">
        <v>2017</v>
      </c>
      <c r="E351" s="9"/>
      <c r="F351">
        <v>5600</v>
      </c>
      <c r="G351">
        <v>335</v>
      </c>
      <c r="H351" s="2">
        <v>136</v>
      </c>
      <c r="I351" s="1">
        <v>2.4</v>
      </c>
      <c r="J351" s="3" t="s">
        <v>516</v>
      </c>
      <c r="K351" s="3" t="s">
        <v>178</v>
      </c>
      <c r="L351">
        <v>0</v>
      </c>
      <c r="M351">
        <v>1</v>
      </c>
      <c r="N351" t="s">
        <v>435</v>
      </c>
      <c r="O351" s="11" t="s">
        <v>565</v>
      </c>
      <c r="P351" s="11" t="s">
        <v>611</v>
      </c>
      <c r="Q351" s="11" t="s">
        <v>611</v>
      </c>
    </row>
    <row r="352" spans="1:17" x14ac:dyDescent="0.25">
      <c r="A352" s="6">
        <v>351</v>
      </c>
      <c r="B352" t="s">
        <v>489</v>
      </c>
      <c r="C352" t="s">
        <v>517</v>
      </c>
      <c r="D352">
        <v>2017</v>
      </c>
      <c r="E352" s="9"/>
      <c r="F352">
        <v>7550</v>
      </c>
      <c r="G352">
        <v>414</v>
      </c>
      <c r="H352" s="2">
        <v>136</v>
      </c>
      <c r="I352" s="1">
        <v>4</v>
      </c>
      <c r="J352" s="3" t="s">
        <v>518</v>
      </c>
      <c r="K352" s="3" t="s">
        <v>178</v>
      </c>
      <c r="L352">
        <v>0</v>
      </c>
      <c r="M352">
        <v>1</v>
      </c>
      <c r="N352" t="s">
        <v>435</v>
      </c>
      <c r="O352" s="11" t="s">
        <v>571</v>
      </c>
      <c r="P352" s="11" t="s">
        <v>611</v>
      </c>
      <c r="Q352" s="11" t="s">
        <v>611</v>
      </c>
    </row>
    <row r="353" spans="1:17" x14ac:dyDescent="0.25">
      <c r="A353" s="6">
        <v>352</v>
      </c>
      <c r="B353" t="s">
        <v>489</v>
      </c>
      <c r="C353" t="s">
        <v>519</v>
      </c>
      <c r="D353">
        <v>2017</v>
      </c>
      <c r="E353" s="9"/>
      <c r="F353">
        <v>2400</v>
      </c>
      <c r="G353">
        <v>227</v>
      </c>
      <c r="H353" s="2">
        <v>114</v>
      </c>
      <c r="I353" s="1">
        <v>3.6</v>
      </c>
      <c r="J353" s="3" t="s">
        <v>520</v>
      </c>
      <c r="K353" s="3" t="s">
        <v>178</v>
      </c>
      <c r="L353">
        <v>0</v>
      </c>
      <c r="M353">
        <v>1</v>
      </c>
      <c r="N353" t="s">
        <v>435</v>
      </c>
      <c r="O353" s="11" t="s">
        <v>567</v>
      </c>
      <c r="P353" s="11" t="s">
        <v>611</v>
      </c>
      <c r="Q353" s="11" t="s">
        <v>611</v>
      </c>
    </row>
    <row r="354" spans="1:17" x14ac:dyDescent="0.25">
      <c r="A354" s="6">
        <v>353</v>
      </c>
      <c r="B354" t="s">
        <v>489</v>
      </c>
      <c r="C354" t="s">
        <v>521</v>
      </c>
      <c r="D354">
        <v>2017</v>
      </c>
      <c r="E354" s="9"/>
      <c r="F354">
        <v>2200</v>
      </c>
      <c r="G354">
        <v>210</v>
      </c>
      <c r="H354" s="2">
        <v>114</v>
      </c>
      <c r="I354" s="1">
        <v>3.6</v>
      </c>
      <c r="J354" s="3" t="s">
        <v>522</v>
      </c>
      <c r="K354" s="3" t="s">
        <v>178</v>
      </c>
      <c r="L354">
        <v>0</v>
      </c>
      <c r="M354">
        <v>1</v>
      </c>
      <c r="N354" t="s">
        <v>435</v>
      </c>
      <c r="O354" s="11" t="s">
        <v>571</v>
      </c>
      <c r="P354" s="11" t="s">
        <v>611</v>
      </c>
      <c r="Q354" s="11" t="s">
        <v>611</v>
      </c>
    </row>
    <row r="355" spans="1:17" x14ac:dyDescent="0.25">
      <c r="A355" s="6">
        <v>354</v>
      </c>
      <c r="B355" t="s">
        <v>367</v>
      </c>
      <c r="C355" t="s">
        <v>523</v>
      </c>
      <c r="D355" s="11">
        <v>2013</v>
      </c>
      <c r="E355">
        <v>32000</v>
      </c>
      <c r="F355">
        <v>2900</v>
      </c>
      <c r="G355">
        <v>231</v>
      </c>
      <c r="H355" s="2">
        <v>114</v>
      </c>
      <c r="I355" s="1">
        <v>2.9</v>
      </c>
      <c r="J355" s="3" t="s">
        <v>524</v>
      </c>
      <c r="K355" s="3" t="s">
        <v>178</v>
      </c>
      <c r="L355">
        <v>0</v>
      </c>
      <c r="M355">
        <v>1</v>
      </c>
      <c r="N355" t="s">
        <v>435</v>
      </c>
      <c r="O355" s="11" t="s">
        <v>564</v>
      </c>
      <c r="P355" s="11" t="s">
        <v>610</v>
      </c>
      <c r="Q355" s="11" t="s">
        <v>610</v>
      </c>
    </row>
    <row r="356" spans="1:17" x14ac:dyDescent="0.25">
      <c r="A356" s="6">
        <v>355</v>
      </c>
      <c r="B356" t="s">
        <v>367</v>
      </c>
      <c r="C356" t="s">
        <v>525</v>
      </c>
      <c r="D356" s="11">
        <v>2016</v>
      </c>
      <c r="E356">
        <v>11499</v>
      </c>
      <c r="F356">
        <v>2400</v>
      </c>
      <c r="G356">
        <v>226</v>
      </c>
      <c r="H356" s="2">
        <v>114</v>
      </c>
      <c r="I356" s="1">
        <v>3.5</v>
      </c>
      <c r="J356" s="3" t="s">
        <v>526</v>
      </c>
      <c r="K356" s="3" t="s">
        <v>178</v>
      </c>
      <c r="L356">
        <v>0</v>
      </c>
      <c r="M356">
        <v>1</v>
      </c>
      <c r="N356" t="s">
        <v>435</v>
      </c>
      <c r="O356" s="11" t="s">
        <v>570</v>
      </c>
      <c r="P356" s="11" t="s">
        <v>610</v>
      </c>
      <c r="Q356" s="11" t="s">
        <v>610</v>
      </c>
    </row>
    <row r="357" spans="1:17" x14ac:dyDescent="0.25">
      <c r="A357" s="6">
        <v>356</v>
      </c>
      <c r="B357" t="s">
        <v>367</v>
      </c>
      <c r="C357" t="s">
        <v>527</v>
      </c>
      <c r="D357" s="11">
        <v>2012</v>
      </c>
      <c r="E357">
        <v>29800</v>
      </c>
      <c r="F357">
        <v>2200</v>
      </c>
      <c r="G357">
        <v>223</v>
      </c>
      <c r="H357" s="2">
        <v>114</v>
      </c>
      <c r="I357" s="1">
        <v>2.9</v>
      </c>
      <c r="J357" s="3" t="s">
        <v>528</v>
      </c>
      <c r="K357" s="3" t="s">
        <v>178</v>
      </c>
      <c r="L357">
        <v>0</v>
      </c>
      <c r="M357">
        <v>1</v>
      </c>
      <c r="N357" t="s">
        <v>435</v>
      </c>
      <c r="O357" s="11" t="s">
        <v>565</v>
      </c>
      <c r="P357" s="11" t="s">
        <v>610</v>
      </c>
      <c r="Q357" s="11" t="s">
        <v>610</v>
      </c>
    </row>
    <row r="358" spans="1:17" x14ac:dyDescent="0.25">
      <c r="A358" s="6">
        <v>357</v>
      </c>
      <c r="B358" t="s">
        <v>367</v>
      </c>
      <c r="C358" t="s">
        <v>529</v>
      </c>
      <c r="D358" s="9">
        <v>2017</v>
      </c>
      <c r="E358">
        <v>87300</v>
      </c>
      <c r="F358">
        <v>6900</v>
      </c>
      <c r="G358">
        <v>352</v>
      </c>
      <c r="H358" s="2">
        <v>136</v>
      </c>
      <c r="I358" s="1">
        <v>2</v>
      </c>
      <c r="J358" s="3" t="s">
        <v>530</v>
      </c>
      <c r="K358" s="3" t="s">
        <v>178</v>
      </c>
      <c r="L358">
        <v>0</v>
      </c>
      <c r="M358">
        <v>1</v>
      </c>
      <c r="N358" t="s">
        <v>435</v>
      </c>
      <c r="O358" s="11" t="s">
        <v>565</v>
      </c>
      <c r="P358" s="11" t="s">
        <v>610</v>
      </c>
      <c r="Q358" s="11" t="s">
        <v>610</v>
      </c>
    </row>
    <row r="359" spans="1:17" x14ac:dyDescent="0.25">
      <c r="A359" s="6">
        <v>358</v>
      </c>
      <c r="B359" t="s">
        <v>367</v>
      </c>
      <c r="C359" t="s">
        <v>531</v>
      </c>
      <c r="D359" s="11">
        <v>2014</v>
      </c>
      <c r="E359">
        <v>44000</v>
      </c>
      <c r="F359">
        <v>8900</v>
      </c>
      <c r="G359">
        <v>401</v>
      </c>
      <c r="H359" s="2">
        <v>136</v>
      </c>
      <c r="I359" s="1">
        <v>3.5</v>
      </c>
      <c r="J359" s="3" t="s">
        <v>532</v>
      </c>
      <c r="K359" s="3" t="s">
        <v>178</v>
      </c>
      <c r="L359">
        <v>0</v>
      </c>
      <c r="M359">
        <v>1</v>
      </c>
      <c r="N359" t="s">
        <v>435</v>
      </c>
      <c r="O359" s="11" t="s">
        <v>570</v>
      </c>
      <c r="P359" s="11" t="s">
        <v>610</v>
      </c>
      <c r="Q359" s="11" t="s">
        <v>610</v>
      </c>
    </row>
    <row r="360" spans="1:17" x14ac:dyDescent="0.25">
      <c r="A360" s="6">
        <v>359</v>
      </c>
      <c r="B360" t="s">
        <v>367</v>
      </c>
      <c r="C360" t="s">
        <v>533</v>
      </c>
      <c r="D360" s="9">
        <v>2017</v>
      </c>
      <c r="E360">
        <v>96000</v>
      </c>
      <c r="F360">
        <v>8900</v>
      </c>
      <c r="G360">
        <v>444</v>
      </c>
      <c r="H360" s="2">
        <v>136</v>
      </c>
      <c r="I360" s="1">
        <v>2.8</v>
      </c>
      <c r="J360" s="3" t="s">
        <v>534</v>
      </c>
      <c r="K360" s="3" t="s">
        <v>178</v>
      </c>
      <c r="L360">
        <v>0</v>
      </c>
      <c r="M360">
        <v>1</v>
      </c>
      <c r="N360" t="s">
        <v>435</v>
      </c>
      <c r="O360" s="11" t="s">
        <v>569</v>
      </c>
      <c r="P360" s="11" t="s">
        <v>610</v>
      </c>
      <c r="Q360" s="11" t="s">
        <v>610</v>
      </c>
    </row>
    <row r="361" spans="1:17" x14ac:dyDescent="0.25">
      <c r="A361" s="6">
        <v>360</v>
      </c>
      <c r="B361" t="s">
        <v>367</v>
      </c>
      <c r="C361" t="s">
        <v>535</v>
      </c>
      <c r="D361" s="9">
        <v>2013</v>
      </c>
      <c r="E361">
        <v>99800</v>
      </c>
      <c r="F361">
        <v>6500</v>
      </c>
      <c r="G361">
        <v>310</v>
      </c>
      <c r="H361" s="2">
        <v>136</v>
      </c>
      <c r="I361" s="1">
        <v>2</v>
      </c>
      <c r="J361" s="3" t="s">
        <v>536</v>
      </c>
      <c r="K361" s="3" t="s">
        <v>178</v>
      </c>
      <c r="L361">
        <v>0</v>
      </c>
      <c r="M361">
        <v>1</v>
      </c>
      <c r="N361" t="s">
        <v>435</v>
      </c>
      <c r="O361" s="11" t="s">
        <v>565</v>
      </c>
      <c r="P361" s="11" t="s">
        <v>610</v>
      </c>
      <c r="Q361" s="11" t="s">
        <v>610</v>
      </c>
    </row>
    <row r="362" spans="1:17" x14ac:dyDescent="0.25">
      <c r="A362" s="6">
        <v>361</v>
      </c>
      <c r="B362" t="s">
        <v>367</v>
      </c>
      <c r="C362" t="s">
        <v>537</v>
      </c>
      <c r="D362" s="9">
        <v>2017</v>
      </c>
      <c r="E362">
        <v>87300</v>
      </c>
      <c r="F362">
        <v>8900</v>
      </c>
      <c r="G362">
        <v>405</v>
      </c>
      <c r="H362" s="2">
        <v>136</v>
      </c>
      <c r="I362" s="1">
        <v>2.6</v>
      </c>
      <c r="J362" s="3" t="s">
        <v>538</v>
      </c>
      <c r="K362" s="3" t="s">
        <v>178</v>
      </c>
      <c r="L362">
        <v>0</v>
      </c>
      <c r="M362">
        <v>1</v>
      </c>
      <c r="N362" t="s">
        <v>435</v>
      </c>
      <c r="O362" s="11" t="s">
        <v>570</v>
      </c>
      <c r="P362" s="11" t="s">
        <v>610</v>
      </c>
      <c r="Q362" s="11" t="s">
        <v>610</v>
      </c>
    </row>
    <row r="363" spans="1:17" x14ac:dyDescent="0.25">
      <c r="A363" s="6">
        <v>362</v>
      </c>
      <c r="B363" t="s">
        <v>367</v>
      </c>
      <c r="C363" t="s">
        <v>539</v>
      </c>
      <c r="D363" s="11">
        <v>2012</v>
      </c>
      <c r="E363">
        <v>32000</v>
      </c>
      <c r="F363">
        <v>3000</v>
      </c>
      <c r="G363">
        <v>249</v>
      </c>
      <c r="H363" s="2">
        <v>114</v>
      </c>
      <c r="I363" s="1">
        <v>2.9</v>
      </c>
      <c r="J363" s="3" t="s">
        <v>540</v>
      </c>
      <c r="K363" s="3" t="s">
        <v>178</v>
      </c>
      <c r="L363">
        <v>0</v>
      </c>
      <c r="M363">
        <v>1</v>
      </c>
      <c r="N363" t="s">
        <v>435</v>
      </c>
      <c r="O363" s="11" t="s">
        <v>569</v>
      </c>
      <c r="P363" s="11" t="s">
        <v>610</v>
      </c>
      <c r="Q363" s="11" t="s">
        <v>610</v>
      </c>
    </row>
    <row r="364" spans="1:17" x14ac:dyDescent="0.25">
      <c r="A364" s="6">
        <v>363</v>
      </c>
      <c r="B364" t="s">
        <v>100</v>
      </c>
      <c r="C364" t="s">
        <v>541</v>
      </c>
      <c r="D364" s="11">
        <v>2016</v>
      </c>
      <c r="E364">
        <v>3999</v>
      </c>
      <c r="F364">
        <v>1950</v>
      </c>
      <c r="G364">
        <v>201</v>
      </c>
      <c r="H364" s="2">
        <v>95</v>
      </c>
      <c r="I364" s="1">
        <v>2</v>
      </c>
      <c r="J364" s="3" t="s">
        <v>406</v>
      </c>
      <c r="K364" s="3" t="s">
        <v>178</v>
      </c>
      <c r="L364">
        <v>0</v>
      </c>
      <c r="M364">
        <v>1</v>
      </c>
      <c r="N364" t="s">
        <v>435</v>
      </c>
      <c r="O364" s="11" t="s">
        <v>571</v>
      </c>
      <c r="P364" s="11" t="s">
        <v>610</v>
      </c>
      <c r="Q364" s="11" t="s">
        <v>610</v>
      </c>
    </row>
    <row r="365" spans="1:17" x14ac:dyDescent="0.25">
      <c r="A365" s="6">
        <v>364</v>
      </c>
      <c r="B365" t="s">
        <v>100</v>
      </c>
      <c r="C365" t="s">
        <v>542</v>
      </c>
      <c r="D365">
        <v>2017</v>
      </c>
      <c r="E365">
        <v>3499</v>
      </c>
      <c r="F365">
        <v>1475</v>
      </c>
      <c r="G365">
        <v>135</v>
      </c>
      <c r="H365" s="2">
        <v>95</v>
      </c>
      <c r="I365" s="1">
        <v>1.5</v>
      </c>
      <c r="J365" s="3" t="s">
        <v>77</v>
      </c>
      <c r="K365" s="3" t="s">
        <v>177</v>
      </c>
      <c r="L365">
        <v>0</v>
      </c>
      <c r="M365">
        <v>1</v>
      </c>
      <c r="N365" t="s">
        <v>276</v>
      </c>
      <c r="O365" s="11" t="s">
        <v>567</v>
      </c>
      <c r="P365" s="11" t="s">
        <v>610</v>
      </c>
      <c r="Q365" s="11" t="s">
        <v>610</v>
      </c>
    </row>
    <row r="366" spans="1:17" x14ac:dyDescent="0.25">
      <c r="A366" s="6">
        <v>365</v>
      </c>
      <c r="B366" t="s">
        <v>100</v>
      </c>
      <c r="C366" t="s">
        <v>543</v>
      </c>
      <c r="D366">
        <v>2017</v>
      </c>
      <c r="E366" s="1">
        <v>3499</v>
      </c>
      <c r="F366">
        <v>1430</v>
      </c>
      <c r="G366">
        <v>120</v>
      </c>
      <c r="H366" s="2">
        <v>95</v>
      </c>
      <c r="I366" s="1">
        <v>2</v>
      </c>
      <c r="J366" s="3" t="s">
        <v>110</v>
      </c>
      <c r="K366" s="3" t="s">
        <v>177</v>
      </c>
      <c r="L366">
        <v>0</v>
      </c>
      <c r="M366">
        <v>1</v>
      </c>
      <c r="N366" t="s">
        <v>276</v>
      </c>
      <c r="O366" s="11" t="s">
        <v>562</v>
      </c>
      <c r="P366" s="11" t="s">
        <v>610</v>
      </c>
      <c r="Q366" s="11" t="s">
        <v>610</v>
      </c>
    </row>
    <row r="367" spans="1:17" x14ac:dyDescent="0.25">
      <c r="A367" s="6">
        <v>366</v>
      </c>
      <c r="B367" t="s">
        <v>100</v>
      </c>
      <c r="C367" t="s">
        <v>544</v>
      </c>
      <c r="D367">
        <v>2017</v>
      </c>
      <c r="E367" s="1">
        <v>3499</v>
      </c>
      <c r="F367">
        <v>1335</v>
      </c>
      <c r="G367">
        <v>118</v>
      </c>
      <c r="H367" s="2">
        <v>95</v>
      </c>
      <c r="I367" s="1">
        <v>1.5</v>
      </c>
      <c r="J367" s="3" t="s">
        <v>116</v>
      </c>
      <c r="K367" s="3" t="s">
        <v>177</v>
      </c>
      <c r="L367">
        <v>0</v>
      </c>
      <c r="M367">
        <v>1</v>
      </c>
      <c r="N367" t="s">
        <v>276</v>
      </c>
      <c r="O367" s="11" t="s">
        <v>562</v>
      </c>
      <c r="P367" s="11" t="s">
        <v>610</v>
      </c>
      <c r="Q367" s="11" t="s">
        <v>610</v>
      </c>
    </row>
    <row r="368" spans="1:17" x14ac:dyDescent="0.25">
      <c r="A368" s="6">
        <v>367</v>
      </c>
      <c r="B368" t="s">
        <v>100</v>
      </c>
      <c r="C368" t="s">
        <v>545</v>
      </c>
      <c r="D368">
        <v>2017</v>
      </c>
      <c r="E368" s="1">
        <v>3499</v>
      </c>
      <c r="F368">
        <v>1125</v>
      </c>
      <c r="G368">
        <v>95</v>
      </c>
      <c r="H368" s="2">
        <v>95</v>
      </c>
      <c r="I368" s="1">
        <v>1.5</v>
      </c>
      <c r="J368" s="3" t="s">
        <v>96</v>
      </c>
      <c r="K368" s="3" t="s">
        <v>177</v>
      </c>
      <c r="L368">
        <v>0</v>
      </c>
      <c r="M368">
        <v>1</v>
      </c>
      <c r="N368" t="s">
        <v>276</v>
      </c>
      <c r="O368" s="11" t="s">
        <v>564</v>
      </c>
      <c r="P368" s="11" t="s">
        <v>610</v>
      </c>
      <c r="Q368" s="11" t="s">
        <v>610</v>
      </c>
    </row>
    <row r="369" spans="1:17" x14ac:dyDescent="0.25">
      <c r="A369" s="6">
        <v>368</v>
      </c>
      <c r="B369" t="s">
        <v>100</v>
      </c>
      <c r="C369" t="s">
        <v>546</v>
      </c>
      <c r="D369">
        <v>2017</v>
      </c>
      <c r="E369" s="1">
        <v>3499</v>
      </c>
      <c r="F369">
        <v>1135</v>
      </c>
      <c r="G369">
        <v>95</v>
      </c>
      <c r="H369" s="2">
        <v>95</v>
      </c>
      <c r="I369" s="1">
        <v>1.5</v>
      </c>
      <c r="J369" s="3" t="s">
        <v>70</v>
      </c>
      <c r="K369" s="3" t="s">
        <v>177</v>
      </c>
      <c r="L369">
        <v>0</v>
      </c>
      <c r="M369">
        <v>1</v>
      </c>
      <c r="N369" t="s">
        <v>276</v>
      </c>
      <c r="O369" s="11" t="s">
        <v>565</v>
      </c>
      <c r="P369" s="11" t="s">
        <v>610</v>
      </c>
      <c r="Q369" s="11" t="s">
        <v>610</v>
      </c>
    </row>
    <row r="370" spans="1:17" x14ac:dyDescent="0.25">
      <c r="A370" s="6">
        <v>369</v>
      </c>
      <c r="B370" t="s">
        <v>100</v>
      </c>
      <c r="C370" t="s">
        <v>548</v>
      </c>
      <c r="D370">
        <v>2017</v>
      </c>
      <c r="E370" s="1">
        <v>3499</v>
      </c>
      <c r="F370" s="11">
        <v>1295</v>
      </c>
      <c r="G370">
        <v>102</v>
      </c>
      <c r="H370" s="2">
        <v>95</v>
      </c>
      <c r="I370" s="1">
        <v>1.5</v>
      </c>
      <c r="J370" s="3" t="s">
        <v>74</v>
      </c>
      <c r="K370" s="3" t="s">
        <v>177</v>
      </c>
      <c r="L370">
        <v>0</v>
      </c>
      <c r="M370">
        <v>1</v>
      </c>
      <c r="N370" t="s">
        <v>276</v>
      </c>
      <c r="O370" s="11" t="s">
        <v>565</v>
      </c>
      <c r="P370" s="11" t="s">
        <v>610</v>
      </c>
      <c r="Q370" s="11" t="s">
        <v>610</v>
      </c>
    </row>
    <row r="371" spans="1:17" x14ac:dyDescent="0.25">
      <c r="A371" s="6">
        <v>370</v>
      </c>
      <c r="B371" t="s">
        <v>100</v>
      </c>
      <c r="C371" t="s">
        <v>547</v>
      </c>
      <c r="D371">
        <v>2017</v>
      </c>
      <c r="E371" s="1">
        <v>3499</v>
      </c>
      <c r="F371">
        <v>1565</v>
      </c>
      <c r="G371">
        <v>126</v>
      </c>
      <c r="H371" s="2">
        <v>95</v>
      </c>
      <c r="I371" s="1">
        <v>2</v>
      </c>
      <c r="J371" s="3" t="s">
        <v>125</v>
      </c>
      <c r="K371" s="3" t="s">
        <v>177</v>
      </c>
      <c r="L371">
        <v>0</v>
      </c>
      <c r="M371">
        <v>1</v>
      </c>
      <c r="N371" t="s">
        <v>276</v>
      </c>
      <c r="O371" s="11" t="s">
        <v>571</v>
      </c>
      <c r="P371" s="11" t="s">
        <v>610</v>
      </c>
      <c r="Q371" s="11" t="s">
        <v>610</v>
      </c>
    </row>
    <row r="372" spans="1:17" x14ac:dyDescent="0.25">
      <c r="A372" s="6">
        <v>371</v>
      </c>
      <c r="B372" t="s">
        <v>189</v>
      </c>
      <c r="C372" t="s">
        <v>549</v>
      </c>
      <c r="D372">
        <v>2017</v>
      </c>
      <c r="E372">
        <v>3999</v>
      </c>
      <c r="F372">
        <v>1500</v>
      </c>
      <c r="G372">
        <v>166</v>
      </c>
      <c r="H372" s="7">
        <v>123</v>
      </c>
      <c r="I372" s="1">
        <v>2.8</v>
      </c>
      <c r="J372" s="3" t="s">
        <v>438</v>
      </c>
      <c r="K372" s="3" t="s">
        <v>178</v>
      </c>
      <c r="L372">
        <v>0</v>
      </c>
      <c r="M372">
        <v>1</v>
      </c>
      <c r="N372" t="s">
        <v>276</v>
      </c>
      <c r="O372" s="11" t="s">
        <v>562</v>
      </c>
      <c r="P372" s="11" t="s">
        <v>610</v>
      </c>
      <c r="Q372" s="9"/>
    </row>
    <row r="373" spans="1:17" x14ac:dyDescent="0.25">
      <c r="A373" s="6">
        <v>372</v>
      </c>
      <c r="B373" t="s">
        <v>189</v>
      </c>
      <c r="C373" t="s">
        <v>550</v>
      </c>
      <c r="D373">
        <v>2017</v>
      </c>
      <c r="E373">
        <v>4999</v>
      </c>
      <c r="F373" s="11">
        <v>1830</v>
      </c>
      <c r="G373">
        <v>135</v>
      </c>
      <c r="H373" s="2">
        <v>114</v>
      </c>
      <c r="I373" s="1">
        <v>2.8</v>
      </c>
      <c r="J373" s="3" t="s">
        <v>438</v>
      </c>
      <c r="K373" s="3" t="s">
        <v>178</v>
      </c>
      <c r="L373">
        <v>0</v>
      </c>
      <c r="M373">
        <v>1</v>
      </c>
      <c r="N373" t="s">
        <v>276</v>
      </c>
      <c r="O373" s="11" t="s">
        <v>562</v>
      </c>
      <c r="P373" s="11" t="s">
        <v>610</v>
      </c>
      <c r="Q373" s="9"/>
    </row>
    <row r="374" spans="1:17" x14ac:dyDescent="0.25">
      <c r="A374" s="6">
        <v>373</v>
      </c>
      <c r="B374" t="s">
        <v>189</v>
      </c>
      <c r="C374" t="s">
        <v>551</v>
      </c>
      <c r="D374">
        <v>2017</v>
      </c>
      <c r="E374">
        <v>4999</v>
      </c>
      <c r="F374" s="11">
        <v>2120</v>
      </c>
      <c r="G374">
        <v>165</v>
      </c>
      <c r="H374" s="2">
        <v>114</v>
      </c>
      <c r="I374" s="1">
        <v>1.5</v>
      </c>
      <c r="J374" s="3" t="s">
        <v>70</v>
      </c>
      <c r="K374" s="3" t="s">
        <v>177</v>
      </c>
      <c r="L374">
        <v>0</v>
      </c>
      <c r="M374">
        <v>1</v>
      </c>
      <c r="N374" t="s">
        <v>276</v>
      </c>
      <c r="O374" s="11" t="s">
        <v>565</v>
      </c>
      <c r="P374" s="11" t="s">
        <v>610</v>
      </c>
      <c r="Q374" s="9"/>
    </row>
    <row r="375" spans="1:17" x14ac:dyDescent="0.25">
      <c r="A375" s="6">
        <v>374</v>
      </c>
      <c r="B375" t="s">
        <v>189</v>
      </c>
      <c r="C375" t="s">
        <v>552</v>
      </c>
      <c r="D375">
        <v>2017</v>
      </c>
      <c r="E375">
        <v>4499</v>
      </c>
      <c r="F375">
        <v>2190</v>
      </c>
      <c r="G375">
        <v>139</v>
      </c>
      <c r="H375" s="2">
        <v>114</v>
      </c>
      <c r="I375" s="1">
        <v>1.5</v>
      </c>
      <c r="J375" s="3" t="s">
        <v>74</v>
      </c>
      <c r="K375" s="3" t="s">
        <v>177</v>
      </c>
      <c r="L375">
        <v>0</v>
      </c>
      <c r="M375">
        <v>1</v>
      </c>
      <c r="N375" t="s">
        <v>276</v>
      </c>
      <c r="O375" s="11" t="s">
        <v>565</v>
      </c>
      <c r="P375" s="11" t="s">
        <v>610</v>
      </c>
      <c r="Q375" s="9"/>
    </row>
    <row r="376" spans="1:17" x14ac:dyDescent="0.25">
      <c r="A376" s="6">
        <v>375</v>
      </c>
      <c r="B376" t="s">
        <v>189</v>
      </c>
      <c r="C376" t="s">
        <v>553</v>
      </c>
      <c r="D376" s="9"/>
      <c r="E376">
        <v>1499</v>
      </c>
      <c r="F376">
        <v>690</v>
      </c>
      <c r="G376">
        <v>98</v>
      </c>
      <c r="H376" s="7">
        <v>84</v>
      </c>
      <c r="I376" s="1">
        <v>2.8</v>
      </c>
      <c r="J376" s="3" t="s">
        <v>554</v>
      </c>
      <c r="K376" s="3" t="s">
        <v>178</v>
      </c>
      <c r="L376">
        <v>0</v>
      </c>
      <c r="M376">
        <v>1</v>
      </c>
      <c r="N376" t="s">
        <v>291</v>
      </c>
      <c r="O376" s="11" t="s">
        <v>562</v>
      </c>
      <c r="P376" s="11" t="s">
        <v>610</v>
      </c>
      <c r="Q376" s="9"/>
    </row>
    <row r="377" spans="1:17" x14ac:dyDescent="0.25">
      <c r="A377" s="6">
        <v>376</v>
      </c>
      <c r="B377" t="s">
        <v>189</v>
      </c>
      <c r="C377" t="s">
        <v>555</v>
      </c>
      <c r="D377">
        <v>2017</v>
      </c>
      <c r="E377" s="11">
        <v>2499</v>
      </c>
      <c r="F377">
        <v>1310</v>
      </c>
      <c r="G377">
        <v>133</v>
      </c>
      <c r="H377" s="2">
        <v>88</v>
      </c>
      <c r="I377" s="1">
        <v>2.8</v>
      </c>
      <c r="J377" s="3" t="s">
        <v>146</v>
      </c>
      <c r="K377" s="3" t="s">
        <v>177</v>
      </c>
      <c r="L377">
        <v>0</v>
      </c>
      <c r="M377">
        <v>1</v>
      </c>
      <c r="N377" t="s">
        <v>276</v>
      </c>
      <c r="O377" s="11" t="s">
        <v>566</v>
      </c>
      <c r="P377" s="11" t="s">
        <v>610</v>
      </c>
      <c r="Q377" s="9"/>
    </row>
    <row r="378" spans="1:17" x14ac:dyDescent="0.25">
      <c r="A378" s="6">
        <v>377</v>
      </c>
      <c r="B378" t="s">
        <v>189</v>
      </c>
      <c r="C378" t="s">
        <v>556</v>
      </c>
      <c r="D378">
        <v>2017</v>
      </c>
      <c r="E378" s="11">
        <v>4999</v>
      </c>
      <c r="F378">
        <v>2230</v>
      </c>
      <c r="G378">
        <v>139</v>
      </c>
      <c r="H378" s="2">
        <v>114</v>
      </c>
      <c r="I378" s="1">
        <v>1.5</v>
      </c>
      <c r="J378" s="3" t="s">
        <v>77</v>
      </c>
      <c r="K378" s="3" t="s">
        <v>177</v>
      </c>
      <c r="L378">
        <v>0</v>
      </c>
      <c r="M378">
        <v>1</v>
      </c>
      <c r="N378" t="s">
        <v>276</v>
      </c>
      <c r="O378" s="11" t="s">
        <v>567</v>
      </c>
      <c r="P378" s="11" t="s">
        <v>610</v>
      </c>
      <c r="Q378" s="9"/>
    </row>
    <row r="379" spans="1:17" x14ac:dyDescent="0.25">
      <c r="A379" s="6">
        <v>378</v>
      </c>
      <c r="B379" t="s">
        <v>132</v>
      </c>
      <c r="C379" t="s">
        <v>557</v>
      </c>
      <c r="D379">
        <v>2017</v>
      </c>
      <c r="E379" s="11">
        <v>9900</v>
      </c>
      <c r="F379" s="11">
        <v>2000</v>
      </c>
      <c r="G379">
        <v>226</v>
      </c>
      <c r="H379" s="2">
        <v>114</v>
      </c>
      <c r="I379" s="1">
        <v>2.9</v>
      </c>
      <c r="J379" s="3" t="s">
        <v>558</v>
      </c>
      <c r="K379" s="3" t="s">
        <v>178</v>
      </c>
      <c r="L379">
        <v>0</v>
      </c>
      <c r="M379">
        <v>1</v>
      </c>
      <c r="N379" t="s">
        <v>435</v>
      </c>
      <c r="O379" s="11" t="s">
        <v>570</v>
      </c>
      <c r="P379" s="11" t="s">
        <v>613</v>
      </c>
      <c r="Q379" s="11" t="s">
        <v>613</v>
      </c>
    </row>
    <row r="380" spans="1:17" x14ac:dyDescent="0.25">
      <c r="A380" s="6">
        <v>379</v>
      </c>
      <c r="B380" t="s">
        <v>7</v>
      </c>
      <c r="C380" t="s">
        <v>559</v>
      </c>
      <c r="D380">
        <v>2017</v>
      </c>
      <c r="E380" s="11">
        <v>349</v>
      </c>
      <c r="F380">
        <v>190</v>
      </c>
      <c r="G380">
        <v>56</v>
      </c>
      <c r="H380" s="2">
        <v>69</v>
      </c>
      <c r="I380" s="1">
        <v>2.8</v>
      </c>
      <c r="J380" s="3" t="s">
        <v>70</v>
      </c>
      <c r="K380" s="3" t="s">
        <v>177</v>
      </c>
      <c r="L380">
        <v>1</v>
      </c>
      <c r="M380">
        <v>0</v>
      </c>
      <c r="N380" t="s">
        <v>291</v>
      </c>
      <c r="O380" s="11" t="s">
        <v>566</v>
      </c>
      <c r="P380" s="11" t="s">
        <v>610</v>
      </c>
      <c r="Q380" s="11" t="s">
        <v>610</v>
      </c>
    </row>
    <row r="381" spans="1:17" x14ac:dyDescent="0.25">
      <c r="A381" s="6">
        <v>380</v>
      </c>
      <c r="B381" t="s">
        <v>421</v>
      </c>
      <c r="C381" t="s">
        <v>422</v>
      </c>
      <c r="D381">
        <v>2016</v>
      </c>
      <c r="E381" s="11">
        <v>329</v>
      </c>
      <c r="F381">
        <v>552</v>
      </c>
      <c r="G381">
        <v>96.1</v>
      </c>
      <c r="H381" s="2">
        <v>87</v>
      </c>
      <c r="I381" s="1">
        <v>2.8</v>
      </c>
      <c r="J381" s="3" t="s">
        <v>110</v>
      </c>
      <c r="K381" s="3" t="s">
        <v>177</v>
      </c>
      <c r="L381">
        <v>0</v>
      </c>
      <c r="M381">
        <v>0</v>
      </c>
      <c r="N381" s="1" t="s">
        <v>276</v>
      </c>
      <c r="O381" s="11" t="s">
        <v>562</v>
      </c>
      <c r="P381" s="11" t="s">
        <v>619</v>
      </c>
      <c r="Q381" s="11" t="s">
        <v>619</v>
      </c>
    </row>
    <row r="382" spans="1:17" x14ac:dyDescent="0.25">
      <c r="A382" s="6">
        <v>381</v>
      </c>
      <c r="B382" t="s">
        <v>421</v>
      </c>
      <c r="C382" t="s">
        <v>423</v>
      </c>
      <c r="D382">
        <v>2009</v>
      </c>
      <c r="E382" s="11">
        <v>279</v>
      </c>
      <c r="F382">
        <v>428</v>
      </c>
      <c r="G382">
        <v>77.3</v>
      </c>
      <c r="H382" s="2">
        <v>75</v>
      </c>
      <c r="I382" s="1">
        <v>3.5</v>
      </c>
      <c r="J382" s="3" t="s">
        <v>424</v>
      </c>
      <c r="K382" s="3" t="s">
        <v>177</v>
      </c>
      <c r="L382">
        <v>0</v>
      </c>
      <c r="M382">
        <v>0</v>
      </c>
      <c r="N382" s="1" t="s">
        <v>291</v>
      </c>
      <c r="O382" s="11" t="s">
        <v>596</v>
      </c>
      <c r="P382" s="11" t="s">
        <v>619</v>
      </c>
      <c r="Q382" s="11" t="s">
        <v>619</v>
      </c>
    </row>
    <row r="383" spans="1:17" x14ac:dyDescent="0.25">
      <c r="A383" s="6">
        <v>382</v>
      </c>
      <c r="B383" t="s">
        <v>421</v>
      </c>
      <c r="C383" t="s">
        <v>676</v>
      </c>
      <c r="D383">
        <v>2015</v>
      </c>
      <c r="E383" s="11">
        <v>499</v>
      </c>
      <c r="F383">
        <v>815</v>
      </c>
      <c r="G383">
        <v>120</v>
      </c>
      <c r="H383" s="2">
        <v>82</v>
      </c>
      <c r="I383" s="1">
        <v>2</v>
      </c>
      <c r="J383" s="3" t="s">
        <v>125</v>
      </c>
      <c r="K383" s="3" t="s">
        <v>177</v>
      </c>
      <c r="L383">
        <v>0</v>
      </c>
      <c r="M383">
        <v>0</v>
      </c>
      <c r="N383" s="1" t="s">
        <v>276</v>
      </c>
      <c r="O383" s="11" t="s">
        <v>571</v>
      </c>
      <c r="P383" s="11" t="s">
        <v>619</v>
      </c>
      <c r="Q383" s="11" t="s">
        <v>619</v>
      </c>
    </row>
    <row r="384" spans="1:17" x14ac:dyDescent="0.25">
      <c r="A384" s="6">
        <v>383</v>
      </c>
      <c r="B384" t="s">
        <v>421</v>
      </c>
      <c r="C384" t="s">
        <v>425</v>
      </c>
      <c r="D384" s="1">
        <v>2009</v>
      </c>
      <c r="E384" s="11">
        <v>289</v>
      </c>
      <c r="F384">
        <v>520</v>
      </c>
      <c r="G384">
        <v>72.2</v>
      </c>
      <c r="H384" s="2">
        <v>78</v>
      </c>
      <c r="I384" s="1">
        <v>1.4</v>
      </c>
      <c r="J384" s="3" t="s">
        <v>77</v>
      </c>
      <c r="K384" s="3" t="s">
        <v>177</v>
      </c>
      <c r="L384">
        <v>0</v>
      </c>
      <c r="M384">
        <v>0</v>
      </c>
      <c r="N384" s="1" t="s">
        <v>276</v>
      </c>
      <c r="O384" s="11" t="s">
        <v>567</v>
      </c>
      <c r="P384" s="11" t="s">
        <v>619</v>
      </c>
      <c r="Q384" s="11" t="s">
        <v>619</v>
      </c>
    </row>
    <row r="385" spans="1:17" x14ac:dyDescent="0.25">
      <c r="A385" s="6">
        <v>384</v>
      </c>
      <c r="B385" s="6" t="s">
        <v>180</v>
      </c>
      <c r="C385" s="6" t="s">
        <v>560</v>
      </c>
      <c r="D385" s="6">
        <v>2017</v>
      </c>
      <c r="E385" s="11">
        <v>1299</v>
      </c>
      <c r="F385" s="6">
        <v>1500</v>
      </c>
      <c r="G385" s="6">
        <v>193.04</v>
      </c>
      <c r="H385" s="7">
        <v>87.88</v>
      </c>
      <c r="I385" s="6">
        <v>2.8</v>
      </c>
      <c r="J385" s="8" t="s">
        <v>359</v>
      </c>
      <c r="K385" s="8" t="s">
        <v>178</v>
      </c>
      <c r="L385" s="6">
        <v>1</v>
      </c>
      <c r="M385" s="6">
        <v>0</v>
      </c>
      <c r="N385" s="6" t="s">
        <v>276</v>
      </c>
      <c r="O385" s="11" t="s">
        <v>571</v>
      </c>
      <c r="P385" s="11" t="s">
        <v>610</v>
      </c>
      <c r="Q385" s="9"/>
    </row>
    <row r="386" spans="1:17" x14ac:dyDescent="0.25">
      <c r="A386" s="6">
        <v>385</v>
      </c>
      <c r="B386" s="6" t="s">
        <v>132</v>
      </c>
      <c r="C386" s="6" t="s">
        <v>572</v>
      </c>
      <c r="D386" s="6">
        <v>2017</v>
      </c>
      <c r="E386" s="11">
        <v>1999</v>
      </c>
      <c r="F386" s="6">
        <v>614</v>
      </c>
      <c r="G386" s="6">
        <v>120</v>
      </c>
      <c r="H386" s="7">
        <v>81</v>
      </c>
      <c r="I386" s="6">
        <v>2.8</v>
      </c>
      <c r="J386" s="8" t="s">
        <v>125</v>
      </c>
      <c r="K386" s="8" t="s">
        <v>177</v>
      </c>
      <c r="L386" s="6">
        <v>1</v>
      </c>
      <c r="M386" s="6">
        <v>0</v>
      </c>
      <c r="N386" s="6" t="s">
        <v>276</v>
      </c>
      <c r="O386" s="11" t="s">
        <v>568</v>
      </c>
      <c r="P386" s="11" t="s">
        <v>613</v>
      </c>
      <c r="Q386" s="11" t="s">
        <v>610</v>
      </c>
    </row>
    <row r="387" spans="1:17" x14ac:dyDescent="0.25">
      <c r="A387" s="6">
        <v>386</v>
      </c>
      <c r="B387" s="6" t="s">
        <v>165</v>
      </c>
      <c r="C387" s="6" t="s">
        <v>573</v>
      </c>
      <c r="D387" s="6">
        <v>2017</v>
      </c>
      <c r="E387" s="11">
        <v>1698</v>
      </c>
      <c r="F387" s="6">
        <v>565</v>
      </c>
      <c r="G387" s="6">
        <v>116.84</v>
      </c>
      <c r="H387" s="7">
        <v>88.9</v>
      </c>
      <c r="I387" s="6">
        <v>4</v>
      </c>
      <c r="J387" s="8" t="s">
        <v>402</v>
      </c>
      <c r="K387" s="8" t="s">
        <v>178</v>
      </c>
      <c r="L387" s="6">
        <v>0</v>
      </c>
      <c r="M387" s="6">
        <v>0</v>
      </c>
      <c r="N387" s="6" t="s">
        <v>276</v>
      </c>
      <c r="O387" s="11" t="s">
        <v>562</v>
      </c>
      <c r="P387" s="11" t="s">
        <v>610</v>
      </c>
      <c r="Q387" s="9"/>
    </row>
    <row r="388" spans="1:17" x14ac:dyDescent="0.25">
      <c r="A388" s="6">
        <v>387</v>
      </c>
      <c r="B388" s="6" t="s">
        <v>165</v>
      </c>
      <c r="C388" s="6" t="s">
        <v>574</v>
      </c>
      <c r="D388" s="6">
        <v>2017</v>
      </c>
      <c r="E388" s="11">
        <v>2198</v>
      </c>
      <c r="F388" s="6">
        <v>680</v>
      </c>
      <c r="G388" s="6">
        <v>121.6</v>
      </c>
      <c r="H388" s="7">
        <v>88.5</v>
      </c>
      <c r="I388" s="6">
        <v>2.8</v>
      </c>
      <c r="J388" s="8" t="s">
        <v>351</v>
      </c>
      <c r="K388" s="8" t="s">
        <v>178</v>
      </c>
      <c r="L388" s="6">
        <v>0</v>
      </c>
      <c r="M388" s="6">
        <v>0</v>
      </c>
      <c r="N388" s="6" t="s">
        <v>276</v>
      </c>
      <c r="O388" s="11" t="s">
        <v>562</v>
      </c>
      <c r="P388" s="11" t="s">
        <v>610</v>
      </c>
      <c r="Q388" s="9"/>
    </row>
    <row r="389" spans="1:17" x14ac:dyDescent="0.25">
      <c r="A389" s="6">
        <v>388</v>
      </c>
      <c r="B389" s="6" t="s">
        <v>165</v>
      </c>
      <c r="C389" s="6" t="s">
        <v>575</v>
      </c>
      <c r="D389" s="6">
        <v>2017</v>
      </c>
      <c r="E389" s="11">
        <v>2498</v>
      </c>
      <c r="F389" s="6">
        <v>1395</v>
      </c>
      <c r="G389" s="6">
        <v>205</v>
      </c>
      <c r="H389" s="7">
        <v>93.9</v>
      </c>
      <c r="I389" s="6">
        <v>5.6</v>
      </c>
      <c r="J389" s="8" t="s">
        <v>394</v>
      </c>
      <c r="K389" s="8" t="s">
        <v>178</v>
      </c>
      <c r="L389" s="6">
        <v>1</v>
      </c>
      <c r="M389" s="6">
        <v>0</v>
      </c>
      <c r="N389" s="6" t="s">
        <v>276</v>
      </c>
      <c r="O389" s="11" t="s">
        <v>569</v>
      </c>
      <c r="P389" s="11" t="s">
        <v>610</v>
      </c>
      <c r="Q389" s="9"/>
    </row>
    <row r="390" spans="1:17" x14ac:dyDescent="0.25">
      <c r="A390" s="6">
        <v>389</v>
      </c>
      <c r="B390" s="6" t="s">
        <v>256</v>
      </c>
      <c r="C390" s="6" t="s">
        <v>576</v>
      </c>
      <c r="D390" s="6">
        <v>2017</v>
      </c>
      <c r="E390" s="9"/>
      <c r="F390" s="6">
        <v>500</v>
      </c>
      <c r="G390" s="6">
        <v>82</v>
      </c>
      <c r="H390" s="7">
        <v>66</v>
      </c>
      <c r="I390" s="6">
        <v>2</v>
      </c>
      <c r="J390" s="8" t="s">
        <v>134</v>
      </c>
      <c r="K390" s="8" t="s">
        <v>177</v>
      </c>
      <c r="L390" s="6">
        <v>0</v>
      </c>
      <c r="M390" s="6">
        <v>0</v>
      </c>
      <c r="N390" s="6" t="s">
        <v>276</v>
      </c>
      <c r="O390" s="11" t="s">
        <v>562</v>
      </c>
      <c r="P390" s="11" t="s">
        <v>614</v>
      </c>
      <c r="Q390" s="11" t="s">
        <v>614</v>
      </c>
    </row>
    <row r="391" spans="1:17" x14ac:dyDescent="0.25">
      <c r="A391" s="6">
        <v>390</v>
      </c>
      <c r="B391" s="6" t="s">
        <v>256</v>
      </c>
      <c r="C391" s="6" t="s">
        <v>577</v>
      </c>
      <c r="D391" s="6">
        <v>2017</v>
      </c>
      <c r="E391" s="11">
        <v>499</v>
      </c>
      <c r="F391" s="6">
        <v>170</v>
      </c>
      <c r="G391" s="6">
        <v>55</v>
      </c>
      <c r="H391" s="7">
        <v>50</v>
      </c>
      <c r="I391" s="6">
        <v>2</v>
      </c>
      <c r="J391" s="8" t="s">
        <v>578</v>
      </c>
      <c r="K391" s="8" t="s">
        <v>177</v>
      </c>
      <c r="L391" s="6">
        <v>0</v>
      </c>
      <c r="M391" s="6">
        <v>0</v>
      </c>
      <c r="N391" s="6" t="s">
        <v>284</v>
      </c>
      <c r="O391" s="11" t="s">
        <v>562</v>
      </c>
      <c r="P391" s="11" t="s">
        <v>614</v>
      </c>
      <c r="Q391" s="11" t="s">
        <v>614</v>
      </c>
    </row>
    <row r="392" spans="1:17" x14ac:dyDescent="0.25">
      <c r="A392" s="6">
        <v>391</v>
      </c>
      <c r="B392" s="6" t="s">
        <v>367</v>
      </c>
      <c r="C392" s="6" t="s">
        <v>579</v>
      </c>
      <c r="D392" s="6">
        <v>2017</v>
      </c>
      <c r="E392" s="11">
        <v>1499</v>
      </c>
      <c r="F392" s="6">
        <v>405</v>
      </c>
      <c r="G392" s="6">
        <v>71</v>
      </c>
      <c r="H392" s="7">
        <v>84</v>
      </c>
      <c r="I392" s="6">
        <v>2.8</v>
      </c>
      <c r="J392" s="8" t="s">
        <v>580</v>
      </c>
      <c r="K392" s="8" t="s">
        <v>177</v>
      </c>
      <c r="L392" s="6">
        <v>0</v>
      </c>
      <c r="M392" s="6">
        <v>0</v>
      </c>
      <c r="N392" s="6" t="s">
        <v>581</v>
      </c>
      <c r="O392" s="11" t="s">
        <v>565</v>
      </c>
      <c r="P392" s="11" t="s">
        <v>610</v>
      </c>
      <c r="Q392" s="11" t="s">
        <v>610</v>
      </c>
    </row>
    <row r="393" spans="1:17" x14ac:dyDescent="0.25">
      <c r="A393" s="6">
        <v>392</v>
      </c>
      <c r="B393" s="6" t="s">
        <v>367</v>
      </c>
      <c r="C393" s="6" t="s">
        <v>582</v>
      </c>
      <c r="D393" s="6">
        <v>2017</v>
      </c>
      <c r="E393" s="11">
        <v>2699</v>
      </c>
      <c r="F393" s="6">
        <v>980</v>
      </c>
      <c r="G393" s="6">
        <v>152.5</v>
      </c>
      <c r="H393" s="7">
        <v>89.2</v>
      </c>
      <c r="I393" s="6">
        <v>4</v>
      </c>
      <c r="J393" s="8" t="s">
        <v>583</v>
      </c>
      <c r="K393" s="8" t="s">
        <v>177</v>
      </c>
      <c r="L393" s="6">
        <v>1</v>
      </c>
      <c r="M393" s="6">
        <v>0</v>
      </c>
      <c r="N393" s="6" t="s">
        <v>581</v>
      </c>
      <c r="O393" s="11" t="s">
        <v>567</v>
      </c>
      <c r="P393" s="11" t="s">
        <v>610</v>
      </c>
      <c r="Q393" s="11" t="s">
        <v>610</v>
      </c>
    </row>
    <row r="394" spans="1:17" x14ac:dyDescent="0.25">
      <c r="A394" s="6">
        <v>393</v>
      </c>
      <c r="B394" s="6" t="s">
        <v>367</v>
      </c>
      <c r="C394" s="6" t="s">
        <v>584</v>
      </c>
      <c r="D394" s="6">
        <v>2017</v>
      </c>
      <c r="E394" s="11">
        <v>229</v>
      </c>
      <c r="F394" s="6">
        <v>875</v>
      </c>
      <c r="G394" s="6">
        <v>116</v>
      </c>
      <c r="H394" s="7">
        <v>92.6</v>
      </c>
      <c r="I394" s="6">
        <v>4</v>
      </c>
      <c r="J394" s="8" t="s">
        <v>585</v>
      </c>
      <c r="K394" s="8" t="s">
        <v>178</v>
      </c>
      <c r="L394" s="6">
        <v>0</v>
      </c>
      <c r="M394" s="6">
        <v>0</v>
      </c>
      <c r="N394" s="6" t="s">
        <v>581</v>
      </c>
      <c r="O394" s="11" t="s">
        <v>564</v>
      </c>
      <c r="P394" s="11" t="s">
        <v>610</v>
      </c>
      <c r="Q394" s="11" t="s">
        <v>610</v>
      </c>
    </row>
    <row r="395" spans="1:17" x14ac:dyDescent="0.25">
      <c r="A395" s="6">
        <v>394</v>
      </c>
      <c r="B395" s="6" t="s">
        <v>367</v>
      </c>
      <c r="C395" s="6" t="s">
        <v>586</v>
      </c>
      <c r="D395" s="6">
        <v>2017</v>
      </c>
      <c r="E395" s="9"/>
      <c r="F395" s="9"/>
      <c r="G395" s="9"/>
      <c r="H395" s="10"/>
      <c r="I395" s="6">
        <v>2.8</v>
      </c>
      <c r="J395" s="8" t="s">
        <v>98</v>
      </c>
      <c r="K395" s="8" t="s">
        <v>177</v>
      </c>
      <c r="L395" s="6">
        <v>0</v>
      </c>
      <c r="M395" s="6">
        <v>0</v>
      </c>
      <c r="N395" s="6" t="s">
        <v>581</v>
      </c>
      <c r="O395" s="11" t="s">
        <v>565</v>
      </c>
      <c r="P395" s="11" t="s">
        <v>610</v>
      </c>
      <c r="Q395" s="11" t="s">
        <v>610</v>
      </c>
    </row>
    <row r="396" spans="1:17" x14ac:dyDescent="0.25">
      <c r="A396" s="6">
        <v>395</v>
      </c>
      <c r="B396" s="6" t="s">
        <v>587</v>
      </c>
      <c r="C396" s="6" t="s">
        <v>588</v>
      </c>
      <c r="D396" s="6">
        <v>2016</v>
      </c>
      <c r="E396" s="11">
        <v>2695</v>
      </c>
      <c r="F396" s="6">
        <v>417</v>
      </c>
      <c r="G396" s="6">
        <v>75</v>
      </c>
      <c r="H396" s="7">
        <v>77</v>
      </c>
      <c r="I396" s="6">
        <v>3.5</v>
      </c>
      <c r="J396" s="8" t="s">
        <v>98</v>
      </c>
      <c r="K396" s="8" t="s">
        <v>177</v>
      </c>
      <c r="L396" s="6">
        <v>0</v>
      </c>
      <c r="M396" s="6">
        <v>0</v>
      </c>
      <c r="N396" s="6" t="s">
        <v>581</v>
      </c>
      <c r="O396" s="11" t="s">
        <v>565</v>
      </c>
      <c r="P396" s="9"/>
      <c r="Q396" s="9"/>
    </row>
    <row r="397" spans="1:17" x14ac:dyDescent="0.25">
      <c r="A397" s="6">
        <v>396</v>
      </c>
      <c r="B397" s="6" t="s">
        <v>587</v>
      </c>
      <c r="C397" s="6" t="s">
        <v>589</v>
      </c>
      <c r="D397" s="6">
        <v>2016</v>
      </c>
      <c r="E397" s="11">
        <v>3195</v>
      </c>
      <c r="F397" s="6">
        <v>619</v>
      </c>
      <c r="G397" s="6">
        <v>100</v>
      </c>
      <c r="H397" s="7">
        <v>77</v>
      </c>
      <c r="I397" s="6">
        <v>3.2</v>
      </c>
      <c r="J397" s="8" t="s">
        <v>171</v>
      </c>
      <c r="K397" s="8" t="s">
        <v>177</v>
      </c>
      <c r="L397" s="6">
        <v>0</v>
      </c>
      <c r="M397" s="6">
        <v>0</v>
      </c>
      <c r="N397" s="6" t="s">
        <v>581</v>
      </c>
      <c r="O397" s="11" t="s">
        <v>567</v>
      </c>
      <c r="P397" s="9"/>
      <c r="Q397" s="9"/>
    </row>
    <row r="398" spans="1:17" x14ac:dyDescent="0.25">
      <c r="A398">
        <v>397</v>
      </c>
      <c r="B398" t="s">
        <v>598</v>
      </c>
      <c r="C398" t="s">
        <v>601</v>
      </c>
      <c r="D398" s="9"/>
      <c r="E398" s="11">
        <v>5350</v>
      </c>
      <c r="F398">
        <v>535</v>
      </c>
      <c r="G398">
        <f>5.26*25.4</f>
        <v>133.60399999999998</v>
      </c>
      <c r="H398" s="7">
        <f>2.7*25.4</f>
        <v>68.58</v>
      </c>
      <c r="I398" s="1">
        <v>4.5</v>
      </c>
      <c r="J398" s="8" t="s">
        <v>80</v>
      </c>
      <c r="K398" s="8" t="s">
        <v>177</v>
      </c>
      <c r="L398">
        <v>0</v>
      </c>
      <c r="M398">
        <v>0</v>
      </c>
      <c r="N398" t="s">
        <v>276</v>
      </c>
      <c r="O398" t="s">
        <v>567</v>
      </c>
      <c r="P398" s="11" t="s">
        <v>612</v>
      </c>
      <c r="Q398" s="11" t="s">
        <v>612</v>
      </c>
    </row>
    <row r="399" spans="1:17" x14ac:dyDescent="0.25">
      <c r="A399">
        <v>398</v>
      </c>
      <c r="B399" t="s">
        <v>598</v>
      </c>
      <c r="C399" t="s">
        <v>600</v>
      </c>
      <c r="D399" s="9"/>
      <c r="E399" s="11">
        <v>5750</v>
      </c>
      <c r="F399" s="11">
        <v>620</v>
      </c>
      <c r="G399" s="11">
        <v>73.400000000000006</v>
      </c>
      <c r="H399" s="10"/>
      <c r="I399" s="1">
        <v>4</v>
      </c>
      <c r="J399" s="8" t="s">
        <v>90</v>
      </c>
      <c r="K399" s="8" t="s">
        <v>177</v>
      </c>
      <c r="L399">
        <v>0</v>
      </c>
      <c r="M399">
        <v>0</v>
      </c>
      <c r="N399" t="s">
        <v>276</v>
      </c>
      <c r="O399" t="s">
        <v>565</v>
      </c>
      <c r="P399" s="11" t="s">
        <v>612</v>
      </c>
      <c r="Q399" s="11" t="s">
        <v>612</v>
      </c>
    </row>
    <row r="400" spans="1:17" x14ac:dyDescent="0.25">
      <c r="A400">
        <v>399</v>
      </c>
      <c r="B400" t="s">
        <v>59</v>
      </c>
      <c r="C400" t="s">
        <v>602</v>
      </c>
      <c r="D400">
        <v>2017</v>
      </c>
      <c r="E400">
        <v>1996.96</v>
      </c>
      <c r="F400">
        <v>645</v>
      </c>
      <c r="G400">
        <v>101</v>
      </c>
      <c r="H400" s="7">
        <v>83</v>
      </c>
      <c r="I400" s="1">
        <v>1.4</v>
      </c>
      <c r="J400" s="8" t="s">
        <v>69</v>
      </c>
      <c r="K400" s="8" t="s">
        <v>177</v>
      </c>
      <c r="L400">
        <v>0</v>
      </c>
      <c r="M400">
        <v>0</v>
      </c>
      <c r="N400" t="s">
        <v>276</v>
      </c>
      <c r="O400" t="s">
        <v>564</v>
      </c>
      <c r="P400" s="11" t="s">
        <v>610</v>
      </c>
      <c r="Q400" s="9"/>
    </row>
    <row r="401" spans="1:17" x14ac:dyDescent="0.25">
      <c r="A401">
        <v>400</v>
      </c>
      <c r="B401" t="s">
        <v>59</v>
      </c>
      <c r="C401" t="s">
        <v>603</v>
      </c>
      <c r="D401">
        <v>2017</v>
      </c>
      <c r="E401">
        <v>1246.95</v>
      </c>
      <c r="F401">
        <v>485</v>
      </c>
      <c r="G401">
        <v>83</v>
      </c>
      <c r="H401" s="7">
        <v>78</v>
      </c>
      <c r="I401" s="1">
        <v>4.5</v>
      </c>
      <c r="J401" s="8" t="s">
        <v>604</v>
      </c>
      <c r="K401" s="8" t="s">
        <v>178</v>
      </c>
      <c r="L401">
        <v>0</v>
      </c>
      <c r="M401">
        <v>0</v>
      </c>
      <c r="N401" t="s">
        <v>276</v>
      </c>
      <c r="O401" t="s">
        <v>596</v>
      </c>
      <c r="P401" s="11" t="s">
        <v>610</v>
      </c>
      <c r="Q401" s="9"/>
    </row>
    <row r="402" spans="1:17" x14ac:dyDescent="0.25">
      <c r="A402">
        <v>401</v>
      </c>
      <c r="B402" t="s">
        <v>59</v>
      </c>
      <c r="C402" t="s">
        <v>605</v>
      </c>
      <c r="D402">
        <v>2017</v>
      </c>
      <c r="E402">
        <v>306.95</v>
      </c>
      <c r="F402">
        <v>230</v>
      </c>
      <c r="G402">
        <v>73</v>
      </c>
      <c r="H402" s="7">
        <v>77</v>
      </c>
      <c r="I402" s="1">
        <v>5.6</v>
      </c>
      <c r="J402" s="8" t="s">
        <v>606</v>
      </c>
      <c r="K402" s="8" t="s">
        <v>178</v>
      </c>
      <c r="L402">
        <v>1</v>
      </c>
      <c r="M402">
        <v>0</v>
      </c>
      <c r="N402" t="s">
        <v>276</v>
      </c>
      <c r="O402" t="s">
        <v>562</v>
      </c>
      <c r="P402" s="11" t="s">
        <v>610</v>
      </c>
      <c r="Q402" s="9"/>
    </row>
    <row r="403" spans="1:17" x14ac:dyDescent="0.25">
      <c r="A403">
        <v>402</v>
      </c>
      <c r="B403" t="s">
        <v>165</v>
      </c>
      <c r="C403" t="s">
        <v>616</v>
      </c>
      <c r="D403">
        <v>2017</v>
      </c>
      <c r="E403">
        <v>598</v>
      </c>
      <c r="F403">
        <v>371</v>
      </c>
      <c r="G403">
        <v>82</v>
      </c>
      <c r="H403" s="7">
        <v>78</v>
      </c>
      <c r="I403" s="1">
        <v>1.8</v>
      </c>
      <c r="J403" s="8" t="s">
        <v>77</v>
      </c>
      <c r="K403" s="8" t="s">
        <v>177</v>
      </c>
      <c r="L403">
        <v>0</v>
      </c>
      <c r="M403">
        <v>0</v>
      </c>
      <c r="N403" t="s">
        <v>276</v>
      </c>
      <c r="O403" t="s">
        <v>567</v>
      </c>
      <c r="P403" s="11" t="s">
        <v>610</v>
      </c>
      <c r="Q403" s="9"/>
    </row>
    <row r="404" spans="1:17" x14ac:dyDescent="0.25">
      <c r="A404">
        <v>403</v>
      </c>
      <c r="B404" t="s">
        <v>180</v>
      </c>
      <c r="C404" t="s">
        <v>620</v>
      </c>
      <c r="D404">
        <v>2017</v>
      </c>
      <c r="E404" s="11">
        <v>1199</v>
      </c>
      <c r="F404" s="11">
        <v>904</v>
      </c>
      <c r="G404" s="11">
        <v>111.8</v>
      </c>
      <c r="H404" s="11">
        <v>88.4</v>
      </c>
      <c r="I404" s="1">
        <v>2.8</v>
      </c>
      <c r="J404" s="8" t="s">
        <v>436</v>
      </c>
      <c r="K404" s="8" t="s">
        <v>178</v>
      </c>
      <c r="L404">
        <v>1</v>
      </c>
      <c r="M404">
        <v>0</v>
      </c>
      <c r="N404" t="s">
        <v>276</v>
      </c>
      <c r="O404" t="s">
        <v>565</v>
      </c>
      <c r="P404" s="11" t="s">
        <v>610</v>
      </c>
      <c r="Q404" s="9"/>
    </row>
    <row r="405" spans="1:17" x14ac:dyDescent="0.25">
      <c r="A405">
        <v>404</v>
      </c>
      <c r="B405" t="s">
        <v>180</v>
      </c>
      <c r="C405" t="s">
        <v>622</v>
      </c>
      <c r="D405">
        <v>2017</v>
      </c>
      <c r="E405">
        <v>649</v>
      </c>
      <c r="F405">
        <v>705</v>
      </c>
      <c r="G405">
        <v>121.4</v>
      </c>
      <c r="H405" s="7">
        <v>79</v>
      </c>
      <c r="I405" s="1">
        <v>6.3</v>
      </c>
      <c r="J405" s="8" t="s">
        <v>623</v>
      </c>
      <c r="K405" s="8" t="s">
        <v>178</v>
      </c>
      <c r="L405">
        <v>1</v>
      </c>
      <c r="M405">
        <v>0</v>
      </c>
      <c r="N405" t="s">
        <v>291</v>
      </c>
      <c r="O405" t="s">
        <v>570</v>
      </c>
      <c r="P405" s="11" t="s">
        <v>610</v>
      </c>
      <c r="Q405" s="11" t="s">
        <v>614</v>
      </c>
    </row>
    <row r="406" spans="1:17" x14ac:dyDescent="0.25">
      <c r="A406">
        <v>405</v>
      </c>
      <c r="B406" t="s">
        <v>626</v>
      </c>
      <c r="C406" t="s">
        <v>627</v>
      </c>
      <c r="D406">
        <v>2017</v>
      </c>
      <c r="E406">
        <v>499.95</v>
      </c>
      <c r="F406">
        <v>530.13610000000006</v>
      </c>
      <c r="G406">
        <v>89</v>
      </c>
      <c r="H406" s="7">
        <v>76</v>
      </c>
      <c r="I406" s="1">
        <v>1.8</v>
      </c>
      <c r="J406" s="8" t="s">
        <v>77</v>
      </c>
      <c r="K406" s="8" t="s">
        <v>177</v>
      </c>
      <c r="L406">
        <v>0</v>
      </c>
      <c r="M406">
        <v>0</v>
      </c>
      <c r="N406" t="s">
        <v>276</v>
      </c>
      <c r="O406" t="s">
        <v>567</v>
      </c>
      <c r="P406" s="9"/>
      <c r="Q406" s="9"/>
    </row>
    <row r="407" spans="1:17" x14ac:dyDescent="0.25">
      <c r="A407" s="11">
        <v>406</v>
      </c>
      <c r="B407" s="11" t="s">
        <v>132</v>
      </c>
      <c r="C407" s="11" t="s">
        <v>629</v>
      </c>
      <c r="D407" s="11">
        <v>2017</v>
      </c>
      <c r="E407" s="11">
        <v>6690</v>
      </c>
      <c r="F407" s="11">
        <v>1010</v>
      </c>
      <c r="G407" s="11">
        <v>126.5</v>
      </c>
      <c r="H407" s="7">
        <v>95</v>
      </c>
      <c r="I407" s="11">
        <v>2</v>
      </c>
      <c r="J407" s="8" t="s">
        <v>146</v>
      </c>
      <c r="K407" s="8" t="s">
        <v>177</v>
      </c>
      <c r="L407" s="11">
        <v>0</v>
      </c>
      <c r="M407" s="11">
        <v>1</v>
      </c>
      <c r="N407" s="11" t="s">
        <v>276</v>
      </c>
      <c r="O407" s="11" t="s">
        <v>571</v>
      </c>
      <c r="P407" s="11" t="s">
        <v>613</v>
      </c>
      <c r="Q407" s="11" t="s">
        <v>613</v>
      </c>
    </row>
    <row r="408" spans="1:17" x14ac:dyDescent="0.25">
      <c r="A408" s="11">
        <v>407</v>
      </c>
      <c r="B408" s="11" t="s">
        <v>132</v>
      </c>
      <c r="C408" s="11" t="s">
        <v>630</v>
      </c>
      <c r="D408" s="11">
        <v>2017</v>
      </c>
      <c r="E408" s="11">
        <v>7490</v>
      </c>
      <c r="F408" s="11">
        <v>870</v>
      </c>
      <c r="G408" s="11">
        <v>83.7</v>
      </c>
      <c r="H408" s="7">
        <v>95</v>
      </c>
      <c r="I408" s="11">
        <v>2.8</v>
      </c>
      <c r="J408" s="8" t="s">
        <v>134</v>
      </c>
      <c r="K408" s="8" t="s">
        <v>177</v>
      </c>
      <c r="L408" s="11">
        <v>0</v>
      </c>
      <c r="M408" s="11">
        <v>1</v>
      </c>
      <c r="N408" s="11" t="s">
        <v>276</v>
      </c>
      <c r="O408" s="11" t="s">
        <v>562</v>
      </c>
      <c r="P408" s="11" t="s">
        <v>613</v>
      </c>
      <c r="Q408" s="11" t="s">
        <v>613</v>
      </c>
    </row>
    <row r="409" spans="1:17" x14ac:dyDescent="0.25">
      <c r="A409" s="11">
        <v>408</v>
      </c>
      <c r="B409" s="11" t="s">
        <v>132</v>
      </c>
      <c r="C409" s="11" t="s">
        <v>631</v>
      </c>
      <c r="D409" s="11">
        <v>2017</v>
      </c>
      <c r="E409" s="11">
        <v>6690</v>
      </c>
      <c r="F409" s="11">
        <v>860</v>
      </c>
      <c r="G409" s="11">
        <v>83.7</v>
      </c>
      <c r="H409" s="7">
        <v>95</v>
      </c>
      <c r="I409" s="11">
        <v>2.8</v>
      </c>
      <c r="J409" s="8" t="s">
        <v>136</v>
      </c>
      <c r="K409" s="8" t="s">
        <v>177</v>
      </c>
      <c r="L409" s="11">
        <v>0</v>
      </c>
      <c r="M409" s="11">
        <v>1</v>
      </c>
      <c r="N409" s="11" t="s">
        <v>276</v>
      </c>
      <c r="O409" s="11" t="s">
        <v>562</v>
      </c>
      <c r="P409" s="11" t="s">
        <v>613</v>
      </c>
      <c r="Q409" s="11" t="s">
        <v>613</v>
      </c>
    </row>
    <row r="410" spans="1:17" x14ac:dyDescent="0.25">
      <c r="A410" s="11">
        <v>409</v>
      </c>
      <c r="B410" s="11" t="s">
        <v>132</v>
      </c>
      <c r="C410" s="11" t="s">
        <v>632</v>
      </c>
      <c r="D410" s="11">
        <v>2017</v>
      </c>
      <c r="E410" s="11">
        <v>5790</v>
      </c>
      <c r="F410" s="11">
        <v>820</v>
      </c>
      <c r="G410" s="11">
        <v>83.7</v>
      </c>
      <c r="H410" s="7">
        <v>95</v>
      </c>
      <c r="I410" s="11">
        <v>2.8</v>
      </c>
      <c r="J410" s="8" t="s">
        <v>137</v>
      </c>
      <c r="K410" s="8" t="s">
        <v>177</v>
      </c>
      <c r="L410" s="11">
        <v>0</v>
      </c>
      <c r="M410" s="11">
        <v>1</v>
      </c>
      <c r="N410" s="11" t="s">
        <v>276</v>
      </c>
      <c r="O410" s="11" t="s">
        <v>562</v>
      </c>
      <c r="P410" s="11" t="s">
        <v>613</v>
      </c>
      <c r="Q410" s="11" t="s">
        <v>613</v>
      </c>
    </row>
    <row r="411" spans="1:17" x14ac:dyDescent="0.25">
      <c r="A411" s="11">
        <v>410</v>
      </c>
      <c r="B411" s="11" t="s">
        <v>132</v>
      </c>
      <c r="C411" s="11" t="s">
        <v>633</v>
      </c>
      <c r="D411" s="11">
        <v>2017</v>
      </c>
      <c r="E411" s="11">
        <v>5790</v>
      </c>
      <c r="F411" s="11">
        <v>820</v>
      </c>
      <c r="G411" s="11">
        <v>83.7</v>
      </c>
      <c r="H411" s="7">
        <v>95</v>
      </c>
      <c r="I411" s="11">
        <v>2</v>
      </c>
      <c r="J411" s="8" t="s">
        <v>138</v>
      </c>
      <c r="K411" s="8" t="s">
        <v>177</v>
      </c>
      <c r="L411" s="11">
        <v>0</v>
      </c>
      <c r="M411" s="11">
        <v>1</v>
      </c>
      <c r="N411" s="11" t="s">
        <v>276</v>
      </c>
      <c r="O411" s="11" t="s">
        <v>564</v>
      </c>
      <c r="P411" s="11" t="s">
        <v>613</v>
      </c>
      <c r="Q411" s="11" t="s">
        <v>613</v>
      </c>
    </row>
    <row r="412" spans="1:17" x14ac:dyDescent="0.25">
      <c r="A412" s="11">
        <v>411</v>
      </c>
      <c r="B412" s="11" t="s">
        <v>132</v>
      </c>
      <c r="C412" s="11" t="s">
        <v>634</v>
      </c>
      <c r="D412" s="11">
        <v>2017</v>
      </c>
      <c r="E412" s="11">
        <v>5790</v>
      </c>
      <c r="F412" s="11">
        <v>840</v>
      </c>
      <c r="G412" s="11">
        <v>83.7</v>
      </c>
      <c r="H412" s="7">
        <v>95</v>
      </c>
      <c r="I412" s="11">
        <v>2</v>
      </c>
      <c r="J412" s="8" t="s">
        <v>69</v>
      </c>
      <c r="K412" s="8" t="s">
        <v>177</v>
      </c>
      <c r="L412" s="11">
        <v>0</v>
      </c>
      <c r="M412" s="11">
        <v>1</v>
      </c>
      <c r="N412" s="11" t="s">
        <v>276</v>
      </c>
      <c r="O412" s="11" t="s">
        <v>564</v>
      </c>
      <c r="P412" s="11" t="s">
        <v>613</v>
      </c>
      <c r="Q412" s="11" t="s">
        <v>613</v>
      </c>
    </row>
    <row r="413" spans="1:17" x14ac:dyDescent="0.25">
      <c r="A413" s="11">
        <v>412</v>
      </c>
      <c r="B413" s="11" t="s">
        <v>132</v>
      </c>
      <c r="C413" s="11" t="s">
        <v>635</v>
      </c>
      <c r="D413" s="11">
        <v>2017</v>
      </c>
      <c r="E413" s="11">
        <v>5790</v>
      </c>
      <c r="F413" s="11">
        <v>800</v>
      </c>
      <c r="G413" s="11">
        <v>83.7</v>
      </c>
      <c r="H413" s="7">
        <v>95</v>
      </c>
      <c r="I413" s="11">
        <v>2</v>
      </c>
      <c r="J413" s="8" t="s">
        <v>70</v>
      </c>
      <c r="K413" s="8" t="s">
        <v>177</v>
      </c>
      <c r="L413" s="11">
        <v>0</v>
      </c>
      <c r="M413" s="11">
        <v>1</v>
      </c>
      <c r="N413" s="11" t="s">
        <v>276</v>
      </c>
      <c r="O413" s="11" t="s">
        <v>564</v>
      </c>
      <c r="P413" s="11" t="s">
        <v>613</v>
      </c>
      <c r="Q413" s="11" t="s">
        <v>613</v>
      </c>
    </row>
    <row r="414" spans="1:17" x14ac:dyDescent="0.25">
      <c r="A414" s="11">
        <v>413</v>
      </c>
      <c r="B414" s="11" t="s">
        <v>132</v>
      </c>
      <c r="C414" s="11" t="s">
        <v>636</v>
      </c>
      <c r="D414" s="11">
        <v>2017</v>
      </c>
      <c r="E414" s="11">
        <v>5790</v>
      </c>
      <c r="F414" s="11">
        <v>770</v>
      </c>
      <c r="G414" s="11">
        <v>83.7</v>
      </c>
      <c r="H414" s="7">
        <v>95</v>
      </c>
      <c r="I414" s="11">
        <v>2</v>
      </c>
      <c r="J414" s="8" t="s">
        <v>74</v>
      </c>
      <c r="K414" s="8" t="s">
        <v>177</v>
      </c>
      <c r="L414" s="11">
        <v>0</v>
      </c>
      <c r="M414" s="11">
        <v>1</v>
      </c>
      <c r="N414" s="11" t="s">
        <v>276</v>
      </c>
      <c r="O414" s="11" t="s">
        <v>565</v>
      </c>
      <c r="P414" s="11" t="s">
        <v>613</v>
      </c>
      <c r="Q414" s="11" t="s">
        <v>613</v>
      </c>
    </row>
    <row r="415" spans="1:17" x14ac:dyDescent="0.25">
      <c r="A415" s="11">
        <v>414</v>
      </c>
      <c r="B415" s="11" t="s">
        <v>132</v>
      </c>
      <c r="C415" s="11" t="s">
        <v>637</v>
      </c>
      <c r="D415" s="11">
        <v>2017</v>
      </c>
      <c r="E415" s="11">
        <v>5790</v>
      </c>
      <c r="F415" s="11">
        <v>880</v>
      </c>
      <c r="G415" s="11">
        <v>83.7</v>
      </c>
      <c r="H415" s="7">
        <v>95</v>
      </c>
      <c r="I415" s="11">
        <v>2</v>
      </c>
      <c r="J415" s="8" t="s">
        <v>77</v>
      </c>
      <c r="K415" s="8" t="s">
        <v>177</v>
      </c>
      <c r="L415" s="11">
        <v>0</v>
      </c>
      <c r="M415" s="11">
        <v>1</v>
      </c>
      <c r="N415" s="11" t="s">
        <v>276</v>
      </c>
      <c r="O415" s="11" t="s">
        <v>567</v>
      </c>
      <c r="P415" s="11" t="s">
        <v>613</v>
      </c>
      <c r="Q415" s="11" t="s">
        <v>613</v>
      </c>
    </row>
    <row r="416" spans="1:17" x14ac:dyDescent="0.25">
      <c r="A416" s="11">
        <v>415</v>
      </c>
      <c r="B416" s="11" t="s">
        <v>367</v>
      </c>
      <c r="C416" s="11" t="s">
        <v>638</v>
      </c>
      <c r="D416" s="11">
        <v>2017</v>
      </c>
      <c r="E416" s="11">
        <v>2599</v>
      </c>
      <c r="F416" s="11">
        <v>845</v>
      </c>
      <c r="G416" s="11">
        <v>103</v>
      </c>
      <c r="H416" s="7">
        <v>89.8</v>
      </c>
      <c r="I416" s="11">
        <v>4</v>
      </c>
      <c r="J416" s="8" t="s">
        <v>373</v>
      </c>
      <c r="K416" s="8" t="s">
        <v>177</v>
      </c>
      <c r="L416" s="11">
        <v>0</v>
      </c>
      <c r="M416" s="11">
        <v>0</v>
      </c>
      <c r="N416" s="11" t="s">
        <v>581</v>
      </c>
      <c r="O416" s="11" t="s">
        <v>562</v>
      </c>
      <c r="P416" s="11" t="s">
        <v>610</v>
      </c>
      <c r="Q416" s="9"/>
    </row>
    <row r="417" spans="1:17" x14ac:dyDescent="0.25">
      <c r="A417">
        <v>416</v>
      </c>
      <c r="B417" t="s">
        <v>367</v>
      </c>
      <c r="C417" t="s">
        <v>639</v>
      </c>
      <c r="D417">
        <v>2017</v>
      </c>
      <c r="E417">
        <v>2799</v>
      </c>
      <c r="F417">
        <v>1010</v>
      </c>
      <c r="G417">
        <v>125.5</v>
      </c>
      <c r="H417" s="7">
        <v>94.3</v>
      </c>
      <c r="I417" s="1">
        <v>2</v>
      </c>
      <c r="J417" s="8" t="s">
        <v>640</v>
      </c>
      <c r="K417" s="8" t="s">
        <v>177</v>
      </c>
      <c r="L417">
        <v>0</v>
      </c>
      <c r="M417">
        <v>0</v>
      </c>
      <c r="N417" t="s">
        <v>581</v>
      </c>
      <c r="O417" t="s">
        <v>567</v>
      </c>
      <c r="P417" s="11" t="s">
        <v>610</v>
      </c>
      <c r="Q417" s="9"/>
    </row>
    <row r="418" spans="1:17" x14ac:dyDescent="0.25">
      <c r="A418">
        <v>417</v>
      </c>
      <c r="B418" t="s">
        <v>132</v>
      </c>
      <c r="C418" t="s">
        <v>642</v>
      </c>
      <c r="D418">
        <v>2017</v>
      </c>
      <c r="E418">
        <v>1999</v>
      </c>
      <c r="F418">
        <v>1170</v>
      </c>
      <c r="G418">
        <v>124.8</v>
      </c>
      <c r="H418" s="7">
        <v>84.8</v>
      </c>
      <c r="I418" s="1">
        <v>1.4</v>
      </c>
      <c r="J418" s="8" t="s">
        <v>70</v>
      </c>
      <c r="K418" s="8" t="s">
        <v>177</v>
      </c>
      <c r="L418">
        <v>0</v>
      </c>
      <c r="M418">
        <v>0</v>
      </c>
      <c r="N418" t="s">
        <v>276</v>
      </c>
      <c r="O418" t="s">
        <v>564</v>
      </c>
      <c r="P418" s="11" t="s">
        <v>613</v>
      </c>
      <c r="Q418" s="11" t="s">
        <v>610</v>
      </c>
    </row>
    <row r="419" spans="1:17" x14ac:dyDescent="0.25">
      <c r="A419">
        <v>418</v>
      </c>
      <c r="B419" t="s">
        <v>643</v>
      </c>
      <c r="C419" t="s">
        <v>644</v>
      </c>
      <c r="D419" s="9">
        <v>2014</v>
      </c>
      <c r="E419">
        <v>999</v>
      </c>
      <c r="F419">
        <v>544</v>
      </c>
      <c r="G419" s="9"/>
      <c r="H419" s="7">
        <v>80</v>
      </c>
      <c r="I419" s="1">
        <v>2.2000000000000002</v>
      </c>
      <c r="J419" s="8" t="s">
        <v>214</v>
      </c>
      <c r="K419" s="8" t="s">
        <v>177</v>
      </c>
      <c r="L419">
        <v>0</v>
      </c>
      <c r="M419">
        <v>1</v>
      </c>
      <c r="N419" t="s">
        <v>284</v>
      </c>
      <c r="O419" t="s">
        <v>564</v>
      </c>
      <c r="P419" s="11" t="s">
        <v>612</v>
      </c>
      <c r="Q419" s="9"/>
    </row>
    <row r="420" spans="1:17" x14ac:dyDescent="0.25">
      <c r="A420" s="11">
        <v>419</v>
      </c>
      <c r="B420" t="s">
        <v>643</v>
      </c>
      <c r="C420" t="s">
        <v>645</v>
      </c>
      <c r="D420" s="9">
        <v>2014</v>
      </c>
      <c r="E420">
        <v>999</v>
      </c>
      <c r="F420">
        <v>546</v>
      </c>
      <c r="G420" s="9"/>
      <c r="H420" s="7">
        <v>80</v>
      </c>
      <c r="I420" s="1">
        <v>2.2000000000000002</v>
      </c>
      <c r="J420" s="8" t="s">
        <v>370</v>
      </c>
      <c r="K420" s="8" t="s">
        <v>177</v>
      </c>
      <c r="L420">
        <v>0</v>
      </c>
      <c r="M420">
        <v>1</v>
      </c>
      <c r="N420" t="s">
        <v>284</v>
      </c>
      <c r="O420" t="s">
        <v>564</v>
      </c>
      <c r="P420" s="11" t="s">
        <v>612</v>
      </c>
      <c r="Q420" s="9"/>
    </row>
    <row r="421" spans="1:17" s="11" customFormat="1" x14ac:dyDescent="0.25">
      <c r="A421" s="11">
        <v>420</v>
      </c>
      <c r="B421" s="11" t="s">
        <v>643</v>
      </c>
      <c r="C421" s="11" t="s">
        <v>649</v>
      </c>
      <c r="D421" s="11">
        <v>2017</v>
      </c>
      <c r="E421" s="11">
        <v>999</v>
      </c>
      <c r="F421" s="9"/>
      <c r="G421" s="9"/>
      <c r="H421" s="7">
        <v>80</v>
      </c>
      <c r="I421" s="11">
        <v>2.6</v>
      </c>
      <c r="J421" s="8" t="s">
        <v>292</v>
      </c>
      <c r="K421" s="8" t="s">
        <v>177</v>
      </c>
      <c r="L421" s="11">
        <v>0</v>
      </c>
      <c r="M421" s="11">
        <v>1</v>
      </c>
      <c r="N421" s="11" t="s">
        <v>284</v>
      </c>
      <c r="O421" s="11" t="s">
        <v>565</v>
      </c>
      <c r="P421" s="11" t="s">
        <v>612</v>
      </c>
      <c r="Q421" s="9"/>
    </row>
    <row r="422" spans="1:17" x14ac:dyDescent="0.25">
      <c r="A422" s="11">
        <v>421</v>
      </c>
      <c r="B422" t="s">
        <v>643</v>
      </c>
      <c r="C422" t="s">
        <v>646</v>
      </c>
      <c r="D422" s="9">
        <v>2014</v>
      </c>
      <c r="E422">
        <v>899</v>
      </c>
      <c r="F422">
        <v>500</v>
      </c>
      <c r="G422" s="9"/>
      <c r="H422" s="7">
        <v>80</v>
      </c>
      <c r="I422" s="1">
        <v>2.2000000000000002</v>
      </c>
      <c r="J422" s="8" t="s">
        <v>138</v>
      </c>
      <c r="K422" s="8" t="s">
        <v>177</v>
      </c>
      <c r="L422">
        <v>0</v>
      </c>
      <c r="M422">
        <v>1</v>
      </c>
      <c r="N422" t="s">
        <v>284</v>
      </c>
      <c r="O422" t="s">
        <v>565</v>
      </c>
      <c r="P422" s="11" t="s">
        <v>612</v>
      </c>
      <c r="Q422" s="9"/>
    </row>
    <row r="423" spans="1:17" x14ac:dyDescent="0.25">
      <c r="A423" s="11">
        <v>422</v>
      </c>
      <c r="B423" t="s">
        <v>643</v>
      </c>
      <c r="C423" t="s">
        <v>647</v>
      </c>
      <c r="D423" s="9">
        <v>2014</v>
      </c>
      <c r="E423">
        <v>799</v>
      </c>
      <c r="F423">
        <v>473</v>
      </c>
      <c r="G423" s="9"/>
      <c r="H423" s="7">
        <v>80</v>
      </c>
      <c r="I423" s="1">
        <v>2.2000000000000002</v>
      </c>
      <c r="J423" s="8" t="s">
        <v>70</v>
      </c>
      <c r="K423" s="8" t="s">
        <v>177</v>
      </c>
      <c r="L423">
        <v>0</v>
      </c>
      <c r="M423">
        <v>1</v>
      </c>
      <c r="N423" t="s">
        <v>284</v>
      </c>
      <c r="O423" t="s">
        <v>567</v>
      </c>
      <c r="P423" s="11" t="s">
        <v>612</v>
      </c>
      <c r="Q423" s="9"/>
    </row>
    <row r="424" spans="1:17" x14ac:dyDescent="0.25">
      <c r="A424" s="11">
        <v>423</v>
      </c>
      <c r="B424" t="s">
        <v>643</v>
      </c>
      <c r="C424" t="s">
        <v>648</v>
      </c>
      <c r="D424" s="9">
        <v>2014</v>
      </c>
      <c r="E424">
        <v>799</v>
      </c>
      <c r="F424">
        <v>461</v>
      </c>
      <c r="G424" s="9"/>
      <c r="H424" s="7">
        <v>80</v>
      </c>
      <c r="I424" s="1">
        <v>2.2000000000000002</v>
      </c>
      <c r="J424" s="8" t="s">
        <v>74</v>
      </c>
      <c r="K424" s="8" t="s">
        <v>177</v>
      </c>
      <c r="L424">
        <v>0</v>
      </c>
      <c r="M424">
        <v>1</v>
      </c>
      <c r="N424" t="s">
        <v>284</v>
      </c>
      <c r="O424" t="s">
        <v>568</v>
      </c>
      <c r="P424" s="11" t="s">
        <v>612</v>
      </c>
      <c r="Q424" s="9"/>
    </row>
    <row r="425" spans="1:17" x14ac:dyDescent="0.25">
      <c r="A425">
        <v>424</v>
      </c>
      <c r="B425" t="s">
        <v>643</v>
      </c>
      <c r="C425" t="s">
        <v>650</v>
      </c>
      <c r="D425">
        <v>2015</v>
      </c>
      <c r="E425">
        <v>999</v>
      </c>
      <c r="F425">
        <v>770</v>
      </c>
      <c r="G425" s="9"/>
      <c r="H425" s="7">
        <v>80</v>
      </c>
      <c r="I425" s="1">
        <v>2.2000000000000002</v>
      </c>
      <c r="J425" s="8" t="s">
        <v>77</v>
      </c>
      <c r="K425" s="8" t="s">
        <v>177</v>
      </c>
      <c r="L425">
        <v>0</v>
      </c>
      <c r="M425">
        <v>1</v>
      </c>
      <c r="N425" t="s">
        <v>284</v>
      </c>
      <c r="O425" t="s">
        <v>571</v>
      </c>
      <c r="P425" s="11" t="s">
        <v>612</v>
      </c>
      <c r="Q425" s="9"/>
    </row>
    <row r="426" spans="1:17" x14ac:dyDescent="0.25">
      <c r="A426">
        <v>425</v>
      </c>
      <c r="B426" t="s">
        <v>7</v>
      </c>
      <c r="C426" t="s">
        <v>653</v>
      </c>
      <c r="D426">
        <v>2017</v>
      </c>
      <c r="E426">
        <v>1599</v>
      </c>
      <c r="F426">
        <v>950</v>
      </c>
      <c r="G426">
        <v>105.4</v>
      </c>
      <c r="H426" s="7">
        <v>88.6</v>
      </c>
      <c r="I426" s="1">
        <v>1.4</v>
      </c>
      <c r="J426" s="8" t="s">
        <v>77</v>
      </c>
      <c r="K426" s="8" t="s">
        <v>177</v>
      </c>
      <c r="L426">
        <v>1</v>
      </c>
      <c r="M426">
        <v>0</v>
      </c>
      <c r="N426" t="s">
        <v>276</v>
      </c>
      <c r="O426" t="s">
        <v>567</v>
      </c>
      <c r="P426" s="11" t="s">
        <v>610</v>
      </c>
      <c r="Q426" s="11" t="s">
        <v>610</v>
      </c>
    </row>
    <row r="427" spans="1:17" x14ac:dyDescent="0.25">
      <c r="A427">
        <v>426</v>
      </c>
      <c r="B427" t="s">
        <v>7</v>
      </c>
      <c r="C427" t="s">
        <v>654</v>
      </c>
      <c r="D427">
        <v>2017</v>
      </c>
      <c r="E427">
        <v>2199</v>
      </c>
      <c r="F427">
        <v>945</v>
      </c>
      <c r="G427">
        <v>114.9</v>
      </c>
      <c r="H427" s="7">
        <v>86.9</v>
      </c>
      <c r="I427" s="1">
        <v>2.8</v>
      </c>
      <c r="J427" s="8" t="s">
        <v>74</v>
      </c>
      <c r="K427" s="8" t="s">
        <v>177</v>
      </c>
      <c r="L427">
        <v>0</v>
      </c>
      <c r="M427">
        <v>0</v>
      </c>
      <c r="N427" t="s">
        <v>276</v>
      </c>
      <c r="O427" t="s">
        <v>563</v>
      </c>
      <c r="P427" s="11" t="s">
        <v>610</v>
      </c>
      <c r="Q427" s="11" t="s">
        <v>610</v>
      </c>
    </row>
    <row r="428" spans="1:17" x14ac:dyDescent="0.25">
      <c r="A428">
        <v>427</v>
      </c>
      <c r="B428" t="s">
        <v>7</v>
      </c>
      <c r="C428" t="s">
        <v>655</v>
      </c>
      <c r="D428">
        <v>2017</v>
      </c>
      <c r="E428">
        <v>2199</v>
      </c>
      <c r="F428">
        <v>915</v>
      </c>
      <c r="G428">
        <v>116.5</v>
      </c>
      <c r="H428" s="7">
        <v>86.9</v>
      </c>
      <c r="I428" s="1">
        <v>2.8</v>
      </c>
      <c r="J428" s="8" t="s">
        <v>171</v>
      </c>
      <c r="K428" s="8" t="s">
        <v>177</v>
      </c>
      <c r="L428">
        <v>0</v>
      </c>
      <c r="M428">
        <v>0</v>
      </c>
      <c r="N428" t="s">
        <v>276</v>
      </c>
      <c r="O428" t="s">
        <v>563</v>
      </c>
      <c r="P428" s="11" t="s">
        <v>610</v>
      </c>
      <c r="Q428" s="11" t="s">
        <v>610</v>
      </c>
    </row>
    <row r="429" spans="1:17" x14ac:dyDescent="0.25">
      <c r="A429">
        <v>428</v>
      </c>
      <c r="B429" t="s">
        <v>7</v>
      </c>
      <c r="C429" t="s">
        <v>656</v>
      </c>
      <c r="D429">
        <v>2017</v>
      </c>
      <c r="E429">
        <v>2199</v>
      </c>
      <c r="F429">
        <v>1100</v>
      </c>
      <c r="G429">
        <v>139.1</v>
      </c>
      <c r="H429" s="7">
        <v>88.5</v>
      </c>
      <c r="I429" s="1">
        <v>4</v>
      </c>
      <c r="J429" s="8" t="s">
        <v>125</v>
      </c>
      <c r="K429" s="8" t="s">
        <v>177</v>
      </c>
      <c r="L429">
        <v>0</v>
      </c>
      <c r="M429">
        <v>0</v>
      </c>
      <c r="N429" t="s">
        <v>276</v>
      </c>
      <c r="O429" t="s">
        <v>563</v>
      </c>
      <c r="P429" s="11" t="s">
        <v>610</v>
      </c>
      <c r="Q429" s="11" t="s">
        <v>610</v>
      </c>
    </row>
    <row r="430" spans="1:17" x14ac:dyDescent="0.25">
      <c r="A430" s="18">
        <v>429</v>
      </c>
      <c r="B430" s="14" t="s">
        <v>100</v>
      </c>
      <c r="C430" s="14" t="s">
        <v>668</v>
      </c>
      <c r="D430" s="14">
        <v>2012</v>
      </c>
      <c r="E430" s="14">
        <v>1099</v>
      </c>
      <c r="F430" s="14">
        <v>1150</v>
      </c>
      <c r="G430" s="14">
        <v>150</v>
      </c>
      <c r="H430" s="15">
        <v>79.599999999999994</v>
      </c>
      <c r="I430" s="14">
        <v>2.8</v>
      </c>
      <c r="J430" s="16" t="s">
        <v>667</v>
      </c>
      <c r="K430" s="16" t="s">
        <v>177</v>
      </c>
      <c r="L430" s="14">
        <v>1</v>
      </c>
      <c r="M430" s="14">
        <v>0</v>
      </c>
      <c r="N430" s="14" t="s">
        <v>276</v>
      </c>
      <c r="O430" s="14" t="s">
        <v>566</v>
      </c>
      <c r="P430" s="14" t="s">
        <v>610</v>
      </c>
      <c r="Q430" s="17"/>
    </row>
    <row r="431" spans="1:17" x14ac:dyDescent="0.25">
      <c r="A431">
        <v>430</v>
      </c>
      <c r="B431" t="s">
        <v>213</v>
      </c>
      <c r="C431" t="s">
        <v>678</v>
      </c>
      <c r="D431">
        <v>2017</v>
      </c>
      <c r="E431">
        <v>999</v>
      </c>
      <c r="F431">
        <v>625</v>
      </c>
      <c r="G431">
        <v>91.3</v>
      </c>
      <c r="H431" s="7">
        <v>78</v>
      </c>
      <c r="I431" s="1">
        <v>2</v>
      </c>
      <c r="J431" s="8" t="s">
        <v>679</v>
      </c>
      <c r="K431" s="8" t="s">
        <v>177</v>
      </c>
      <c r="L431">
        <v>0</v>
      </c>
      <c r="M431">
        <v>0</v>
      </c>
      <c r="N431" t="s">
        <v>276</v>
      </c>
      <c r="O431" t="s">
        <v>566</v>
      </c>
      <c r="P431" s="11" t="s">
        <v>610</v>
      </c>
      <c r="Q431" s="11" t="s">
        <v>610</v>
      </c>
    </row>
    <row r="432" spans="1:17" x14ac:dyDescent="0.25">
      <c r="A432">
        <v>431</v>
      </c>
      <c r="B432" t="s">
        <v>213</v>
      </c>
      <c r="C432" t="s">
        <v>680</v>
      </c>
      <c r="D432">
        <v>2017</v>
      </c>
      <c r="E432">
        <v>1059</v>
      </c>
      <c r="F432">
        <v>420</v>
      </c>
      <c r="G432">
        <v>59.3</v>
      </c>
      <c r="H432" s="7">
        <v>70.099999999999994</v>
      </c>
      <c r="I432" s="1">
        <v>1.2</v>
      </c>
      <c r="J432" s="8" t="s">
        <v>221</v>
      </c>
      <c r="K432" s="8" t="s">
        <v>177</v>
      </c>
      <c r="L432">
        <v>0</v>
      </c>
      <c r="M432">
        <v>0</v>
      </c>
      <c r="N432" t="s">
        <v>276</v>
      </c>
      <c r="O432" t="s">
        <v>565</v>
      </c>
      <c r="P432" s="11" t="s">
        <v>610</v>
      </c>
      <c r="Q432" s="11" t="s">
        <v>610</v>
      </c>
    </row>
    <row r="433" spans="1:17" x14ac:dyDescent="0.25">
      <c r="A433">
        <v>432</v>
      </c>
      <c r="B433" t="s">
        <v>132</v>
      </c>
      <c r="C433" t="s">
        <v>681</v>
      </c>
      <c r="D433">
        <v>2017</v>
      </c>
      <c r="E433">
        <v>2399</v>
      </c>
      <c r="F433">
        <v>1220</v>
      </c>
      <c r="G433">
        <v>122.5</v>
      </c>
      <c r="H433" s="7">
        <v>95.2</v>
      </c>
      <c r="I433" s="1">
        <v>1.4</v>
      </c>
      <c r="J433" s="8" t="s">
        <v>138</v>
      </c>
      <c r="K433" s="8" t="s">
        <v>177</v>
      </c>
      <c r="L433">
        <v>0</v>
      </c>
      <c r="M433">
        <v>0</v>
      </c>
      <c r="N433" t="s">
        <v>276</v>
      </c>
      <c r="O433" t="s">
        <v>564</v>
      </c>
      <c r="P433" s="11" t="s">
        <v>613</v>
      </c>
      <c r="Q433" s="11" t="s">
        <v>610</v>
      </c>
    </row>
    <row r="434" spans="1:17" x14ac:dyDescent="0.25">
      <c r="A434">
        <v>433</v>
      </c>
      <c r="B434" t="s">
        <v>165</v>
      </c>
      <c r="C434" t="s">
        <v>703</v>
      </c>
      <c r="D434">
        <v>2017</v>
      </c>
      <c r="E434">
        <v>1298</v>
      </c>
      <c r="F434">
        <v>633</v>
      </c>
      <c r="G434">
        <v>113</v>
      </c>
      <c r="H434" s="7">
        <v>83</v>
      </c>
      <c r="I434" s="1">
        <v>4</v>
      </c>
      <c r="J434" s="8" t="s">
        <v>353</v>
      </c>
      <c r="K434" s="8" t="s">
        <v>178</v>
      </c>
      <c r="L434">
        <v>1</v>
      </c>
      <c r="M434">
        <v>0</v>
      </c>
      <c r="N434" t="s">
        <v>276</v>
      </c>
      <c r="O434" t="s">
        <v>565</v>
      </c>
      <c r="P434" s="11" t="s">
        <v>610</v>
      </c>
      <c r="Q434" s="9"/>
    </row>
    <row r="435" spans="1:17" x14ac:dyDescent="0.25">
      <c r="A435">
        <v>434</v>
      </c>
      <c r="B435" t="s">
        <v>684</v>
      </c>
      <c r="C435" t="s">
        <v>685</v>
      </c>
      <c r="D435">
        <v>2017</v>
      </c>
      <c r="E435">
        <v>3000</v>
      </c>
      <c r="F435">
        <v>1245</v>
      </c>
      <c r="G435">
        <v>174</v>
      </c>
      <c r="H435" s="7">
        <v>87.5</v>
      </c>
      <c r="I435" s="1">
        <v>2.8</v>
      </c>
      <c r="J435" s="8" t="s">
        <v>81</v>
      </c>
      <c r="K435" s="8" t="s">
        <v>177</v>
      </c>
      <c r="L435">
        <v>1</v>
      </c>
      <c r="M435">
        <v>0</v>
      </c>
      <c r="N435" t="s">
        <v>284</v>
      </c>
      <c r="O435" t="s">
        <v>569</v>
      </c>
      <c r="P435" s="11" t="s">
        <v>610</v>
      </c>
      <c r="Q435" s="9"/>
    </row>
    <row r="436" spans="1:17" x14ac:dyDescent="0.25">
      <c r="A436">
        <v>435</v>
      </c>
      <c r="B436" t="s">
        <v>426</v>
      </c>
      <c r="C436" t="s">
        <v>687</v>
      </c>
      <c r="D436">
        <v>2014</v>
      </c>
      <c r="E436">
        <v>249</v>
      </c>
      <c r="F436">
        <v>136</v>
      </c>
      <c r="G436">
        <v>40.6</v>
      </c>
      <c r="H436" s="7">
        <v>56</v>
      </c>
      <c r="I436" s="1">
        <v>1.8</v>
      </c>
      <c r="J436" s="8" t="s">
        <v>138</v>
      </c>
      <c r="K436" s="8" t="s">
        <v>177</v>
      </c>
      <c r="L436">
        <v>0</v>
      </c>
      <c r="M436">
        <v>0</v>
      </c>
      <c r="N436" t="s">
        <v>284</v>
      </c>
      <c r="O436" t="s">
        <v>565</v>
      </c>
      <c r="P436" s="11" t="s">
        <v>610</v>
      </c>
      <c r="Q436" s="11" t="s">
        <v>610</v>
      </c>
    </row>
    <row r="437" spans="1:17" x14ac:dyDescent="0.25">
      <c r="A437">
        <v>436</v>
      </c>
      <c r="B437" t="s">
        <v>426</v>
      </c>
      <c r="C437" t="s">
        <v>688</v>
      </c>
      <c r="D437">
        <v>2018</v>
      </c>
      <c r="E437">
        <v>1199</v>
      </c>
      <c r="F437">
        <v>390</v>
      </c>
      <c r="G437">
        <v>87</v>
      </c>
      <c r="H437" s="7">
        <v>68.2</v>
      </c>
      <c r="I437" s="1">
        <v>1.2</v>
      </c>
      <c r="J437" s="8" t="s">
        <v>689</v>
      </c>
      <c r="K437" s="8" t="s">
        <v>177</v>
      </c>
      <c r="L437">
        <v>0</v>
      </c>
      <c r="M437">
        <v>0</v>
      </c>
      <c r="N437" t="s">
        <v>284</v>
      </c>
      <c r="O437" t="s">
        <v>565</v>
      </c>
      <c r="P437" s="11" t="s">
        <v>610</v>
      </c>
      <c r="Q437" s="11" t="s">
        <v>610</v>
      </c>
    </row>
    <row r="438" spans="1:17" x14ac:dyDescent="0.25">
      <c r="A438">
        <v>437</v>
      </c>
      <c r="B438" t="s">
        <v>426</v>
      </c>
      <c r="C438" t="s">
        <v>690</v>
      </c>
      <c r="D438">
        <v>2012</v>
      </c>
      <c r="E438">
        <v>749</v>
      </c>
      <c r="F438">
        <v>305</v>
      </c>
      <c r="G438">
        <v>69.099999999999994</v>
      </c>
      <c r="H438" s="7">
        <v>64</v>
      </c>
      <c r="I438" s="1">
        <v>1.8</v>
      </c>
      <c r="J438" s="8" t="s">
        <v>224</v>
      </c>
      <c r="K438" s="8" t="s">
        <v>177</v>
      </c>
      <c r="L438">
        <v>0</v>
      </c>
      <c r="M438">
        <v>0</v>
      </c>
      <c r="N438" t="s">
        <v>284</v>
      </c>
      <c r="O438" t="s">
        <v>568</v>
      </c>
      <c r="P438" s="11" t="s">
        <v>610</v>
      </c>
      <c r="Q438" s="9"/>
    </row>
    <row r="439" spans="1:17" x14ac:dyDescent="0.25">
      <c r="A439">
        <v>438</v>
      </c>
      <c r="B439" t="s">
        <v>426</v>
      </c>
      <c r="C439" t="s">
        <v>691</v>
      </c>
      <c r="D439">
        <v>2017</v>
      </c>
      <c r="E439">
        <v>1199</v>
      </c>
      <c r="F439">
        <v>410</v>
      </c>
      <c r="G439">
        <v>84.9</v>
      </c>
      <c r="H439" s="7">
        <v>70</v>
      </c>
      <c r="I439" s="1">
        <v>1.2</v>
      </c>
      <c r="J439" s="8" t="s">
        <v>98</v>
      </c>
      <c r="K439" s="8" t="s">
        <v>177</v>
      </c>
      <c r="L439">
        <v>0</v>
      </c>
      <c r="M439">
        <v>0</v>
      </c>
      <c r="N439" t="s">
        <v>284</v>
      </c>
      <c r="O439" t="s">
        <v>567</v>
      </c>
      <c r="P439" s="11" t="s">
        <v>610</v>
      </c>
      <c r="Q439" s="11" t="s">
        <v>610</v>
      </c>
    </row>
    <row r="440" spans="1:17" x14ac:dyDescent="0.25">
      <c r="A440">
        <v>439</v>
      </c>
      <c r="B440" t="s">
        <v>426</v>
      </c>
      <c r="C440" t="s">
        <v>692</v>
      </c>
      <c r="D440">
        <v>2011</v>
      </c>
      <c r="E440">
        <v>249</v>
      </c>
      <c r="F440">
        <v>116</v>
      </c>
      <c r="G440">
        <v>46</v>
      </c>
      <c r="H440" s="7">
        <v>56</v>
      </c>
      <c r="I440" s="1">
        <v>1.8</v>
      </c>
      <c r="J440" s="8" t="s">
        <v>98</v>
      </c>
      <c r="K440" s="8" t="s">
        <v>177</v>
      </c>
      <c r="L440">
        <v>0</v>
      </c>
      <c r="M440">
        <v>0</v>
      </c>
      <c r="N440" t="s">
        <v>284</v>
      </c>
      <c r="O440" t="s">
        <v>567</v>
      </c>
      <c r="P440" s="11" t="s">
        <v>610</v>
      </c>
      <c r="Q440" s="9"/>
    </row>
    <row r="441" spans="1:17" x14ac:dyDescent="0.25">
      <c r="A441">
        <v>440</v>
      </c>
      <c r="B441" t="s">
        <v>426</v>
      </c>
      <c r="C441" t="s">
        <v>693</v>
      </c>
      <c r="D441">
        <v>2013</v>
      </c>
      <c r="E441">
        <v>349</v>
      </c>
      <c r="F441">
        <v>120</v>
      </c>
      <c r="G441">
        <v>35.5</v>
      </c>
      <c r="H441" s="7">
        <v>57.5</v>
      </c>
      <c r="I441" s="1">
        <v>1.8</v>
      </c>
      <c r="J441" s="8" t="s">
        <v>689</v>
      </c>
      <c r="K441" s="8" t="s">
        <v>177</v>
      </c>
      <c r="L441">
        <v>0</v>
      </c>
      <c r="M441">
        <v>0</v>
      </c>
      <c r="N441" t="s">
        <v>284</v>
      </c>
      <c r="O441" t="s">
        <v>565</v>
      </c>
      <c r="P441" s="11" t="s">
        <v>610</v>
      </c>
      <c r="Q441" s="9"/>
    </row>
    <row r="442" spans="1:17" x14ac:dyDescent="0.25">
      <c r="A442">
        <v>441</v>
      </c>
      <c r="B442" t="s">
        <v>684</v>
      </c>
      <c r="C442" t="s">
        <v>694</v>
      </c>
      <c r="D442">
        <v>2011</v>
      </c>
      <c r="E442">
        <v>598</v>
      </c>
      <c r="F442">
        <v>200</v>
      </c>
      <c r="G442">
        <v>54.5</v>
      </c>
      <c r="H442" s="7">
        <v>63</v>
      </c>
      <c r="I442" s="1">
        <v>1.4</v>
      </c>
      <c r="J442" s="8" t="s">
        <v>138</v>
      </c>
      <c r="K442" s="8" t="s">
        <v>177</v>
      </c>
      <c r="L442">
        <v>0</v>
      </c>
      <c r="M442">
        <v>0</v>
      </c>
      <c r="N442" t="s">
        <v>284</v>
      </c>
      <c r="O442" t="s">
        <v>565</v>
      </c>
      <c r="P442" s="11" t="s">
        <v>610</v>
      </c>
      <c r="Q442" s="9"/>
    </row>
    <row r="443" spans="1:17" x14ac:dyDescent="0.25">
      <c r="A443">
        <v>442</v>
      </c>
      <c r="B443" t="s">
        <v>684</v>
      </c>
      <c r="C443" t="s">
        <v>695</v>
      </c>
      <c r="D443">
        <v>2016</v>
      </c>
      <c r="E443">
        <v>1298</v>
      </c>
      <c r="F443">
        <v>335</v>
      </c>
      <c r="G443">
        <v>70</v>
      </c>
      <c r="H443" s="7">
        <v>70</v>
      </c>
      <c r="I443" s="1">
        <v>1.4</v>
      </c>
      <c r="J443" s="8" t="s">
        <v>214</v>
      </c>
      <c r="K443" s="8" t="s">
        <v>177</v>
      </c>
      <c r="L443">
        <v>0</v>
      </c>
      <c r="M443">
        <v>0</v>
      </c>
      <c r="N443" t="s">
        <v>284</v>
      </c>
      <c r="O443" t="s">
        <v>564</v>
      </c>
      <c r="P443" s="11" t="s">
        <v>610</v>
      </c>
      <c r="Q443" s="9"/>
    </row>
    <row r="444" spans="1:17" x14ac:dyDescent="0.25">
      <c r="A444">
        <v>443</v>
      </c>
      <c r="B444" t="s">
        <v>684</v>
      </c>
      <c r="C444" t="s">
        <v>696</v>
      </c>
      <c r="D444">
        <v>2014</v>
      </c>
      <c r="E444">
        <v>1598</v>
      </c>
      <c r="F444">
        <v>425</v>
      </c>
      <c r="G444">
        <v>76.8</v>
      </c>
      <c r="H444" s="7">
        <v>74</v>
      </c>
      <c r="I444" s="1">
        <v>1.2</v>
      </c>
      <c r="J444" s="8" t="s">
        <v>283</v>
      </c>
      <c r="K444" s="8" t="s">
        <v>177</v>
      </c>
      <c r="L444">
        <v>1</v>
      </c>
      <c r="M444">
        <v>0</v>
      </c>
      <c r="N444" t="s">
        <v>284</v>
      </c>
      <c r="O444" t="s">
        <v>567</v>
      </c>
      <c r="P444" s="11" t="s">
        <v>610</v>
      </c>
      <c r="Q444" s="9"/>
    </row>
    <row r="445" spans="1:17" x14ac:dyDescent="0.25">
      <c r="A445">
        <v>444</v>
      </c>
      <c r="B445" t="s">
        <v>59</v>
      </c>
      <c r="C445" t="s">
        <v>698</v>
      </c>
      <c r="D445">
        <v>2018</v>
      </c>
      <c r="E445">
        <v>12400</v>
      </c>
      <c r="F445">
        <v>3500</v>
      </c>
      <c r="G445">
        <v>363</v>
      </c>
      <c r="H445" s="7">
        <v>128</v>
      </c>
      <c r="I445" s="1">
        <v>4</v>
      </c>
      <c r="J445" s="8" t="s">
        <v>699</v>
      </c>
      <c r="K445" s="8" t="s">
        <v>178</v>
      </c>
      <c r="L445">
        <v>1</v>
      </c>
      <c r="M445">
        <v>0</v>
      </c>
      <c r="N445" t="s">
        <v>276</v>
      </c>
      <c r="O445" t="s">
        <v>700</v>
      </c>
      <c r="P445" s="11" t="s">
        <v>610</v>
      </c>
      <c r="Q445" s="11" t="s">
        <v>610</v>
      </c>
    </row>
    <row r="446" spans="1:17" x14ac:dyDescent="0.25">
      <c r="A446">
        <v>445</v>
      </c>
      <c r="B446" t="s">
        <v>100</v>
      </c>
      <c r="C446" t="s">
        <v>702</v>
      </c>
      <c r="D446">
        <v>2013</v>
      </c>
      <c r="E446">
        <v>899</v>
      </c>
      <c r="F446">
        <v>885</v>
      </c>
      <c r="G446">
        <v>109.2</v>
      </c>
      <c r="H446" s="7">
        <v>88.9</v>
      </c>
      <c r="I446" s="1">
        <v>4</v>
      </c>
      <c r="J446" s="8" t="s">
        <v>353</v>
      </c>
      <c r="K446" s="8" t="s">
        <v>178</v>
      </c>
      <c r="L446">
        <v>1</v>
      </c>
      <c r="M446">
        <v>0</v>
      </c>
      <c r="N446" t="s">
        <v>276</v>
      </c>
      <c r="O446" t="s">
        <v>565</v>
      </c>
      <c r="P446" s="11" t="s">
        <v>610</v>
      </c>
      <c r="Q446" s="11" t="s">
        <v>610</v>
      </c>
    </row>
    <row r="447" spans="1:17" x14ac:dyDescent="0.25">
      <c r="A447">
        <v>446</v>
      </c>
      <c r="B447" t="s">
        <v>225</v>
      </c>
      <c r="C447" t="s">
        <v>704</v>
      </c>
      <c r="D447">
        <v>2018</v>
      </c>
      <c r="E447">
        <v>4750</v>
      </c>
      <c r="F447">
        <v>720</v>
      </c>
      <c r="G447">
        <v>102</v>
      </c>
      <c r="H447" s="7">
        <v>73</v>
      </c>
      <c r="I447" s="1">
        <v>2</v>
      </c>
      <c r="J447" s="8" t="s">
        <v>224</v>
      </c>
      <c r="K447" s="8" t="s">
        <v>177</v>
      </c>
      <c r="L447">
        <v>0</v>
      </c>
      <c r="M447">
        <v>0</v>
      </c>
      <c r="N447" t="s">
        <v>276</v>
      </c>
      <c r="O447" t="s">
        <v>567</v>
      </c>
      <c r="P447" s="11" t="s">
        <v>613</v>
      </c>
      <c r="Q447" s="11" t="s">
        <v>613</v>
      </c>
    </row>
    <row r="448" spans="1:17" x14ac:dyDescent="0.25">
      <c r="A448">
        <v>447</v>
      </c>
      <c r="B448" t="s">
        <v>225</v>
      </c>
      <c r="C448" t="s">
        <v>705</v>
      </c>
      <c r="D448">
        <v>2018</v>
      </c>
      <c r="E448">
        <v>5150</v>
      </c>
      <c r="F448">
        <v>700</v>
      </c>
      <c r="G448">
        <v>102</v>
      </c>
      <c r="H448" s="7">
        <v>73</v>
      </c>
      <c r="I448" s="1">
        <v>2</v>
      </c>
      <c r="J448" s="8" t="s">
        <v>171</v>
      </c>
      <c r="K448" s="8" t="s">
        <v>177</v>
      </c>
      <c r="L448">
        <v>0</v>
      </c>
      <c r="M448">
        <v>0</v>
      </c>
      <c r="N448" t="s">
        <v>276</v>
      </c>
      <c r="O448" t="s">
        <v>567</v>
      </c>
      <c r="P448" s="11" t="s">
        <v>613</v>
      </c>
      <c r="Q448" s="11" t="s">
        <v>613</v>
      </c>
    </row>
  </sheetData>
  <dataValidations count="1">
    <dataValidation type="custom" allowBlank="1" showInputMessage="1" showErrorMessage="1" sqref="A1:A1048576">
      <formula1>COUNTIF($A:$A,A1)&lt;2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abSelected="1" topLeftCell="A45" workbookViewId="0">
      <selection activeCell="A65" sqref="A65"/>
    </sheetView>
  </sheetViews>
  <sheetFormatPr defaultColWidth="8.7109375" defaultRowHeight="15" x14ac:dyDescent="0.25"/>
  <cols>
    <col min="1" max="1" width="10.7109375" style="12" bestFit="1" customWidth="1"/>
  </cols>
  <sheetData>
    <row r="1" spans="1:7" x14ac:dyDescent="0.25">
      <c r="A1" s="12" t="s">
        <v>56</v>
      </c>
    </row>
    <row r="3" spans="1:7" x14ac:dyDescent="0.25">
      <c r="A3" s="12">
        <v>42361</v>
      </c>
      <c r="B3" t="s">
        <v>57</v>
      </c>
    </row>
    <row r="4" spans="1:7" x14ac:dyDescent="0.25">
      <c r="A4" s="12">
        <v>42369</v>
      </c>
      <c r="B4" t="s">
        <v>58</v>
      </c>
    </row>
    <row r="5" spans="1:7" x14ac:dyDescent="0.25">
      <c r="A5" s="12">
        <v>42371</v>
      </c>
      <c r="B5" t="s">
        <v>62</v>
      </c>
    </row>
    <row r="6" spans="1:7" x14ac:dyDescent="0.25">
      <c r="A6" s="12">
        <v>42372</v>
      </c>
      <c r="B6" t="s">
        <v>102</v>
      </c>
    </row>
    <row r="7" spans="1:7" x14ac:dyDescent="0.25">
      <c r="A7" s="12">
        <v>42373</v>
      </c>
      <c r="B7" t="s">
        <v>108</v>
      </c>
    </row>
    <row r="8" spans="1:7" x14ac:dyDescent="0.25">
      <c r="A8" s="12">
        <v>42382</v>
      </c>
      <c r="B8" t="s">
        <v>130</v>
      </c>
    </row>
    <row r="9" spans="1:7" x14ac:dyDescent="0.25">
      <c r="A9" s="12">
        <v>42385</v>
      </c>
      <c r="B9" t="s">
        <v>158</v>
      </c>
    </row>
    <row r="10" spans="1:7" x14ac:dyDescent="0.25">
      <c r="A10" s="12">
        <v>42387</v>
      </c>
      <c r="B10" t="s">
        <v>164</v>
      </c>
    </row>
    <row r="11" spans="1:7" x14ac:dyDescent="0.25">
      <c r="A11" s="12">
        <v>42388</v>
      </c>
      <c r="B11" t="s">
        <v>179</v>
      </c>
    </row>
    <row r="12" spans="1:7" x14ac:dyDescent="0.25">
      <c r="A12" s="12">
        <v>42390</v>
      </c>
      <c r="B12" t="s">
        <v>188</v>
      </c>
    </row>
    <row r="13" spans="1:7" x14ac:dyDescent="0.25">
      <c r="A13" s="12">
        <v>42391</v>
      </c>
      <c r="B13" t="s">
        <v>195</v>
      </c>
    </row>
    <row r="14" spans="1:7" x14ac:dyDescent="0.25">
      <c r="A14" s="12">
        <v>42400</v>
      </c>
      <c r="B14" t="s">
        <v>196</v>
      </c>
    </row>
    <row r="15" spans="1:7" x14ac:dyDescent="0.25">
      <c r="A15" s="12">
        <v>42414</v>
      </c>
      <c r="B15" t="s">
        <v>199</v>
      </c>
    </row>
    <row r="16" spans="1:7" x14ac:dyDescent="0.25">
      <c r="A16" s="12">
        <v>42432</v>
      </c>
      <c r="B16" t="s">
        <v>247</v>
      </c>
      <c r="G16" t="s">
        <v>248</v>
      </c>
    </row>
    <row r="17" spans="1:2" x14ac:dyDescent="0.25">
      <c r="A17" s="12">
        <v>42435</v>
      </c>
      <c r="B17" t="s">
        <v>255</v>
      </c>
    </row>
    <row r="18" spans="1:2" x14ac:dyDescent="0.25">
      <c r="A18" s="12">
        <v>42436</v>
      </c>
      <c r="B18" t="s">
        <v>259</v>
      </c>
    </row>
    <row r="19" spans="1:2" x14ac:dyDescent="0.25">
      <c r="A19" s="12">
        <v>42441</v>
      </c>
      <c r="B19" t="s">
        <v>260</v>
      </c>
    </row>
    <row r="20" spans="1:2" x14ac:dyDescent="0.25">
      <c r="A20" s="12">
        <v>42445</v>
      </c>
      <c r="B20" t="s">
        <v>263</v>
      </c>
    </row>
    <row r="21" spans="1:2" x14ac:dyDescent="0.25">
      <c r="A21" s="12">
        <v>42453</v>
      </c>
      <c r="B21" t="s">
        <v>274</v>
      </c>
    </row>
    <row r="22" spans="1:2" x14ac:dyDescent="0.25">
      <c r="A22" s="12">
        <v>42456</v>
      </c>
      <c r="B22" t="s">
        <v>298</v>
      </c>
    </row>
    <row r="23" spans="1:2" x14ac:dyDescent="0.25">
      <c r="A23" s="12">
        <v>42457</v>
      </c>
      <c r="B23" t="s">
        <v>300</v>
      </c>
    </row>
    <row r="24" spans="1:2" x14ac:dyDescent="0.25">
      <c r="A24" s="12">
        <v>42458</v>
      </c>
      <c r="B24" t="s">
        <v>303</v>
      </c>
    </row>
    <row r="25" spans="1:2" x14ac:dyDescent="0.25">
      <c r="A25" s="12">
        <v>42464</v>
      </c>
      <c r="B25" t="s">
        <v>306</v>
      </c>
    </row>
    <row r="26" spans="1:2" x14ac:dyDescent="0.25">
      <c r="A26" s="12">
        <v>42510</v>
      </c>
      <c r="B26" t="s">
        <v>307</v>
      </c>
    </row>
    <row r="27" spans="1:2" x14ac:dyDescent="0.25">
      <c r="A27" s="12">
        <v>42515</v>
      </c>
      <c r="B27" t="s">
        <v>311</v>
      </c>
    </row>
    <row r="28" spans="1:2" x14ac:dyDescent="0.25">
      <c r="A28" s="12">
        <v>42560</v>
      </c>
      <c r="B28" t="s">
        <v>329</v>
      </c>
    </row>
    <row r="29" spans="1:2" x14ac:dyDescent="0.25">
      <c r="A29" s="12">
        <v>42565</v>
      </c>
      <c r="B29" t="s">
        <v>331</v>
      </c>
    </row>
    <row r="30" spans="1:2" x14ac:dyDescent="0.25">
      <c r="A30" s="12">
        <v>42576</v>
      </c>
      <c r="B30" t="s">
        <v>334</v>
      </c>
    </row>
    <row r="31" spans="1:2" x14ac:dyDescent="0.25">
      <c r="A31" s="12">
        <v>42590</v>
      </c>
      <c r="B31" t="s">
        <v>344</v>
      </c>
    </row>
    <row r="32" spans="1:2" x14ac:dyDescent="0.25">
      <c r="A32" s="12">
        <v>42593</v>
      </c>
      <c r="B32" t="s">
        <v>346</v>
      </c>
    </row>
    <row r="33" spans="1:2" x14ac:dyDescent="0.25">
      <c r="A33" s="12">
        <v>42598</v>
      </c>
      <c r="B33" t="s">
        <v>347</v>
      </c>
    </row>
    <row r="34" spans="1:2" x14ac:dyDescent="0.25">
      <c r="A34" s="12">
        <v>42665</v>
      </c>
      <c r="B34" t="s">
        <v>431</v>
      </c>
    </row>
    <row r="35" spans="1:2" x14ac:dyDescent="0.25">
      <c r="A35" s="12">
        <v>42788</v>
      </c>
      <c r="B35" t="s">
        <v>464</v>
      </c>
    </row>
    <row r="36" spans="1:2" x14ac:dyDescent="0.25">
      <c r="A36" s="12">
        <v>42831</v>
      </c>
      <c r="B36" t="s">
        <v>465</v>
      </c>
    </row>
    <row r="37" spans="1:2" x14ac:dyDescent="0.25">
      <c r="A37" s="12">
        <v>42833</v>
      </c>
      <c r="B37" s="11" t="s">
        <v>590</v>
      </c>
    </row>
    <row r="38" spans="1:2" x14ac:dyDescent="0.25">
      <c r="A38" s="12">
        <v>42833</v>
      </c>
      <c r="B38" s="11" t="s">
        <v>591</v>
      </c>
    </row>
    <row r="39" spans="1:2" x14ac:dyDescent="0.25">
      <c r="A39" s="12">
        <v>42874</v>
      </c>
      <c r="B39" s="11" t="s">
        <v>592</v>
      </c>
    </row>
    <row r="40" spans="1:2" x14ac:dyDescent="0.25">
      <c r="A40" s="12">
        <v>42876</v>
      </c>
      <c r="B40" t="s">
        <v>594</v>
      </c>
    </row>
    <row r="41" spans="1:2" x14ac:dyDescent="0.25">
      <c r="A41" s="12">
        <v>42878</v>
      </c>
      <c r="B41" t="s">
        <v>593</v>
      </c>
    </row>
    <row r="42" spans="1:2" x14ac:dyDescent="0.25">
      <c r="A42" s="12">
        <v>42878</v>
      </c>
      <c r="B42" t="s">
        <v>595</v>
      </c>
    </row>
    <row r="43" spans="1:2" x14ac:dyDescent="0.25">
      <c r="A43" s="12">
        <v>42879</v>
      </c>
      <c r="B43" t="s">
        <v>597</v>
      </c>
    </row>
    <row r="44" spans="1:2" x14ac:dyDescent="0.25">
      <c r="A44" s="12">
        <v>42884</v>
      </c>
      <c r="B44" t="s">
        <v>599</v>
      </c>
    </row>
    <row r="45" spans="1:2" x14ac:dyDescent="0.25">
      <c r="A45" s="12">
        <v>42887</v>
      </c>
      <c r="B45" t="s">
        <v>607</v>
      </c>
    </row>
    <row r="46" spans="1:2" x14ac:dyDescent="0.25">
      <c r="A46" s="12">
        <v>42887</v>
      </c>
      <c r="B46" t="s">
        <v>615</v>
      </c>
    </row>
    <row r="47" spans="1:2" x14ac:dyDescent="0.25">
      <c r="A47" s="12">
        <v>42891</v>
      </c>
      <c r="B47" t="s">
        <v>617</v>
      </c>
    </row>
    <row r="48" spans="1:2" x14ac:dyDescent="0.25">
      <c r="A48" s="12">
        <v>42901</v>
      </c>
      <c r="B48" t="s">
        <v>618</v>
      </c>
    </row>
    <row r="49" spans="1:2" x14ac:dyDescent="0.25">
      <c r="A49" s="12">
        <v>42908</v>
      </c>
      <c r="B49" t="s">
        <v>621</v>
      </c>
    </row>
    <row r="50" spans="1:2" x14ac:dyDescent="0.25">
      <c r="A50" s="12">
        <v>42909</v>
      </c>
      <c r="B50" t="s">
        <v>624</v>
      </c>
    </row>
    <row r="51" spans="1:2" x14ac:dyDescent="0.25">
      <c r="A51" s="12">
        <v>42910</v>
      </c>
      <c r="B51" t="s">
        <v>625</v>
      </c>
    </row>
    <row r="52" spans="1:2" x14ac:dyDescent="0.25">
      <c r="A52" s="12">
        <v>42913</v>
      </c>
      <c r="B52" t="s">
        <v>628</v>
      </c>
    </row>
    <row r="53" spans="1:2" x14ac:dyDescent="0.25">
      <c r="A53" s="12">
        <v>42914</v>
      </c>
      <c r="B53" t="s">
        <v>641</v>
      </c>
    </row>
    <row r="54" spans="1:2" x14ac:dyDescent="0.25">
      <c r="A54" s="12">
        <v>42948</v>
      </c>
      <c r="B54" t="s">
        <v>651</v>
      </c>
    </row>
    <row r="55" spans="1:2" x14ac:dyDescent="0.25">
      <c r="A55" s="12">
        <v>42977</v>
      </c>
      <c r="B55" t="s">
        <v>652</v>
      </c>
    </row>
    <row r="56" spans="1:2" x14ac:dyDescent="0.25">
      <c r="A56" s="12">
        <v>42992</v>
      </c>
      <c r="B56" s="11" t="s">
        <v>669</v>
      </c>
    </row>
    <row r="57" spans="1:2" x14ac:dyDescent="0.25">
      <c r="A57" s="12">
        <v>42996</v>
      </c>
      <c r="B57" s="11" t="s">
        <v>670</v>
      </c>
    </row>
    <row r="58" spans="1:2" x14ac:dyDescent="0.25">
      <c r="A58" s="12">
        <v>42997</v>
      </c>
      <c r="B58" s="11" t="s">
        <v>671</v>
      </c>
    </row>
    <row r="59" spans="1:2" x14ac:dyDescent="0.25">
      <c r="A59" s="12">
        <v>43026</v>
      </c>
      <c r="B59" t="s">
        <v>682</v>
      </c>
    </row>
    <row r="60" spans="1:2" x14ac:dyDescent="0.25">
      <c r="A60" s="12">
        <v>43033</v>
      </c>
      <c r="B60" t="s">
        <v>683</v>
      </c>
    </row>
    <row r="61" spans="1:2" x14ac:dyDescent="0.25">
      <c r="A61" s="12">
        <v>43047</v>
      </c>
      <c r="B61" t="s">
        <v>686</v>
      </c>
    </row>
    <row r="62" spans="1:2" x14ac:dyDescent="0.25">
      <c r="A62" s="12">
        <v>43097</v>
      </c>
      <c r="B62" t="s">
        <v>697</v>
      </c>
    </row>
    <row r="63" spans="1:2" x14ac:dyDescent="0.25">
      <c r="A63" s="12">
        <v>43109</v>
      </c>
      <c r="B63" t="s">
        <v>701</v>
      </c>
    </row>
    <row r="64" spans="1:2" x14ac:dyDescent="0.25">
      <c r="A64" s="12">
        <v>43121</v>
      </c>
      <c r="B64" t="str">
        <f>"+ Leica 75/90 SL, +Sigma 24-105 f/4A, correct error in FE 24-105mm listing"</f>
        <v>+ Leica 75/90 SL, +Sigma 24-105 f/4A, correct error in FE 24-105mm listing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LensTable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Brandon Dube</cp:lastModifiedBy>
  <dcterms:created xsi:type="dcterms:W3CDTF">2015-12-23T23:38:48Z</dcterms:created>
  <dcterms:modified xsi:type="dcterms:W3CDTF">2018-01-21T06:00:56Z</dcterms:modified>
</cp:coreProperties>
</file>