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Jedermann\TMCTechAccess_Intern\Chips\TMC2660\"/>
    </mc:Choice>
  </mc:AlternateContent>
  <xr:revisionPtr revIDLastSave="0" documentId="8_{1FE64D7B-65CB-40E6-8056-13E6B6BEC4A5}" xr6:coauthVersionLast="46" xr6:coauthVersionMax="46" xr10:uidLastSave="{00000000-0000-0000-0000-000000000000}"/>
  <bookViews>
    <workbookView xWindow="-120" yWindow="-120" windowWidth="20730" windowHeight="11160" activeTab="1"/>
  </bookViews>
  <sheets>
    <sheet name="TMC26x_chopper" sheetId="1" r:id="rId1"/>
    <sheet name="Power_Dissipation" sheetId="3" r:id="rId2"/>
    <sheet name="Detail Exmpl Power Dissipation" sheetId="5" r:id="rId3"/>
    <sheet name="RSense" sheetId="4" r:id="rId4"/>
    <sheet name="Revision_History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5" l="1"/>
  <c r="E28" i="5"/>
  <c r="D28" i="5"/>
  <c r="F27" i="5"/>
  <c r="H27" i="5"/>
  <c r="G26" i="5"/>
  <c r="F26" i="5"/>
  <c r="E26" i="5"/>
  <c r="H26" i="5"/>
  <c r="D25" i="5"/>
  <c r="H25" i="5"/>
  <c r="L25" i="5"/>
  <c r="L26" i="5"/>
  <c r="H22" i="5"/>
  <c r="G14" i="5"/>
  <c r="F33" i="5"/>
  <c r="H33" i="5"/>
  <c r="H28" i="5"/>
  <c r="L28" i="5"/>
  <c r="L29" i="5"/>
  <c r="G34" i="5"/>
  <c r="H34" i="5"/>
  <c r="D31" i="5"/>
  <c r="H31" i="5"/>
  <c r="E32" i="5"/>
  <c r="H32" i="5"/>
  <c r="E43" i="3"/>
  <c r="E42" i="3"/>
  <c r="E23" i="3"/>
  <c r="E27" i="3"/>
  <c r="E22" i="3"/>
  <c r="E26" i="3"/>
  <c r="O43" i="4"/>
  <c r="N43" i="4"/>
  <c r="M43" i="4"/>
  <c r="L43" i="4"/>
  <c r="D43" i="4"/>
  <c r="C43" i="4"/>
  <c r="M42" i="4"/>
  <c r="O42" i="4"/>
  <c r="L42" i="4"/>
  <c r="N42" i="4"/>
  <c r="D42" i="4"/>
  <c r="C42" i="4"/>
  <c r="O41" i="4"/>
  <c r="M41" i="4"/>
  <c r="L41" i="4"/>
  <c r="N41" i="4"/>
  <c r="D41" i="4"/>
  <c r="C41" i="4"/>
  <c r="M40" i="4"/>
  <c r="O40" i="4"/>
  <c r="L40" i="4"/>
  <c r="N40" i="4"/>
  <c r="D40" i="4"/>
  <c r="C40" i="4"/>
  <c r="N39" i="4"/>
  <c r="M39" i="4"/>
  <c r="O39" i="4"/>
  <c r="L39" i="4"/>
  <c r="D39" i="4"/>
  <c r="C39" i="4"/>
  <c r="M38" i="4"/>
  <c r="O38" i="4"/>
  <c r="L38" i="4"/>
  <c r="N38" i="4"/>
  <c r="D38" i="4"/>
  <c r="C38" i="4"/>
  <c r="O37" i="4"/>
  <c r="M37" i="4"/>
  <c r="L37" i="4"/>
  <c r="N37" i="4"/>
  <c r="D37" i="4"/>
  <c r="C37" i="4"/>
  <c r="M36" i="4"/>
  <c r="O36" i="4"/>
  <c r="L36" i="4"/>
  <c r="N36" i="4"/>
  <c r="D36" i="4"/>
  <c r="C36" i="4"/>
  <c r="O35" i="4"/>
  <c r="N35" i="4"/>
  <c r="M35" i="4"/>
  <c r="L35" i="4"/>
  <c r="D35" i="4"/>
  <c r="C35" i="4"/>
  <c r="M34" i="4"/>
  <c r="O34" i="4"/>
  <c r="L34" i="4"/>
  <c r="N34" i="4"/>
  <c r="D34" i="4"/>
  <c r="C34" i="4"/>
  <c r="M33" i="4"/>
  <c r="O33" i="4"/>
  <c r="L33" i="4"/>
  <c r="N33" i="4"/>
  <c r="D33" i="4"/>
  <c r="C33" i="4"/>
  <c r="M32" i="4"/>
  <c r="O32" i="4"/>
  <c r="L32" i="4"/>
  <c r="N32" i="4"/>
  <c r="D32" i="4"/>
  <c r="C32" i="4"/>
  <c r="O31" i="4"/>
  <c r="N31" i="4"/>
  <c r="M31" i="4"/>
  <c r="L31" i="4"/>
  <c r="D31" i="4"/>
  <c r="C31" i="4"/>
  <c r="M30" i="4"/>
  <c r="O30" i="4"/>
  <c r="L30" i="4"/>
  <c r="N30" i="4"/>
  <c r="D30" i="4"/>
  <c r="C30" i="4"/>
  <c r="M29" i="4"/>
  <c r="O29" i="4"/>
  <c r="L29" i="4"/>
  <c r="N29" i="4"/>
  <c r="D29" i="4"/>
  <c r="C29" i="4"/>
  <c r="M28" i="4"/>
  <c r="O28" i="4"/>
  <c r="L28" i="4"/>
  <c r="N28" i="4"/>
  <c r="D28" i="4"/>
  <c r="C28" i="4"/>
  <c r="N27" i="4"/>
  <c r="M27" i="4"/>
  <c r="O27" i="4"/>
  <c r="L27" i="4"/>
  <c r="D27" i="4"/>
  <c r="C27" i="4"/>
  <c r="M26" i="4"/>
  <c r="O26" i="4"/>
  <c r="L26" i="4"/>
  <c r="N26" i="4"/>
  <c r="D26" i="4"/>
  <c r="C26" i="4"/>
  <c r="O25" i="4"/>
  <c r="M25" i="4"/>
  <c r="L25" i="4"/>
  <c r="N25" i="4"/>
  <c r="D25" i="4"/>
  <c r="C25" i="4"/>
  <c r="M24" i="4"/>
  <c r="O24" i="4"/>
  <c r="L24" i="4"/>
  <c r="N24" i="4"/>
  <c r="D24" i="4"/>
  <c r="C24" i="4"/>
  <c r="N23" i="4"/>
  <c r="M23" i="4"/>
  <c r="O23" i="4"/>
  <c r="L23" i="4"/>
  <c r="D23" i="4"/>
  <c r="C23" i="4"/>
  <c r="M22" i="4"/>
  <c r="O22" i="4"/>
  <c r="L22" i="4"/>
  <c r="N22" i="4"/>
  <c r="D22" i="4"/>
  <c r="C22" i="4"/>
  <c r="O21" i="4"/>
  <c r="M21" i="4"/>
  <c r="L21" i="4"/>
  <c r="N21" i="4"/>
  <c r="D21" i="4"/>
  <c r="C21" i="4"/>
  <c r="M20" i="4"/>
  <c r="O20" i="4"/>
  <c r="L20" i="4"/>
  <c r="N20" i="4"/>
  <c r="D20" i="4"/>
  <c r="C20" i="4"/>
  <c r="N19" i="4"/>
  <c r="M19" i="4"/>
  <c r="O19" i="4"/>
  <c r="L19" i="4"/>
  <c r="D19" i="4"/>
  <c r="C19" i="4"/>
  <c r="M18" i="4"/>
  <c r="O18" i="4"/>
  <c r="L18" i="4"/>
  <c r="N18" i="4"/>
  <c r="D18" i="4"/>
  <c r="C18" i="4"/>
  <c r="M17" i="4"/>
  <c r="O17" i="4"/>
  <c r="L17" i="4"/>
  <c r="N17" i="4"/>
  <c r="D17" i="4"/>
  <c r="C17" i="4"/>
  <c r="M16" i="4"/>
  <c r="O16" i="4"/>
  <c r="L16" i="4"/>
  <c r="N16" i="4"/>
  <c r="D16" i="4"/>
  <c r="C16" i="4"/>
  <c r="O15" i="4"/>
  <c r="N15" i="4"/>
  <c r="M15" i="4"/>
  <c r="L15" i="4"/>
  <c r="D15" i="4"/>
  <c r="C15" i="4"/>
  <c r="M14" i="4"/>
  <c r="O14" i="4"/>
  <c r="L14" i="4"/>
  <c r="N14" i="4"/>
  <c r="D14" i="4"/>
  <c r="C14" i="4"/>
  <c r="O13" i="4"/>
  <c r="M13" i="4"/>
  <c r="L13" i="4"/>
  <c r="N13" i="4"/>
  <c r="D13" i="4"/>
  <c r="C13" i="4"/>
  <c r="C43" i="1"/>
  <c r="C44" i="1"/>
  <c r="C43" i="3"/>
  <c r="D43" i="3"/>
  <c r="C42" i="3"/>
  <c r="D42" i="3"/>
  <c r="F42" i="3"/>
  <c r="F43" i="3"/>
  <c r="C24" i="1"/>
  <c r="C16" i="1"/>
  <c r="C27" i="3"/>
  <c r="D27" i="3"/>
  <c r="F27" i="3"/>
  <c r="F26" i="3"/>
  <c r="D26" i="3"/>
  <c r="C26" i="3"/>
  <c r="C11" i="3"/>
  <c r="C6" i="3"/>
  <c r="C36" i="1"/>
  <c r="C38" i="1"/>
  <c r="C37" i="1"/>
  <c r="C7" i="1"/>
  <c r="C11" i="1"/>
  <c r="C20" i="1"/>
  <c r="C18" i="1"/>
  <c r="C21" i="1"/>
  <c r="C25" i="1"/>
  <c r="C32" i="1"/>
  <c r="C29" i="1"/>
  <c r="F29" i="1"/>
  <c r="C30" i="1"/>
  <c r="F30" i="1"/>
  <c r="C15" i="3"/>
  <c r="C18" i="3"/>
  <c r="C19" i="3"/>
  <c r="C45" i="3"/>
  <c r="F45" i="3"/>
  <c r="C56" i="3"/>
  <c r="F48" i="3"/>
  <c r="D45" i="3"/>
  <c r="D48" i="3"/>
  <c r="C48" i="3"/>
  <c r="E45" i="3"/>
  <c r="C16" i="3"/>
  <c r="E48" i="3"/>
  <c r="D46" i="3"/>
  <c r="D47" i="3"/>
  <c r="E46" i="3"/>
  <c r="E47" i="3"/>
  <c r="D49" i="3"/>
  <c r="C49" i="3"/>
  <c r="C46" i="3"/>
  <c r="C47" i="3"/>
  <c r="F49" i="3"/>
  <c r="E49" i="3"/>
  <c r="F46" i="3"/>
  <c r="F47" i="3"/>
  <c r="F50" i="3"/>
  <c r="F52" i="3"/>
  <c r="F53" i="3"/>
  <c r="E50" i="3"/>
  <c r="E52" i="3"/>
  <c r="E53" i="3"/>
  <c r="D52" i="3"/>
  <c r="D53" i="3"/>
  <c r="D50" i="3"/>
  <c r="C50" i="3"/>
  <c r="C52" i="3"/>
  <c r="C53" i="3"/>
</calcChain>
</file>

<file path=xl/sharedStrings.xml><?xml version="1.0" encoding="utf-8"?>
<sst xmlns="http://schemas.openxmlformats.org/spreadsheetml/2006/main" count="284" uniqueCount="218">
  <si>
    <t>VM[V] :=</t>
  </si>
  <si>
    <t>Rcoil[Ohm] :=</t>
  </si>
  <si>
    <t>HystStart_MIN =</t>
  </si>
  <si>
    <t>fCLK[MHz] :=</t>
  </si>
  <si>
    <t>tCLK[s] =</t>
  </si>
  <si>
    <t>TBL :=</t>
  </si>
  <si>
    <t>tBLANK =</t>
  </si>
  <si>
    <t>CS :=</t>
  </si>
  <si>
    <t>Current Scaler</t>
  </si>
  <si>
    <t>dIcoilblank[A] =</t>
  </si>
  <si>
    <t>dIcoilsd[A] =</t>
  </si>
  <si>
    <t>determined by Rsense, CurrentScale (CS), Vsense</t>
  </si>
  <si>
    <t>6 ... 10 fits for most stepper motor types as initial value</t>
  </si>
  <si>
    <t>as set by TBL (=0, 1, 2, 3) &lt;=&gt; 16, 24, 36, 54 tCLK</t>
  </si>
  <si>
    <t>toff setting :=</t>
  </si>
  <si>
    <t>tSD[s] =</t>
  </si>
  <si>
    <t>L[H] :=</t>
  </si>
  <si>
    <t>Icoil (peak)[A] :=</t>
  </si>
  <si>
    <t>THIS CODE AND INFORMATION IS PROVIDED "AS IS" WITHOUT WARRANTY OF ANY  KIND, EITHER EXPRESSED OR IMPLIED.</t>
  </si>
  <si>
    <t>File :</t>
  </si>
  <si>
    <t>Date</t>
  </si>
  <si>
    <t>Comment</t>
  </si>
  <si>
    <t>tmc262_calculations.xls</t>
  </si>
  <si>
    <t>September 06, 2010</t>
  </si>
  <si>
    <t>initial version</t>
  </si>
  <si>
    <t>Sample Setting HEND</t>
  </si>
  <si>
    <t>Settings for TMC26x</t>
  </si>
  <si>
    <t>TMC26x Hysteresis Chopper Parameter Setting (spreadCycle chopper)</t>
  </si>
  <si>
    <t>March 07, 2011</t>
  </si>
  <si>
    <t>Hints concerning hysteresis settings (HSTR, HEND) added</t>
  </si>
  <si>
    <t xml:space="preserve">Hint: </t>
  </si>
  <si>
    <t xml:space="preserve">Nominal motor voltage </t>
  </si>
  <si>
    <t>Maximum supply voltage for motor driver (in order to avoid excess heating of the motor by chopping)</t>
  </si>
  <si>
    <t>Umotnom[V] =</t>
  </si>
  <si>
    <t>VM_upper_limit[V] =</t>
  </si>
  <si>
    <t>VM_lower_limit[V] =</t>
  </si>
  <si>
    <t>Minimum supply voltage for motor driver (in order to allow full motor current with microstepping)</t>
  </si>
  <si>
    <t>Derived motor data ( motor specific limits)</t>
  </si>
  <si>
    <t>Prsense[W]=</t>
  </si>
  <si>
    <t>Please enter Values higlighted according your settings</t>
  </si>
  <si>
    <t>fCHOP[kHz]=</t>
  </si>
  <si>
    <t>determined by Rsense, CurrentScale (CS), Vsense, this is typically the RMS motor coil current  *1.41</t>
  </si>
  <si>
    <t>Icoil (RMS)[A] :=</t>
  </si>
  <si>
    <t>The RMS current is automatically calculated from the peak coil current, but you may modify it, e.g. for fullstep operation</t>
  </si>
  <si>
    <t>MOSFET data</t>
  </si>
  <si>
    <t>MOSFET data for 25°C</t>
  </si>
  <si>
    <t>MOSFET Temperature [°C] :=</t>
  </si>
  <si>
    <t>Typical values for usage with these types</t>
  </si>
  <si>
    <t>SLPH[0-3]=</t>
  </si>
  <si>
    <t>SLPL[0-3]=</t>
  </si>
  <si>
    <t>Driver current (from TMC26x Datasheet)</t>
  </si>
  <si>
    <t>ILSon[mA]:=</t>
  </si>
  <si>
    <t>IHSon[mA]:=</t>
  </si>
  <si>
    <t>Slope time rise [ns]=</t>
  </si>
  <si>
    <t>Slope time fall [ns]=</t>
  </si>
  <si>
    <t>mA</t>
  </si>
  <si>
    <t>2011-Mar-16</t>
  </si>
  <si>
    <t>Power dissipation shett added</t>
  </si>
  <si>
    <t>Resulting MOSFET Power Dissipation</t>
  </si>
  <si>
    <t>P_highside(static)[W]=</t>
  </si>
  <si>
    <t>P_highside(dynamic)[W]=</t>
  </si>
  <si>
    <t>P_highside(sum)[W]=</t>
  </si>
  <si>
    <t>P_lowside(sum)[W]=</t>
  </si>
  <si>
    <t>for complete two fullbridges</t>
  </si>
  <si>
    <t>Dutycycle_HS:=</t>
  </si>
  <si>
    <t>P_lowside(static)[W]=</t>
  </si>
  <si>
    <t>P_lowside(dynamic)[W]=</t>
  </si>
  <si>
    <t>per MOSFET (using RMS current)</t>
  </si>
  <si>
    <t>for one fullbridge</t>
  </si>
  <si>
    <t>Pfullbrige[W]=</t>
  </si>
  <si>
    <t>PMOSFETs[W]=</t>
  </si>
  <si>
    <t>Sense resistor [Ohm]:=</t>
  </si>
  <si>
    <t>Use this value to calculate heat up of single P-MOSFET device based on thermal resistance!</t>
  </si>
  <si>
    <t>Use this value to calculate heat up of single N-MOSFET device based on thermal resistance!</t>
  </si>
  <si>
    <t>Use this value to calculate heat up of sense resistor under normal conditions!</t>
  </si>
  <si>
    <t>Use this value to calculate complete power dissipation of the MOSFETs in a driver!</t>
  </si>
  <si>
    <t>Power dissipation for one sense resistor</t>
  </si>
  <si>
    <t>TMC26x clock frequency</t>
  </si>
  <si>
    <t>Motor current</t>
  </si>
  <si>
    <t>Chopper parameters</t>
  </si>
  <si>
    <t>25% to 70% duty cycle can be assumed depending on the motor velocity and supply voltage</t>
  </si>
  <si>
    <t>Slope settings for TMC26x</t>
  </si>
  <si>
    <t>Maximum dissipation per MOSFET</t>
  </si>
  <si>
    <t>Maximum dissiptation per MOSFET</t>
  </si>
  <si>
    <t>(take from datasheet or leave default value)</t>
  </si>
  <si>
    <t>P-MOS</t>
  </si>
  <si>
    <t>N-MOS</t>
  </si>
  <si>
    <t>RON_highside[Ohm]:=</t>
  </si>
  <si>
    <t>RON_lowside[Ohm]:=</t>
  </si>
  <si>
    <t>RON_lowside_th[Ohm]=</t>
  </si>
  <si>
    <t>RON_highside_th[Ohm]=</t>
  </si>
  <si>
    <t>tRR_lowside [ns]:=</t>
  </si>
  <si>
    <t>tRR_highside [ns]:=</t>
  </si>
  <si>
    <t>Reverse recovery time tRR of body diode</t>
  </si>
  <si>
    <t>The reverse recovery time adds power dissipation to the complementary MOSFET, however, the impact is low</t>
  </si>
  <si>
    <t>Assume maximum die temperature in your application within the device limits</t>
  </si>
  <si>
    <t>Driver supply voltage</t>
  </si>
  <si>
    <t>TMC262: Example values for FDD8424H</t>
  </si>
  <si>
    <t>you may want to use worst case values</t>
  </si>
  <si>
    <t>The chopper frequency depends on the toff setting and on the duty cycle, which is determined by many factors</t>
  </si>
  <si>
    <t>Please enter Values higlighted according to your settings</t>
  </si>
  <si>
    <t>2011-MAR-28</t>
  </si>
  <si>
    <t>Corrected missing squares for currents in static power dissipation</t>
  </si>
  <si>
    <t>Automatic calculation of sense resistor (based on CS and Icoil Peak)</t>
  </si>
  <si>
    <t>Ohm</t>
  </si>
  <si>
    <t>Trimming the current scale setting CS will allow to find a value near an existing resistor value</t>
  </si>
  <si>
    <t>Icoil (RMS)[A] =</t>
  </si>
  <si>
    <r>
      <rPr>
        <b/>
        <sz val="11"/>
        <color indexed="8"/>
        <rFont val="Calibri"/>
        <family val="2"/>
      </rPr>
      <t>Rsense</t>
    </r>
    <r>
      <rPr>
        <sz val="11"/>
        <color theme="1"/>
        <rFont val="Calibri"/>
        <family val="2"/>
        <scheme val="minor"/>
      </rPr>
      <t xml:space="preserve"> using VSENSE=0</t>
    </r>
  </si>
  <si>
    <r>
      <rPr>
        <b/>
        <sz val="11"/>
        <color indexed="8"/>
        <rFont val="Calibri"/>
        <family val="2"/>
      </rPr>
      <t>Rsense</t>
    </r>
    <r>
      <rPr>
        <sz val="11"/>
        <color theme="1"/>
        <rFont val="Calibri"/>
        <family val="2"/>
        <scheme val="minor"/>
      </rPr>
      <t xml:space="preserve"> using VSENSE=1</t>
    </r>
  </si>
  <si>
    <t>QGS_highside [nC]:=</t>
  </si>
  <si>
    <t>QGS_lowside [nC]:=</t>
  </si>
  <si>
    <t>2012-FEB-29</t>
  </si>
  <si>
    <t>Revised dynamic dissipation calculation based on Qgs and Qgd rather than on Qg, and revised tRR effect</t>
  </si>
  <si>
    <t>QGD_lowside (Miller) [nC]:=</t>
  </si>
  <si>
    <t>QGD_highside (Miller) [nC]:=</t>
  </si>
  <si>
    <t>Gate drain capacity</t>
  </si>
  <si>
    <t>Gate souce capacity (low side)</t>
  </si>
  <si>
    <t>Gate source capacity (high side)</t>
  </si>
  <si>
    <t>2018-FEB-22</t>
  </si>
  <si>
    <t>Corrected formula for TOFF</t>
  </si>
  <si>
    <t>2021-MAR-01</t>
  </si>
  <si>
    <t>Resulting Value</t>
  </si>
  <si>
    <r>
      <rPr>
        <b/>
        <i/>
        <sz val="11"/>
        <color indexed="8"/>
        <rFont val="Calibri"/>
        <family val="2"/>
      </rPr>
      <t>Register value</t>
    </r>
    <r>
      <rPr>
        <i/>
        <sz val="11"/>
        <color indexed="8"/>
        <rFont val="Calibri"/>
        <family val="2"/>
      </rPr>
      <t xml:space="preserve"> for CHOPCONF register bits</t>
    </r>
  </si>
  <si>
    <t>Recommended is 3 for most applications. Increase to reduce chopper frequency. For highest velocity operation, reduce to 2 or 1.</t>
  </si>
  <si>
    <t>Leave at 31, or trim within the range of 24 to 31 for best scaling range with your motor.</t>
  </si>
  <si>
    <t>Slow decay time</t>
  </si>
  <si>
    <t>(-3...12); HEND = 0 or larger, if HystStart_MIN  &gt; 7</t>
  </si>
  <si>
    <t>This is just a theoretical voltage calculated from Rcoil*Inominal. The supply voltage must be significantly higher, best is a factor of 4 or more.</t>
  </si>
  <si>
    <t>This is the value to be written to HSTRT register</t>
  </si>
  <si>
    <t>This is the value to be written to HEND register</t>
  </si>
  <si>
    <t>Sample Setting HSTRT</t>
  </si>
  <si>
    <t>(1...8); ((HSTRT + HEND) &gt; HystStart_MIN)</t>
  </si>
  <si>
    <t>This is the theoretical minimum value for this register. In a practical application, a slightly increased value might given a bit better microstepping.</t>
  </si>
  <si>
    <t>Given info:</t>
  </si>
  <si>
    <r>
      <t>I</t>
    </r>
    <r>
      <rPr>
        <vertAlign val="subscript"/>
        <sz val="11"/>
        <color indexed="8"/>
        <rFont val="Calibri"/>
        <family val="2"/>
      </rPr>
      <t>RMS</t>
    </r>
    <r>
      <rPr>
        <sz val="11"/>
        <color theme="1"/>
        <rFont val="Calibri"/>
        <family val="2"/>
        <scheme val="minor"/>
      </rPr>
      <t xml:space="preserve"> (A):</t>
    </r>
  </si>
  <si>
    <t>Formulas used:</t>
  </si>
  <si>
    <r>
      <t>R</t>
    </r>
    <r>
      <rPr>
        <vertAlign val="subscript"/>
        <sz val="11"/>
        <color indexed="8"/>
        <rFont val="Calibri"/>
        <family val="2"/>
      </rPr>
      <t>sense</t>
    </r>
    <r>
      <rPr>
        <sz val="11"/>
        <color theme="1"/>
        <rFont val="Calibri"/>
        <family val="2"/>
        <scheme val="minor"/>
      </rPr>
      <t xml:space="preserve"> (mOhm):</t>
    </r>
  </si>
  <si>
    <t>CS:</t>
  </si>
  <si>
    <t>1..31</t>
  </si>
  <si>
    <r>
      <t>I</t>
    </r>
    <r>
      <rPr>
        <vertAlign val="subscript"/>
        <sz val="11"/>
        <color indexed="8"/>
        <rFont val="Calibri"/>
        <family val="2"/>
      </rPr>
      <t>RMS</t>
    </r>
    <r>
      <rPr>
        <sz val="11"/>
        <color theme="1"/>
        <rFont val="Calibri"/>
        <family val="2"/>
        <scheme val="minor"/>
      </rPr>
      <t xml:space="preserve"> = 248/256 * (CS+1)/32 * VFS/Rsense * 1/SQRT(2)</t>
    </r>
  </si>
  <si>
    <t>VFS (U):</t>
  </si>
  <si>
    <r>
      <t>R</t>
    </r>
    <r>
      <rPr>
        <vertAlign val="subscript"/>
        <sz val="11"/>
        <color indexed="8"/>
        <rFont val="Calibri"/>
        <family val="2"/>
      </rPr>
      <t>sense</t>
    </r>
    <r>
      <rPr>
        <sz val="11"/>
        <color theme="1"/>
        <rFont val="Calibri"/>
        <family val="2"/>
        <scheme val="minor"/>
      </rPr>
      <t xml:space="preserve"> = 248/256 * (CS+1)/32 * VFS/IRMS * 1/SQRT(2)</t>
    </r>
  </si>
  <si>
    <t>Required info:</t>
  </si>
  <si>
    <t>VSENSE = 1</t>
  </si>
  <si>
    <t>VSENSE = 0</t>
  </si>
  <si>
    <r>
      <t>R</t>
    </r>
    <r>
      <rPr>
        <vertAlign val="subscript"/>
        <sz val="11"/>
        <color indexed="8"/>
        <rFont val="Calibri"/>
        <family val="2"/>
      </rPr>
      <t>sense</t>
    </r>
    <r>
      <rPr>
        <sz val="11"/>
        <color theme="1"/>
        <rFont val="Calibri"/>
        <family val="2"/>
        <scheme val="minor"/>
      </rPr>
      <t xml:space="preserve"> (Ohm) = ?</t>
    </r>
  </si>
  <si>
    <r>
      <t>I</t>
    </r>
    <r>
      <rPr>
        <vertAlign val="subscript"/>
        <sz val="11"/>
        <color indexed="8"/>
        <rFont val="Calibri"/>
        <family val="2"/>
      </rPr>
      <t>RMS</t>
    </r>
    <r>
      <rPr>
        <sz val="11"/>
        <color theme="1"/>
        <rFont val="Calibri"/>
        <family val="2"/>
        <scheme val="minor"/>
      </rPr>
      <t xml:space="preserve"> (A) = ?</t>
    </r>
  </si>
  <si>
    <t>CS</t>
  </si>
  <si>
    <r>
      <t>R</t>
    </r>
    <r>
      <rPr>
        <vertAlign val="subscript"/>
        <sz val="11"/>
        <color indexed="8"/>
        <rFont val="Calibri"/>
        <family val="2"/>
      </rPr>
      <t>sense</t>
    </r>
    <r>
      <rPr>
        <sz val="11"/>
        <color theme="1"/>
        <rFont val="Calibri"/>
        <family val="2"/>
        <scheme val="minor"/>
      </rPr>
      <t xml:space="preserve"> (mOhm)</t>
    </r>
  </si>
  <si>
    <t>Current Scale</t>
  </si>
  <si>
    <r>
      <t>I</t>
    </r>
    <r>
      <rPr>
        <vertAlign val="subscript"/>
        <sz val="11"/>
        <color indexed="8"/>
        <rFont val="Calibri"/>
        <family val="2"/>
      </rPr>
      <t>RMS (A)</t>
    </r>
  </si>
  <si>
    <r>
      <t>I</t>
    </r>
    <r>
      <rPr>
        <vertAlign val="subscript"/>
        <sz val="11"/>
        <color indexed="8"/>
        <rFont val="Calibri"/>
        <family val="2"/>
      </rPr>
      <t>peak (A)</t>
    </r>
  </si>
  <si>
    <t>half driver strength</t>
  </si>
  <si>
    <t>full driver strength</t>
  </si>
  <si>
    <t>Value</t>
  </si>
  <si>
    <t>CS (hex)</t>
  </si>
  <si>
    <t>CS (dec)</t>
  </si>
  <si>
    <t>1F</t>
  </si>
  <si>
    <t>1E</t>
  </si>
  <si>
    <t>1D</t>
  </si>
  <si>
    <t>1C</t>
  </si>
  <si>
    <t>1B</t>
  </si>
  <si>
    <t>1A</t>
  </si>
  <si>
    <t>F</t>
  </si>
  <si>
    <t>E</t>
  </si>
  <si>
    <t>D</t>
  </si>
  <si>
    <t>C</t>
  </si>
  <si>
    <t>B</t>
  </si>
  <si>
    <t>A</t>
  </si>
  <si>
    <t>TMC262C [with user specific MOSFETs]</t>
  </si>
  <si>
    <t>0-7:</t>
  </si>
  <si>
    <t>14/14/28/42/64/64/78/92</t>
  </si>
  <si>
    <t>15/15/29/43/70/70/84/98</t>
  </si>
  <si>
    <t>(not automatically used in calculation!)</t>
  </si>
  <si>
    <t>TMC260C</t>
  </si>
  <si>
    <t>TMC261C</t>
  </si>
  <si>
    <t>TMC2660C typ case</t>
  </si>
  <si>
    <t>The duty cycle describes the time of a chopper period, where a high side MOSFET is on (or in fast decay): 0.3=30% of the time, 70% slow decay portion)</t>
  </si>
  <si>
    <t>Current flow is from left to right ---&gt;</t>
    <phoneticPr fontId="0" type="noConversion"/>
  </si>
  <si>
    <t>Switch Status</t>
    <phoneticPr fontId="0" type="noConversion"/>
  </si>
  <si>
    <t>ON Phase</t>
    <phoneticPr fontId="0" type="noConversion"/>
  </si>
  <si>
    <t>SD Phase</t>
    <phoneticPr fontId="0" type="noConversion"/>
  </si>
  <si>
    <t>FD Phase</t>
    <phoneticPr fontId="0" type="noConversion"/>
  </si>
  <si>
    <t>S1</t>
    <phoneticPr fontId="0" type="noConversion"/>
  </si>
  <si>
    <t>ON</t>
    <phoneticPr fontId="0" type="noConversion"/>
  </si>
  <si>
    <t>OFF</t>
    <phoneticPr fontId="0" type="noConversion"/>
  </si>
  <si>
    <t>S2</t>
    <phoneticPr fontId="0" type="noConversion"/>
  </si>
  <si>
    <t>S3</t>
    <phoneticPr fontId="0" type="noConversion"/>
  </si>
  <si>
    <t>S4</t>
    <phoneticPr fontId="0" type="noConversion"/>
  </si>
  <si>
    <t>Um</t>
    <phoneticPr fontId="0" type="noConversion"/>
  </si>
  <si>
    <r>
      <t>I</t>
    </r>
    <r>
      <rPr>
        <vertAlign val="subscript"/>
        <sz val="11"/>
        <color indexed="8"/>
        <rFont val="Calibri"/>
        <family val="3"/>
        <charset val="134"/>
      </rPr>
      <t>COIL</t>
    </r>
    <r>
      <rPr>
        <sz val="11"/>
        <color indexed="8"/>
        <rFont val="Calibri"/>
        <family val="3"/>
        <charset val="134"/>
      </rPr>
      <t>RMS</t>
    </r>
  </si>
  <si>
    <t>Fchop(KHz）</t>
    <phoneticPr fontId="0" type="noConversion"/>
  </si>
  <si>
    <r>
      <t xml:space="preserve">HighBridge_Rdson </t>
    </r>
    <r>
      <rPr>
        <sz val="11"/>
        <color indexed="62"/>
        <rFont val="Calibri"/>
        <family val="2"/>
      </rPr>
      <t>(worst case)</t>
    </r>
  </si>
  <si>
    <r>
      <t xml:space="preserve">LowBridge_Rdson </t>
    </r>
    <r>
      <rPr>
        <sz val="11"/>
        <color indexed="62"/>
        <rFont val="Calibri"/>
        <family val="2"/>
      </rPr>
      <t>(worst case)</t>
    </r>
  </si>
  <si>
    <t>ON</t>
  </si>
  <si>
    <t>SD</t>
  </si>
  <si>
    <t>FD</t>
  </si>
  <si>
    <t>TOTAL</t>
  </si>
  <si>
    <t>t</t>
    <phoneticPr fontId="0" type="noConversion"/>
  </si>
  <si>
    <t>Duty Cycle</t>
    <phoneticPr fontId="0" type="noConversion"/>
  </si>
  <si>
    <r>
      <rPr>
        <b/>
        <sz val="12"/>
        <color indexed="8"/>
        <rFont val="Calibri"/>
        <family val="2"/>
      </rPr>
      <t>P</t>
    </r>
    <r>
      <rPr>
        <sz val="12"/>
        <color indexed="8"/>
        <rFont val="Calibri"/>
        <family val="2"/>
      </rPr>
      <t>_Static</t>
    </r>
    <r>
      <rPr>
        <b/>
        <sz val="12"/>
        <color indexed="8"/>
        <rFont val="Calibri"/>
        <family val="2"/>
      </rPr>
      <t xml:space="preserve"> = I² x R</t>
    </r>
    <r>
      <rPr>
        <sz val="12"/>
        <color indexed="8"/>
        <rFont val="Calibri"/>
        <family val="2"/>
      </rPr>
      <t>DS(on)</t>
    </r>
    <r>
      <rPr>
        <b/>
        <sz val="12"/>
        <color indexed="8"/>
        <rFont val="Calibri"/>
        <family val="2"/>
      </rPr>
      <t xml:space="preserve"> x DutyCycle</t>
    </r>
  </si>
  <si>
    <t>P1(static)</t>
    <phoneticPr fontId="0" type="noConversion"/>
  </si>
  <si>
    <t>P2(static)</t>
    <phoneticPr fontId="0" type="noConversion"/>
  </si>
  <si>
    <t>P_highside(static)[W]_average_per_mosfet=</t>
  </si>
  <si>
    <t>P3(static)</t>
    <phoneticPr fontId="0" type="noConversion"/>
  </si>
  <si>
    <t>P4(static)</t>
    <phoneticPr fontId="0" type="noConversion"/>
  </si>
  <si>
    <t>P_lowside(static)[W]_average_per_mosfet=</t>
  </si>
  <si>
    <r>
      <rPr>
        <b/>
        <sz val="12"/>
        <color indexed="8"/>
        <rFont val="Calibri"/>
        <family val="2"/>
      </rPr>
      <t>P</t>
    </r>
    <r>
      <rPr>
        <sz val="12"/>
        <color indexed="8"/>
        <rFont val="Calibri"/>
        <family val="2"/>
      </rPr>
      <t>_Dynamic</t>
    </r>
    <r>
      <rPr>
        <b/>
        <sz val="12"/>
        <color indexed="8"/>
        <rFont val="Calibri"/>
        <family val="2"/>
      </rPr>
      <t xml:space="preserve"> = Um*I</t>
    </r>
    <r>
      <rPr>
        <b/>
        <vertAlign val="subscript"/>
        <sz val="12"/>
        <color indexed="8"/>
        <rFont val="Calibri"/>
        <family val="2"/>
      </rPr>
      <t>coil</t>
    </r>
    <r>
      <rPr>
        <b/>
        <sz val="12"/>
        <color indexed="8"/>
        <rFont val="Calibri"/>
        <family val="2"/>
      </rPr>
      <t xml:space="preserve"> x f</t>
    </r>
    <r>
      <rPr>
        <b/>
        <vertAlign val="subscript"/>
        <sz val="12"/>
        <color indexed="8"/>
        <rFont val="Calibri"/>
        <family val="2"/>
      </rPr>
      <t xml:space="preserve">chop </t>
    </r>
    <r>
      <rPr>
        <b/>
        <sz val="12"/>
        <color indexed="8"/>
        <rFont val="Calibri"/>
        <family val="2"/>
      </rPr>
      <t xml:space="preserve">x </t>
    </r>
    <r>
      <rPr>
        <b/>
        <sz val="12"/>
        <color indexed="8"/>
        <rFont val="宋体"/>
        <family val="3"/>
        <charset val="134"/>
      </rPr>
      <t>（</t>
    </r>
    <r>
      <rPr>
        <b/>
        <sz val="12"/>
        <color indexed="8"/>
        <rFont val="Calibri"/>
        <family val="2"/>
      </rPr>
      <t>t</t>
    </r>
    <r>
      <rPr>
        <b/>
        <vertAlign val="subscript"/>
        <sz val="12"/>
        <color indexed="8"/>
        <rFont val="宋体"/>
        <family val="3"/>
        <charset val="134"/>
      </rPr>
      <t>Slope</t>
    </r>
    <r>
      <rPr>
        <b/>
        <sz val="12"/>
        <color indexed="8"/>
        <rFont val="宋体"/>
        <family val="3"/>
        <charset val="134"/>
      </rPr>
      <t>+t</t>
    </r>
    <r>
      <rPr>
        <b/>
        <vertAlign val="subscript"/>
        <sz val="12"/>
        <color indexed="8"/>
        <rFont val="宋体"/>
        <family val="3"/>
        <charset val="134"/>
      </rPr>
      <t>rr</t>
    </r>
    <r>
      <rPr>
        <b/>
        <sz val="12"/>
        <color indexed="8"/>
        <rFont val="宋体"/>
        <family val="3"/>
        <charset val="134"/>
      </rPr>
      <t>)</t>
    </r>
  </si>
  <si>
    <t>P1(dynamic)</t>
    <phoneticPr fontId="0" type="noConversion"/>
  </si>
  <si>
    <t>P2(dynamic)</t>
    <phoneticPr fontId="0" type="noConversion"/>
  </si>
  <si>
    <t>P3(dynamic)</t>
    <phoneticPr fontId="0" type="noConversion"/>
  </si>
  <si>
    <t>P4(dynamic)</t>
    <phoneticPr fontId="0" type="noConversion"/>
  </si>
  <si>
    <t>This is a detail calculation of the bridge power dissipation based on a measurement of the duration for each phase</t>
  </si>
  <si>
    <t>Adapted for TMC262C type, added TMC2660C, optimized calculatoin and corrected formula for low side power dissipation based on a mean high side duty cycle</t>
  </si>
  <si>
    <t>TMC26xC MOSFET power disspiation calculator</t>
  </si>
  <si>
    <t>Enter the motor coil resistance here for a calculation of the high side duty cycle</t>
  </si>
  <si>
    <t>The calculation sheet assumes operation at the RMS coil current using SpreadCycle Chopper</t>
  </si>
  <si>
    <t>Enter (in sequence of importance): Supply voltage, Coil peak (or RMS) current, Coil resistance and chopper settings toff, TBL and clock frequency (if external clock is used), duty cycle, if measured value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</si>
</sst>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4" formatCode="0.0000"/>
    <numFmt numFmtId="175" formatCode="0.000"/>
    <numFmt numFmtId="176" formatCode="0.0"/>
  </numFmts>
  <fonts count="27">
    <font>
      <sz val="11"/>
      <color theme="1"/>
      <name val="Calibri"/>
      <family val="2"/>
      <scheme val="minor"/>
    </font>
    <font>
      <b/>
      <i/>
      <sz val="10"/>
      <color indexed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bscript"/>
      <sz val="11"/>
      <color indexed="8"/>
      <name val="Calibri"/>
      <family val="3"/>
      <charset val="134"/>
    </font>
    <font>
      <sz val="11"/>
      <color indexed="8"/>
      <name val="Calibri"/>
      <family val="3"/>
      <charset val="134"/>
    </font>
    <font>
      <sz val="11"/>
      <color indexed="6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vertAlign val="subscript"/>
      <sz val="12"/>
      <color indexed="8"/>
      <name val="Calibri"/>
      <family val="2"/>
    </font>
    <font>
      <b/>
      <sz val="12"/>
      <color indexed="8"/>
      <name val="宋体"/>
      <family val="3"/>
      <charset val="134"/>
    </font>
    <font>
      <b/>
      <vertAlign val="subscript"/>
      <sz val="12"/>
      <color indexed="8"/>
      <name val="宋体"/>
      <family val="3"/>
      <charset val="13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4"/>
      <name val="Calibri"/>
      <family val="3"/>
      <charset val="134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15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15" fillId="0" borderId="0" xfId="0" applyFont="1" applyAlignment="1">
      <alignment horizontal="right"/>
    </xf>
    <xf numFmtId="1" fontId="17" fillId="0" borderId="0" xfId="0" applyNumberFormat="1" applyFont="1"/>
    <xf numFmtId="174" fontId="0" fillId="2" borderId="0" xfId="0" applyNumberFormat="1" applyFill="1"/>
    <xf numFmtId="175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8" fillId="0" borderId="0" xfId="0" applyFont="1"/>
    <xf numFmtId="0" fontId="19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2" fontId="2" fillId="0" borderId="0" xfId="0" applyNumberFormat="1" applyFont="1"/>
    <xf numFmtId="0" fontId="18" fillId="4" borderId="0" xfId="0" applyFont="1" applyFill="1"/>
    <xf numFmtId="2" fontId="0" fillId="3" borderId="0" xfId="0" applyNumberFormat="1" applyFill="1"/>
    <xf numFmtId="0" fontId="20" fillId="5" borderId="0" xfId="0" applyFont="1" applyFill="1"/>
    <xf numFmtId="0" fontId="0" fillId="0" borderId="0" xfId="0" applyFont="1" applyAlignment="1">
      <alignment horizontal="right"/>
    </xf>
    <xf numFmtId="1" fontId="20" fillId="2" borderId="0" xfId="0" applyNumberFormat="1" applyFont="1" applyFill="1"/>
    <xf numFmtId="176" fontId="0" fillId="0" borderId="0" xfId="0" applyNumberFormat="1"/>
    <xf numFmtId="176" fontId="0" fillId="5" borderId="0" xfId="0" applyNumberFormat="1" applyFill="1"/>
    <xf numFmtId="176" fontId="0" fillId="0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15" fillId="0" borderId="0" xfId="0" applyFont="1"/>
    <xf numFmtId="0" fontId="20" fillId="0" borderId="0" xfId="0" applyFont="1" applyFill="1"/>
    <xf numFmtId="2" fontId="0" fillId="0" borderId="0" xfId="0" applyNumberFormat="1" applyFill="1"/>
    <xf numFmtId="0" fontId="0" fillId="0" borderId="0" xfId="0" applyFont="1"/>
    <xf numFmtId="2" fontId="15" fillId="0" borderId="0" xfId="0" applyNumberFormat="1" applyFont="1"/>
    <xf numFmtId="0" fontId="16" fillId="0" borderId="0" xfId="0" applyFont="1"/>
    <xf numFmtId="49" fontId="0" fillId="0" borderId="0" xfId="0" applyNumberFormat="1" applyAlignment="1">
      <alignment wrapText="1"/>
    </xf>
    <xf numFmtId="0" fontId="15" fillId="6" borderId="0" xfId="0" applyFont="1" applyFill="1"/>
    <xf numFmtId="0" fontId="0" fillId="6" borderId="0" xfId="0" applyFill="1"/>
    <xf numFmtId="1" fontId="0" fillId="5" borderId="0" xfId="0" applyNumberFormat="1" applyFill="1"/>
    <xf numFmtId="175" fontId="20" fillId="5" borderId="0" xfId="0" applyNumberFormat="1" applyFont="1" applyFill="1"/>
    <xf numFmtId="0" fontId="18" fillId="2" borderId="0" xfId="0" applyFont="1" applyFill="1"/>
    <xf numFmtId="175" fontId="0" fillId="4" borderId="0" xfId="0" applyNumberFormat="1" applyFill="1"/>
    <xf numFmtId="0" fontId="21" fillId="0" borderId="0" xfId="0" applyFont="1"/>
    <xf numFmtId="1" fontId="22" fillId="0" borderId="0" xfId="0" applyNumberFormat="1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5" fillId="0" borderId="4" xfId="0" applyFont="1" applyBorder="1"/>
    <xf numFmtId="0" fontId="0" fillId="0" borderId="5" xfId="0" applyBorder="1"/>
    <xf numFmtId="0" fontId="0" fillId="0" borderId="4" xfId="0" applyBorder="1" applyAlignment="1">
      <alignment horizontal="right"/>
    </xf>
    <xf numFmtId="175" fontId="0" fillId="0" borderId="5" xfId="0" applyNumberFormat="1" applyBorder="1"/>
    <xf numFmtId="0" fontId="0" fillId="0" borderId="4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174" fontId="0" fillId="0" borderId="4" xfId="0" applyNumberForma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4" fontId="0" fillId="0" borderId="10" xfId="0" applyNumberFormat="1" applyBorder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6" borderId="4" xfId="0" applyFont="1" applyFill="1" applyBorder="1"/>
    <xf numFmtId="0" fontId="0" fillId="6" borderId="10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0" borderId="5" xfId="0" applyBorder="1" applyAlignment="1">
      <alignment horizontal="center"/>
    </xf>
    <xf numFmtId="175" fontId="0" fillId="0" borderId="5" xfId="0" applyNumberFormat="1" applyBorder="1" applyAlignment="1">
      <alignment horizontal="center"/>
    </xf>
    <xf numFmtId="174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75" fontId="0" fillId="2" borderId="0" xfId="0" applyNumberFormat="1" applyFill="1" applyAlignment="1">
      <alignment horizontal="center"/>
    </xf>
    <xf numFmtId="175" fontId="0" fillId="0" borderId="0" xfId="0" applyNumberFormat="1" applyAlignment="1">
      <alignment horizontal="center"/>
    </xf>
    <xf numFmtId="175" fontId="0" fillId="0" borderId="0" xfId="0" applyNumberFormat="1" applyAlignment="1">
      <alignment horizontal="right"/>
    </xf>
    <xf numFmtId="174" fontId="0" fillId="0" borderId="0" xfId="0" applyNumberFormat="1" applyAlignment="1">
      <alignment horizontal="center"/>
    </xf>
    <xf numFmtId="0" fontId="20" fillId="0" borderId="0" xfId="0" applyFont="1"/>
    <xf numFmtId="2" fontId="15" fillId="5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2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15" xfId="0" applyFill="1" applyBorder="1"/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8" borderId="15" xfId="0" applyFill="1" applyBorder="1"/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/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16" fillId="4" borderId="0" xfId="0" applyFont="1" applyFill="1"/>
    <xf numFmtId="0" fontId="0" fillId="4" borderId="16" xfId="0" applyFill="1" applyBorder="1"/>
    <xf numFmtId="0" fontId="23" fillId="9" borderId="16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24" fillId="4" borderId="16" xfId="0" applyFont="1" applyFill="1" applyBorder="1" applyAlignment="1">
      <alignment horizontal="center"/>
    </xf>
    <xf numFmtId="0" fontId="23" fillId="4" borderId="16" xfId="0" applyFont="1" applyFill="1" applyBorder="1"/>
    <xf numFmtId="0" fontId="25" fillId="4" borderId="16" xfId="0" applyFont="1" applyFill="1" applyBorder="1" applyAlignment="1">
      <alignment horizontal="center"/>
    </xf>
    <xf numFmtId="0" fontId="0" fillId="0" borderId="16" xfId="0" applyBorder="1" applyAlignment="1">
      <alignment horizontal="right"/>
    </xf>
    <xf numFmtId="1" fontId="0" fillId="0" borderId="16" xfId="0" applyNumberFormat="1" applyBorder="1"/>
    <xf numFmtId="0" fontId="0" fillId="4" borderId="21" xfId="0" applyFill="1" applyBorder="1"/>
    <xf numFmtId="0" fontId="0" fillId="9" borderId="22" xfId="0" applyFill="1" applyBorder="1" applyAlignment="1">
      <alignment horizontal="center" wrapText="1"/>
    </xf>
    <xf numFmtId="0" fontId="0" fillId="9" borderId="23" xfId="0" applyFill="1" applyBorder="1" applyAlignment="1">
      <alignment horizontal="center" wrapText="1"/>
    </xf>
    <xf numFmtId="0" fontId="0" fillId="4" borderId="24" xfId="0" applyFill="1" applyBorder="1"/>
    <xf numFmtId="10" fontId="0" fillId="3" borderId="25" xfId="0" applyNumberFormat="1" applyFill="1" applyBorder="1" applyAlignment="1">
      <alignment horizontal="center"/>
    </xf>
    <xf numFmtId="10" fontId="0" fillId="3" borderId="26" xfId="0" applyNumberFormat="1" applyFill="1" applyBorder="1" applyAlignment="1">
      <alignment horizontal="center"/>
    </xf>
    <xf numFmtId="0" fontId="26" fillId="0" borderId="0" xfId="0" applyFont="1" applyAlignment="1">
      <alignment horizontal="left" indent="3" readingOrder="1"/>
    </xf>
    <xf numFmtId="0" fontId="0" fillId="4" borderId="16" xfId="0" applyFill="1" applyBorder="1" applyAlignment="1">
      <alignment horizontal="center"/>
    </xf>
    <xf numFmtId="0" fontId="0" fillId="10" borderId="16" xfId="0" applyFill="1" applyBorder="1"/>
    <xf numFmtId="0" fontId="19" fillId="4" borderId="0" xfId="0" applyFont="1" applyFill="1"/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0</xdr:rowOff>
    </xdr:from>
    <xdr:to>
      <xdr:col>1</xdr:col>
      <xdr:colOff>1504950</xdr:colOff>
      <xdr:row>21</xdr:row>
      <xdr:rowOff>85725</xdr:rowOff>
    </xdr:to>
    <xdr:grpSp>
      <xdr:nvGrpSpPr>
        <xdr:cNvPr id="2153" name="组合 1">
          <a:extLst>
            <a:ext uri="{FF2B5EF4-FFF2-40B4-BE49-F238E27FC236}">
              <a16:creationId xmlns:a16="http://schemas.microsoft.com/office/drawing/2014/main" id="{85F6E275-99D4-494A-9DC2-D76B7B23748B}"/>
            </a:ext>
          </a:extLst>
        </xdr:cNvPr>
        <xdr:cNvGrpSpPr>
          <a:grpSpLocks/>
        </xdr:cNvGrpSpPr>
      </xdr:nvGrpSpPr>
      <xdr:grpSpPr bwMode="auto">
        <a:xfrm>
          <a:off x="409575" y="571500"/>
          <a:ext cx="2362200" cy="3581400"/>
          <a:chOff x="4139952" y="1069538"/>
          <a:chExt cx="5004048" cy="5671830"/>
        </a:xfrm>
      </xdr:grpSpPr>
      <xdr:sp macro="" textlink="">
        <xdr:nvSpPr>
          <xdr:cNvPr id="29" name="TextBox 81">
            <a:extLst>
              <a:ext uri="{FF2B5EF4-FFF2-40B4-BE49-F238E27FC236}">
                <a16:creationId xmlns:a16="http://schemas.microsoft.com/office/drawing/2014/main" id="{59AC76FA-26E3-48EE-ABD6-9C1BFCD0EE02}"/>
              </a:ext>
            </a:extLst>
          </xdr:cNvPr>
          <xdr:cNvSpPr txBox="1"/>
        </xdr:nvSpPr>
        <xdr:spPr>
          <a:xfrm>
            <a:off x="4361906" y="2427157"/>
            <a:ext cx="786927" cy="7693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200" b="1"/>
              <a:t>S1</a:t>
            </a:r>
            <a:endParaRPr lang="zh-CN" altLang="en-US" sz="1200" b="1"/>
          </a:p>
        </xdr:txBody>
      </xdr:sp>
      <xdr:sp macro="" textlink="">
        <xdr:nvSpPr>
          <xdr:cNvPr id="30" name="TextBox 82">
            <a:extLst>
              <a:ext uri="{FF2B5EF4-FFF2-40B4-BE49-F238E27FC236}">
                <a16:creationId xmlns:a16="http://schemas.microsoft.com/office/drawing/2014/main" id="{332A4E0B-52E5-427E-8301-9B693C5D701D}"/>
              </a:ext>
            </a:extLst>
          </xdr:cNvPr>
          <xdr:cNvSpPr txBox="1"/>
        </xdr:nvSpPr>
        <xdr:spPr>
          <a:xfrm>
            <a:off x="4139952" y="4795448"/>
            <a:ext cx="786927" cy="7240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zh-CN" sz="1100" b="1"/>
              <a:t>S2</a:t>
            </a:r>
            <a:endParaRPr lang="zh-CN" altLang="en-US" sz="1100" b="1"/>
          </a:p>
        </xdr:txBody>
      </xdr:sp>
      <xdr:grpSp>
        <xdr:nvGrpSpPr>
          <xdr:cNvPr id="2157" name="组合 4">
            <a:extLst>
              <a:ext uri="{FF2B5EF4-FFF2-40B4-BE49-F238E27FC236}">
                <a16:creationId xmlns:a16="http://schemas.microsoft.com/office/drawing/2014/main" id="{0CF218FF-ED9A-4D67-9C9E-24C5D8C35E12}"/>
              </a:ext>
            </a:extLst>
          </xdr:cNvPr>
          <xdr:cNvGrpSpPr>
            <a:grpSpLocks/>
          </xdr:cNvGrpSpPr>
        </xdr:nvGrpSpPr>
        <xdr:grpSpPr bwMode="auto">
          <a:xfrm>
            <a:off x="5402470" y="1069538"/>
            <a:ext cx="3741530" cy="5671830"/>
            <a:chOff x="5402470" y="1069538"/>
            <a:chExt cx="3741530" cy="5671830"/>
          </a:xfrm>
        </xdr:grpSpPr>
        <xdr:cxnSp macro="">
          <xdr:nvCxnSpPr>
            <xdr:cNvPr id="32" name="直接连接符 5">
              <a:extLst>
                <a:ext uri="{FF2B5EF4-FFF2-40B4-BE49-F238E27FC236}">
                  <a16:creationId xmlns:a16="http://schemas.microsoft.com/office/drawing/2014/main" id="{98E1D3E7-A06E-4082-9636-4C723BAF4E78}"/>
                </a:ext>
              </a:extLst>
            </xdr:cNvPr>
            <xdr:cNvCxnSpPr>
              <a:endCxn id="34" idx="3"/>
            </xdr:cNvCxnSpPr>
          </xdr:nvCxnSpPr>
          <xdr:spPr>
            <a:xfrm>
              <a:off x="6601621" y="1069538"/>
              <a:ext cx="20178" cy="5460645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3" name="矩形 6">
              <a:extLst>
                <a:ext uri="{FF2B5EF4-FFF2-40B4-BE49-F238E27FC236}">
                  <a16:creationId xmlns:a16="http://schemas.microsoft.com/office/drawing/2014/main" id="{A76848C1-C766-4307-985D-AD06CC5FF363}"/>
                </a:ext>
              </a:extLst>
            </xdr:cNvPr>
            <xdr:cNvSpPr/>
          </xdr:nvSpPr>
          <xdr:spPr>
            <a:xfrm>
              <a:off x="6520911" y="5941881"/>
              <a:ext cx="141243" cy="362032"/>
            </a:xfrm>
            <a:prstGeom prst="rect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400"/>
                <a:t>R</a:t>
              </a:r>
              <a:endParaRPr lang="zh-CN" altLang="en-US" sz="1400"/>
            </a:p>
          </xdr:txBody>
        </xdr:sp>
        <xdr:sp macro="" textlink="">
          <xdr:nvSpPr>
            <xdr:cNvPr id="34" name="等腰三角形 7">
              <a:extLst>
                <a:ext uri="{FF2B5EF4-FFF2-40B4-BE49-F238E27FC236}">
                  <a16:creationId xmlns:a16="http://schemas.microsoft.com/office/drawing/2014/main" id="{96DFC006-E3FB-4A21-8B9F-672E851251C8}"/>
                </a:ext>
              </a:extLst>
            </xdr:cNvPr>
            <xdr:cNvSpPr/>
          </xdr:nvSpPr>
          <xdr:spPr>
            <a:xfrm flipV="1">
              <a:off x="6520911" y="6530183"/>
              <a:ext cx="201776" cy="211185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cxnSp macro="">
          <xdr:nvCxnSpPr>
            <xdr:cNvPr id="35" name="直接连接符 8">
              <a:extLst>
                <a:ext uri="{FF2B5EF4-FFF2-40B4-BE49-F238E27FC236}">
                  <a16:creationId xmlns:a16="http://schemas.microsoft.com/office/drawing/2014/main" id="{E2B888EB-EA3B-4F6B-B36D-C2C02171DF9F}"/>
                </a:ext>
              </a:extLst>
            </xdr:cNvPr>
            <xdr:cNvCxnSpPr/>
          </xdr:nvCxnSpPr>
          <xdr:spPr>
            <a:xfrm>
              <a:off x="6460378" y="1084623"/>
              <a:ext cx="262309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6" name="矩形 9">
              <a:extLst>
                <a:ext uri="{FF2B5EF4-FFF2-40B4-BE49-F238E27FC236}">
                  <a16:creationId xmlns:a16="http://schemas.microsoft.com/office/drawing/2014/main" id="{FAD86633-61D0-44BB-8DD1-E832701230DE}"/>
                </a:ext>
              </a:extLst>
            </xdr:cNvPr>
            <xdr:cNvSpPr/>
          </xdr:nvSpPr>
          <xdr:spPr>
            <a:xfrm>
              <a:off x="5592741" y="1552247"/>
              <a:ext cx="1937050" cy="41784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grpSp>
          <xdr:nvGrpSpPr>
            <xdr:cNvPr id="2163" name="组合 10">
              <a:extLst>
                <a:ext uri="{FF2B5EF4-FFF2-40B4-BE49-F238E27FC236}">
                  <a16:creationId xmlns:a16="http://schemas.microsoft.com/office/drawing/2014/main" id="{E3304813-461D-409A-8251-D77194D1888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02470" y="1556792"/>
              <a:ext cx="3130644" cy="4176464"/>
              <a:chOff x="5041756" y="1412776"/>
              <a:chExt cx="3130644" cy="4320480"/>
            </a:xfrm>
          </xdr:grpSpPr>
          <xdr:cxnSp macro="">
            <xdr:nvCxnSpPr>
              <xdr:cNvPr id="40" name="直接连接符 13">
                <a:extLst>
                  <a:ext uri="{FF2B5EF4-FFF2-40B4-BE49-F238E27FC236}">
                    <a16:creationId xmlns:a16="http://schemas.microsoft.com/office/drawing/2014/main" id="{651E8D74-3BE2-4447-A7A8-964A40861B4A}"/>
                  </a:ext>
                </a:extLst>
              </xdr:cNvPr>
              <xdr:cNvCxnSpPr/>
            </xdr:nvCxnSpPr>
            <xdr:spPr>
              <a:xfrm>
                <a:off x="7956005" y="1408074"/>
                <a:ext cx="0" cy="432253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" name="直接连接符 14">
                <a:extLst>
                  <a:ext uri="{FF2B5EF4-FFF2-40B4-BE49-F238E27FC236}">
                    <a16:creationId xmlns:a16="http://schemas.microsoft.com/office/drawing/2014/main" id="{74782690-D051-4E16-A2F4-C9C44BFC2FD8}"/>
                  </a:ext>
                </a:extLst>
              </xdr:cNvPr>
              <xdr:cNvCxnSpPr/>
            </xdr:nvCxnSpPr>
            <xdr:spPr>
              <a:xfrm>
                <a:off x="5453981" y="1408074"/>
                <a:ext cx="0" cy="432253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直接连接符 15">
                <a:extLst>
                  <a:ext uri="{FF2B5EF4-FFF2-40B4-BE49-F238E27FC236}">
                    <a16:creationId xmlns:a16="http://schemas.microsoft.com/office/drawing/2014/main" id="{E8AF53A8-092B-471B-B482-4C072F67FDAD}"/>
                  </a:ext>
                </a:extLst>
              </xdr:cNvPr>
              <xdr:cNvCxnSpPr/>
            </xdr:nvCxnSpPr>
            <xdr:spPr>
              <a:xfrm>
                <a:off x="5453981" y="3639563"/>
                <a:ext cx="2502024" cy="0"/>
              </a:xfrm>
              <a:prstGeom prst="line">
                <a:avLst/>
              </a:prstGeom>
              <a:ln/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pic>
            <xdr:nvPicPr>
              <xdr:cNvPr id="2169" name="Picture 6">
                <a:extLst>
                  <a:ext uri="{FF2B5EF4-FFF2-40B4-BE49-F238E27FC236}">
                    <a16:creationId xmlns:a16="http://schemas.microsoft.com/office/drawing/2014/main" id="{C2F8EB71-0A02-4276-9409-199D16174A57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5041756" y="2183262"/>
                <a:ext cx="737762" cy="76238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2170" name="Picture 6">
                <a:extLst>
                  <a:ext uri="{FF2B5EF4-FFF2-40B4-BE49-F238E27FC236}">
                    <a16:creationId xmlns:a16="http://schemas.microsoft.com/office/drawing/2014/main" id="{4517F8D9-6465-402E-9A75-C076F281D61B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5041756" y="4547340"/>
                <a:ext cx="737762" cy="76238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2171" name="Picture 7">
                <a:extLst>
                  <a:ext uri="{FF2B5EF4-FFF2-40B4-BE49-F238E27FC236}">
                    <a16:creationId xmlns:a16="http://schemas.microsoft.com/office/drawing/2014/main" id="{90C0A0D8-4182-4C0B-97FC-887CD91D25D4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466714" y="2189160"/>
                <a:ext cx="705686" cy="69608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2172" name="Picture 8">
                <a:extLst>
                  <a:ext uri="{FF2B5EF4-FFF2-40B4-BE49-F238E27FC236}">
                    <a16:creationId xmlns:a16="http://schemas.microsoft.com/office/drawing/2014/main" id="{FEDF56A0-151F-4941-B0B6-6C460D0940A3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466714" y="4619532"/>
                <a:ext cx="705686" cy="69608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grpSp>
            <xdr:nvGrpSpPr>
              <xdr:cNvPr id="2173" name="组合 20">
                <a:extLst>
                  <a:ext uri="{FF2B5EF4-FFF2-40B4-BE49-F238E27FC236}">
                    <a16:creationId xmlns:a16="http://schemas.microsoft.com/office/drawing/2014/main" id="{F012C061-DD78-4824-AF04-6528846FCB0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12160" y="3429000"/>
                <a:ext cx="1368152" cy="576064"/>
                <a:chOff x="5364088" y="3212976"/>
                <a:chExt cx="1368152" cy="576064"/>
              </a:xfrm>
            </xdr:grpSpPr>
            <xdr:pic>
              <xdr:nvPicPr>
                <xdr:cNvPr id="2176" name="Picture 9">
                  <a:extLst>
                    <a:ext uri="{FF2B5EF4-FFF2-40B4-BE49-F238E27FC236}">
                      <a16:creationId xmlns:a16="http://schemas.microsoft.com/office/drawing/2014/main" id="{963562D4-A148-437D-962C-8A477A167065}"/>
                    </a:ext>
                  </a:extLst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6111625" y="3311244"/>
                  <a:ext cx="534609" cy="174943"/>
                </a:xfrm>
                <a:prstGeom prst="rect">
                  <a:avLst/>
                </a:prstGeom>
                <a:noFill/>
                <a:ln w="9525">
                  <a:solidFill>
                    <a:srgbClr val="000000"/>
                  </a:solidFill>
                  <a:prstDash val="sysDot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51" name="矩形 24">
                  <a:extLst>
                    <a:ext uri="{FF2B5EF4-FFF2-40B4-BE49-F238E27FC236}">
                      <a16:creationId xmlns:a16="http://schemas.microsoft.com/office/drawing/2014/main" id="{627839CE-6C4B-439F-8D74-23763DAAA521}"/>
                    </a:ext>
                  </a:extLst>
                </xdr:cNvPr>
                <xdr:cNvSpPr/>
              </xdr:nvSpPr>
              <xdr:spPr>
                <a:xfrm>
                  <a:off x="5512125" y="3283095"/>
                  <a:ext cx="443907" cy="218467"/>
                </a:xfrm>
                <a:prstGeom prst="rect">
                  <a:avLst/>
                </a:prstGeom>
                <a:ln>
                  <a:prstDash val="sysDot"/>
                </a:ln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CN" sz="1200"/>
                    <a:t>R</a:t>
                  </a:r>
                  <a:endParaRPr lang="zh-CN" altLang="en-US" sz="1200"/>
                </a:p>
              </xdr:txBody>
            </xdr:sp>
            <xdr:sp macro="" textlink="">
              <xdr:nvSpPr>
                <xdr:cNvPr id="52" name="矩形 25">
                  <a:extLst>
                    <a:ext uri="{FF2B5EF4-FFF2-40B4-BE49-F238E27FC236}">
                      <a16:creationId xmlns:a16="http://schemas.microsoft.com/office/drawing/2014/main" id="{BE6F0DC6-BF53-46AD-8457-D9D0EFE99AC4}"/>
                    </a:ext>
                  </a:extLst>
                </xdr:cNvPr>
                <xdr:cNvSpPr/>
              </xdr:nvSpPr>
              <xdr:spPr>
                <a:xfrm>
                  <a:off x="5370882" y="3205071"/>
                  <a:ext cx="1372077" cy="577378"/>
                </a:xfrm>
                <a:prstGeom prst="rect">
                  <a:avLst/>
                </a:prstGeom>
                <a:noFill/>
                <a:ln>
                  <a:prstDash val="sysDot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 altLang="zh-CN" sz="800">
                    <a:solidFill>
                      <a:schemeClr val="tx2">
                        <a:lumMod val="60000"/>
                        <a:lumOff val="40000"/>
                      </a:schemeClr>
                    </a:solidFill>
                  </a:endParaRPr>
                </a:p>
                <a:p>
                  <a:pPr algn="ctr"/>
                  <a:r>
                    <a:rPr lang="en-US" altLang="zh-CN" sz="6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rPr>
                    <a:t>Motor</a:t>
                  </a:r>
                  <a:r>
                    <a:rPr lang="zh-CN" altLang="en-US" sz="6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rPr>
                    <a:t> 单相</a:t>
                  </a:r>
                </a:p>
              </xdr:txBody>
            </xdr:sp>
          </xdr:grpSp>
          <xdr:cxnSp macro="">
            <xdr:nvCxnSpPr>
              <xdr:cNvPr id="48" name="直接连接符 21">
                <a:extLst>
                  <a:ext uri="{FF2B5EF4-FFF2-40B4-BE49-F238E27FC236}">
                    <a16:creationId xmlns:a16="http://schemas.microsoft.com/office/drawing/2014/main" id="{1CC2F92F-72F3-463C-B1C6-DFAB2BC9BF18}"/>
                  </a:ext>
                </a:extLst>
              </xdr:cNvPr>
              <xdr:cNvCxnSpPr/>
            </xdr:nvCxnSpPr>
            <xdr:spPr>
              <a:xfrm>
                <a:off x="5453981" y="1408074"/>
                <a:ext cx="2502024" cy="0"/>
              </a:xfrm>
              <a:prstGeom prst="line">
                <a:avLst/>
              </a:prstGeom>
              <a:ln/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接连接符 22">
                <a:extLst>
                  <a:ext uri="{FF2B5EF4-FFF2-40B4-BE49-F238E27FC236}">
                    <a16:creationId xmlns:a16="http://schemas.microsoft.com/office/drawing/2014/main" id="{E49F5096-1D72-4D85-A489-5DCA9EB98AF1}"/>
                  </a:ext>
                </a:extLst>
              </xdr:cNvPr>
              <xdr:cNvCxnSpPr/>
            </xdr:nvCxnSpPr>
            <xdr:spPr>
              <a:xfrm>
                <a:off x="5453981" y="5730609"/>
                <a:ext cx="2502024" cy="0"/>
              </a:xfrm>
              <a:prstGeom prst="line">
                <a:avLst/>
              </a:prstGeom>
              <a:ln/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8" name="TextBox 83">
              <a:extLst>
                <a:ext uri="{FF2B5EF4-FFF2-40B4-BE49-F238E27FC236}">
                  <a16:creationId xmlns:a16="http://schemas.microsoft.com/office/drawing/2014/main" id="{AF0E2BD1-FA8F-4F80-9AF6-60E0722CE265}"/>
                </a:ext>
              </a:extLst>
            </xdr:cNvPr>
            <xdr:cNvSpPr txBox="1"/>
          </xdr:nvSpPr>
          <xdr:spPr>
            <a:xfrm>
              <a:off x="8316718" y="2276310"/>
              <a:ext cx="786927" cy="72406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 b="1"/>
                <a:t>S3</a:t>
              </a:r>
              <a:endParaRPr lang="zh-CN" altLang="en-US" sz="1100" b="1"/>
            </a:p>
          </xdr:txBody>
        </xdr:sp>
        <xdr:sp macro="" textlink="">
          <xdr:nvSpPr>
            <xdr:cNvPr id="39" name="TextBox 84">
              <a:extLst>
                <a:ext uri="{FF2B5EF4-FFF2-40B4-BE49-F238E27FC236}">
                  <a16:creationId xmlns:a16="http://schemas.microsoft.com/office/drawing/2014/main" id="{A643005E-F24E-42A3-A6D0-A6FA2D6B5EC9}"/>
                </a:ext>
              </a:extLst>
            </xdr:cNvPr>
            <xdr:cNvSpPr txBox="1"/>
          </xdr:nvSpPr>
          <xdr:spPr>
            <a:xfrm>
              <a:off x="8357073" y="4795448"/>
              <a:ext cx="786927" cy="72406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1100" b="1"/>
                <a:t>S4</a:t>
              </a:r>
              <a:endParaRPr lang="zh-CN" altLang="en-US" sz="1100" b="1"/>
            </a:p>
          </xdr:txBody>
        </xdr:sp>
      </xdr:grpSp>
    </xdr:grpSp>
    <xdr:clientData/>
  </xdr:twoCellAnchor>
  <xdr:twoCellAnchor editAs="oneCell">
    <xdr:from>
      <xdr:col>7</xdr:col>
      <xdr:colOff>152400</xdr:colOff>
      <xdr:row>4</xdr:row>
      <xdr:rowOff>57150</xdr:rowOff>
    </xdr:from>
    <xdr:to>
      <xdr:col>12</xdr:col>
      <xdr:colOff>495300</xdr:colOff>
      <xdr:row>18</xdr:row>
      <xdr:rowOff>95250</xdr:rowOff>
    </xdr:to>
    <xdr:pic>
      <xdr:nvPicPr>
        <xdr:cNvPr id="2154" name="Picture 3">
          <a:extLst>
            <a:ext uri="{FF2B5EF4-FFF2-40B4-BE49-F238E27FC236}">
              <a16:creationId xmlns:a16="http://schemas.microsoft.com/office/drawing/2014/main" id="{091403F4-8F1A-4A7E-8747-68E1E467E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819150"/>
          <a:ext cx="5410200" cy="276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topLeftCell="A4" workbookViewId="0">
      <selection activeCell="C11" sqref="C11"/>
    </sheetView>
  </sheetViews>
  <sheetFormatPr defaultRowHeight="15"/>
  <cols>
    <col min="1" max="1" width="11.42578125" customWidth="1"/>
    <col min="2" max="2" width="22.85546875" style="1" customWidth="1"/>
    <col min="3" max="3" width="11.42578125" customWidth="1"/>
    <col min="4" max="4" width="5.5703125" customWidth="1"/>
    <col min="5" max="5" width="44.85546875" customWidth="1"/>
    <col min="6" max="6" width="14.85546875" customWidth="1"/>
    <col min="7" max="256" width="11.42578125" customWidth="1"/>
  </cols>
  <sheetData>
    <row r="2" spans="2:5">
      <c r="B2" s="10" t="s">
        <v>18</v>
      </c>
    </row>
    <row r="4" spans="2:5">
      <c r="B4" s="3" t="s">
        <v>27</v>
      </c>
    </row>
    <row r="6" spans="2:5">
      <c r="B6" s="1" t="s">
        <v>3</v>
      </c>
      <c r="C6" s="4">
        <v>14</v>
      </c>
      <c r="E6" s="20" t="s">
        <v>39</v>
      </c>
    </row>
    <row r="7" spans="2:5">
      <c r="B7" s="1" t="s">
        <v>4</v>
      </c>
      <c r="C7">
        <f>1/(1000000*C6)</f>
        <v>7.1428571428571423E-8</v>
      </c>
    </row>
    <row r="9" spans="2:5">
      <c r="B9" s="1" t="s">
        <v>0</v>
      </c>
      <c r="C9" s="4">
        <v>24</v>
      </c>
    </row>
    <row r="10" spans="2:5">
      <c r="B10" s="1" t="s">
        <v>5</v>
      </c>
      <c r="C10" s="4">
        <v>2</v>
      </c>
    </row>
    <row r="11" spans="2:5">
      <c r="B11" s="1" t="s">
        <v>6</v>
      </c>
      <c r="C11" s="2">
        <f>C7*16*(1.5^C10)</f>
        <v>2.5714285714285712E-6</v>
      </c>
      <c r="E11" t="s">
        <v>13</v>
      </c>
    </row>
    <row r="12" spans="2:5">
      <c r="B12" s="1" t="s">
        <v>16</v>
      </c>
      <c r="C12" s="8">
        <v>7.4999999999999997E-3</v>
      </c>
      <c r="D12" s="2"/>
    </row>
    <row r="14" spans="2:5">
      <c r="B14" s="1" t="s">
        <v>1</v>
      </c>
      <c r="C14" s="5">
        <v>4.5</v>
      </c>
    </row>
    <row r="15" spans="2:5">
      <c r="B15" s="1" t="s">
        <v>17</v>
      </c>
      <c r="C15" s="5">
        <v>1.41</v>
      </c>
      <c r="E15" t="s">
        <v>11</v>
      </c>
    </row>
    <row r="16" spans="2:5">
      <c r="B16" s="1" t="s">
        <v>106</v>
      </c>
      <c r="C16" s="42">
        <f>C15/SQRT(2)</f>
        <v>0.99702056147303186</v>
      </c>
    </row>
    <row r="17" spans="2:7">
      <c r="B17" s="1" t="s">
        <v>14</v>
      </c>
      <c r="C17" s="4">
        <v>3</v>
      </c>
      <c r="E17" t="s">
        <v>125</v>
      </c>
      <c r="G17" s="43" t="s">
        <v>123</v>
      </c>
    </row>
    <row r="18" spans="2:7">
      <c r="B18" s="1" t="s">
        <v>15</v>
      </c>
      <c r="C18">
        <f>(24+32*C17)*C7</f>
        <v>8.5714285714285709E-6</v>
      </c>
    </row>
    <row r="20" spans="2:7">
      <c r="B20" s="1" t="s">
        <v>9</v>
      </c>
      <c r="C20" s="9">
        <f>C9*C11/C12</f>
        <v>8.2285714285714288E-3</v>
      </c>
    </row>
    <row r="21" spans="2:7">
      <c r="B21" s="1" t="s">
        <v>10</v>
      </c>
      <c r="C21" s="9">
        <f>C14*C15*2*C18/C12</f>
        <v>1.4502857142857142E-2</v>
      </c>
    </row>
    <row r="23" spans="2:7">
      <c r="B23" s="1" t="s">
        <v>7</v>
      </c>
      <c r="C23" s="4">
        <v>31</v>
      </c>
      <c r="E23" t="s">
        <v>8</v>
      </c>
      <c r="G23" s="43" t="s">
        <v>124</v>
      </c>
    </row>
    <row r="24" spans="2:7">
      <c r="C24" s="16" t="str">
        <f>IF(C23&lt;16,"Current scaler is quite small - values above 16 are best for good microstepping","OK")</f>
        <v>OK</v>
      </c>
    </row>
    <row r="25" spans="2:7">
      <c r="B25" s="6" t="s">
        <v>2</v>
      </c>
      <c r="C25" s="7">
        <f>0.5+(C20+C21)*2*248*(C23+1)/C15/32</f>
        <v>8.4963039513677803</v>
      </c>
      <c r="E25" t="s">
        <v>12</v>
      </c>
      <c r="G25" s="43" t="s">
        <v>132</v>
      </c>
    </row>
    <row r="28" spans="2:7">
      <c r="B28" s="6" t="s">
        <v>26</v>
      </c>
      <c r="C28" s="15" t="s">
        <v>121</v>
      </c>
      <c r="F28" s="15" t="s">
        <v>122</v>
      </c>
    </row>
    <row r="29" spans="2:7">
      <c r="B29" s="1" t="s">
        <v>130</v>
      </c>
      <c r="C29" s="44">
        <f>MIN(C25,8)</f>
        <v>8</v>
      </c>
      <c r="E29" t="s">
        <v>131</v>
      </c>
      <c r="F29" s="14">
        <f>C29-1</f>
        <v>7</v>
      </c>
      <c r="G29" s="43" t="s">
        <v>128</v>
      </c>
    </row>
    <row r="30" spans="2:7">
      <c r="B30" s="1" t="s">
        <v>25</v>
      </c>
      <c r="C30" s="44">
        <f>MIN(C25-C29,12)</f>
        <v>0.49630395136778027</v>
      </c>
      <c r="E30" t="s">
        <v>126</v>
      </c>
      <c r="F30" s="14">
        <f>C30+3</f>
        <v>3.4963039513677803</v>
      </c>
      <c r="G30" s="43" t="s">
        <v>129</v>
      </c>
    </row>
    <row r="32" spans="2:7">
      <c r="B32" s="1" t="s">
        <v>30</v>
      </c>
      <c r="C32" s="16" t="str">
        <f>IF(C25&gt;20,"Attention: Motor requires very high Hysteresis setting  - try with reduced setting, reduce tBLANK, reduce sense resistor valule, increase fCLK, decrease VM or use classic const_toff_chopper mode", IF(C25&gt;15, "Attention: Result is large, use with CS reduced to maximum 30, or try smaller value of 16","OK"))</f>
        <v>OK</v>
      </c>
    </row>
    <row r="35" spans="2:7">
      <c r="B35" s="3" t="s">
        <v>37</v>
      </c>
    </row>
    <row r="36" spans="2:7">
      <c r="B36" s="1" t="s">
        <v>33</v>
      </c>
      <c r="C36" s="17">
        <f>C14*C15/SQRT(2)</f>
        <v>4.4865925266286437</v>
      </c>
      <c r="E36" t="s">
        <v>31</v>
      </c>
      <c r="G36" s="43" t="s">
        <v>127</v>
      </c>
    </row>
    <row r="37" spans="2:7">
      <c r="B37" s="1" t="s">
        <v>34</v>
      </c>
      <c r="C37" s="14">
        <f>20*C36</f>
        <v>89.731850532572878</v>
      </c>
      <c r="E37" s="18" t="s">
        <v>32</v>
      </c>
    </row>
    <row r="38" spans="2:7">
      <c r="B38" s="1" t="s">
        <v>35</v>
      </c>
      <c r="C38" s="14">
        <f>C36*2</f>
        <v>8.9731850532572874</v>
      </c>
      <c r="E38" t="s">
        <v>36</v>
      </c>
    </row>
    <row r="40" spans="2:7">
      <c r="B40"/>
    </row>
    <row r="41" spans="2:7">
      <c r="B41"/>
    </row>
    <row r="42" spans="2:7">
      <c r="B42" s="30" t="s">
        <v>103</v>
      </c>
    </row>
    <row r="43" spans="2:7">
      <c r="B43" t="s">
        <v>107</v>
      </c>
      <c r="C43" s="9">
        <f>(C23+1)/32/C15*0.323</f>
        <v>0.22907801418439719</v>
      </c>
      <c r="D43" t="s">
        <v>104</v>
      </c>
      <c r="E43" t="s">
        <v>105</v>
      </c>
    </row>
    <row r="44" spans="2:7">
      <c r="B44" t="s">
        <v>108</v>
      </c>
      <c r="C44" s="9">
        <f>(C23+1)/32/C15*0.173</f>
        <v>0.1226950354609929</v>
      </c>
      <c r="D44" t="s">
        <v>104</v>
      </c>
    </row>
  </sheetData>
  <conditionalFormatting sqref="C37">
    <cfRule type="cellIs" dxfId="1" priority="2" stopIfTrue="1" operator="lessThan">
      <formula>$C$9</formula>
    </cfRule>
  </conditionalFormatting>
  <conditionalFormatting sqref="C38">
    <cfRule type="cellIs" dxfId="0" priority="1" stopIfTrue="1" operator="greaterThan">
      <formula>$C$9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B4" sqref="B4"/>
    </sheetView>
  </sheetViews>
  <sheetFormatPr defaultRowHeight="15"/>
  <cols>
    <col min="1" max="1" width="39.85546875" customWidth="1"/>
    <col min="2" max="2" width="23.140625" customWidth="1"/>
    <col min="3" max="3" width="16.85546875" customWidth="1"/>
    <col min="4" max="4" width="17.42578125" customWidth="1"/>
    <col min="5" max="5" width="17.42578125" style="45" customWidth="1"/>
    <col min="6" max="6" width="17.140625" customWidth="1"/>
    <col min="7" max="7" width="11.42578125" customWidth="1"/>
    <col min="8" max="8" width="23" customWidth="1"/>
    <col min="9" max="256" width="11.42578125" customWidth="1"/>
  </cols>
  <sheetData>
    <row r="1" spans="1:9">
      <c r="B1" s="3" t="s">
        <v>214</v>
      </c>
    </row>
    <row r="2" spans="1:9">
      <c r="B2" s="18" t="s">
        <v>216</v>
      </c>
    </row>
    <row r="3" spans="1:9" s="45" customFormat="1">
      <c r="B3" s="18" t="s">
        <v>217</v>
      </c>
    </row>
    <row r="4" spans="1:9">
      <c r="B4" s="1"/>
    </row>
    <row r="5" spans="1:9">
      <c r="A5" s="30" t="s">
        <v>77</v>
      </c>
      <c r="B5" s="1" t="s">
        <v>3</v>
      </c>
      <c r="C5" s="4">
        <v>14</v>
      </c>
      <c r="F5" s="41" t="s">
        <v>100</v>
      </c>
      <c r="G5" s="4"/>
      <c r="H5" s="4"/>
      <c r="I5" s="4"/>
    </row>
    <row r="6" spans="1:9">
      <c r="B6" s="1" t="s">
        <v>4</v>
      </c>
      <c r="C6">
        <f>1/(1000000*C5)</f>
        <v>7.1428571428571423E-8</v>
      </c>
    </row>
    <row r="7" spans="1:9">
      <c r="B7" s="1"/>
    </row>
    <row r="8" spans="1:9">
      <c r="A8" s="30" t="s">
        <v>96</v>
      </c>
      <c r="B8" s="1" t="s">
        <v>0</v>
      </c>
      <c r="C8" s="4">
        <v>24</v>
      </c>
    </row>
    <row r="9" spans="1:9">
      <c r="B9" s="1"/>
    </row>
    <row r="10" spans="1:9">
      <c r="A10" s="30" t="s">
        <v>78</v>
      </c>
      <c r="B10" s="1" t="s">
        <v>17</v>
      </c>
      <c r="C10" s="4">
        <v>2</v>
      </c>
      <c r="F10" t="s">
        <v>41</v>
      </c>
    </row>
    <row r="11" spans="1:9">
      <c r="B11" s="1" t="s">
        <v>42</v>
      </c>
      <c r="C11" s="21">
        <f>C10/SQRT(2)</f>
        <v>1.4142135623730949</v>
      </c>
      <c r="F11" t="s">
        <v>43</v>
      </c>
    </row>
    <row r="12" spans="1:9" s="45" customFormat="1">
      <c r="B12" s="58" t="s">
        <v>1</v>
      </c>
      <c r="C12" s="4">
        <v>1.5</v>
      </c>
      <c r="F12" s="45" t="s">
        <v>215</v>
      </c>
    </row>
    <row r="13" spans="1:9">
      <c r="B13" s="1"/>
      <c r="C13" s="32"/>
    </row>
    <row r="14" spans="1:9">
      <c r="A14" s="30" t="s">
        <v>79</v>
      </c>
      <c r="B14" s="1" t="s">
        <v>14</v>
      </c>
      <c r="C14" s="4">
        <v>4</v>
      </c>
    </row>
    <row r="15" spans="1:9">
      <c r="B15" s="1" t="s">
        <v>15</v>
      </c>
      <c r="C15" s="2">
        <f>(12+32*C14)*C6</f>
        <v>9.9999999999999991E-6</v>
      </c>
    </row>
    <row r="16" spans="1:9">
      <c r="B16" s="1" t="s">
        <v>40</v>
      </c>
      <c r="C16" s="17">
        <f>1/((2+4*C19)*C15)/1000</f>
        <v>31.528483122845397</v>
      </c>
      <c r="F16" t="s">
        <v>99</v>
      </c>
    </row>
    <row r="17" spans="1:10" s="45" customFormat="1">
      <c r="B17" s="58" t="s">
        <v>5</v>
      </c>
      <c r="C17" s="4">
        <v>2</v>
      </c>
    </row>
    <row r="18" spans="1:10" s="45" customFormat="1">
      <c r="B18" s="58" t="s">
        <v>6</v>
      </c>
      <c r="C18" s="2">
        <f>C6*16*(1.5^C17)</f>
        <v>2.5714285714285712E-6</v>
      </c>
      <c r="E18" s="45" t="s">
        <v>13</v>
      </c>
    </row>
    <row r="19" spans="1:10" ht="45">
      <c r="A19" s="36" t="s">
        <v>80</v>
      </c>
      <c r="B19" s="1" t="s">
        <v>64</v>
      </c>
      <c r="C19" s="21">
        <f>C11*C12/C8+C18/(C15+C18)</f>
        <v>0.29293380219377296</v>
      </c>
      <c r="F19" t="s">
        <v>177</v>
      </c>
    </row>
    <row r="20" spans="1:10">
      <c r="B20" s="1"/>
      <c r="C20" s="32"/>
    </row>
    <row r="21" spans="1:10">
      <c r="A21" s="30" t="s">
        <v>44</v>
      </c>
      <c r="B21" s="1"/>
      <c r="C21" s="30" t="s">
        <v>174</v>
      </c>
      <c r="D21" s="30" t="s">
        <v>175</v>
      </c>
      <c r="E21" s="30" t="s">
        <v>176</v>
      </c>
      <c r="F21" s="30" t="s">
        <v>169</v>
      </c>
    </row>
    <row r="22" spans="1:10">
      <c r="A22" t="s">
        <v>45</v>
      </c>
      <c r="B22" s="1" t="s">
        <v>87</v>
      </c>
      <c r="C22" s="9">
        <v>0.16</v>
      </c>
      <c r="D22" s="9">
        <v>0.17</v>
      </c>
      <c r="E22" s="9">
        <f>0.075+0.018</f>
        <v>9.2999999999999999E-2</v>
      </c>
      <c r="F22" s="22">
        <v>4.4999999999999998E-2</v>
      </c>
      <c r="G22" t="s">
        <v>97</v>
      </c>
      <c r="J22" t="s">
        <v>85</v>
      </c>
    </row>
    <row r="23" spans="1:10">
      <c r="A23" s="15" t="s">
        <v>98</v>
      </c>
      <c r="B23" s="1" t="s">
        <v>88</v>
      </c>
      <c r="C23" s="9">
        <v>0.1</v>
      </c>
      <c r="D23" s="9">
        <v>0.09</v>
      </c>
      <c r="E23" s="9">
        <f>0.045+0.018</f>
        <v>6.3E-2</v>
      </c>
      <c r="F23" s="22">
        <v>2.5000000000000001E-2</v>
      </c>
      <c r="J23" t="s">
        <v>86</v>
      </c>
    </row>
    <row r="24" spans="1:10">
      <c r="B24" s="1"/>
      <c r="E24" s="77"/>
      <c r="F24" s="31"/>
    </row>
    <row r="25" spans="1:10">
      <c r="B25" s="23" t="s">
        <v>46</v>
      </c>
      <c r="C25" s="24">
        <v>70</v>
      </c>
      <c r="D25" s="4">
        <v>70</v>
      </c>
      <c r="E25" s="4">
        <v>70</v>
      </c>
      <c r="F25" s="4">
        <v>70</v>
      </c>
      <c r="H25" t="s">
        <v>95</v>
      </c>
    </row>
    <row r="26" spans="1:10">
      <c r="B26" s="1" t="s">
        <v>90</v>
      </c>
      <c r="C26" s="17">
        <f>C22*(1+(0.55*(C25-25)/100))</f>
        <v>0.1996</v>
      </c>
      <c r="D26" s="17">
        <f>D22*(1+(0.55*(D25-25)/100))</f>
        <v>0.21207500000000001</v>
      </c>
      <c r="E26" s="17">
        <f>E22*(1+(0.55*(E25-25)/100))</f>
        <v>0.11601750000000001</v>
      </c>
      <c r="F26" s="9">
        <f>F22*(1+(0.7*(F25-25)/100))</f>
        <v>5.9174999999999998E-2</v>
      </c>
    </row>
    <row r="27" spans="1:10">
      <c r="B27" s="1" t="s">
        <v>89</v>
      </c>
      <c r="C27" s="17">
        <f>C23*(1+(0.55*(C25-25)/100))</f>
        <v>0.12475000000000001</v>
      </c>
      <c r="D27" s="17">
        <f>D23*(1+(0.55*(D25-25)/100))</f>
        <v>0.112275</v>
      </c>
      <c r="E27" s="17">
        <f>E23*(1+(0.55*(E25-25)/100))</f>
        <v>7.859250000000001E-2</v>
      </c>
      <c r="F27" s="9">
        <f>F23*(1+(0.7*(F25-25)/100))</f>
        <v>3.2875000000000001E-2</v>
      </c>
    </row>
    <row r="28" spans="1:10">
      <c r="B28" s="23"/>
      <c r="C28" s="17"/>
      <c r="D28" s="17"/>
      <c r="E28" s="9"/>
      <c r="F28" s="9"/>
    </row>
    <row r="29" spans="1:10">
      <c r="A29" t="s">
        <v>117</v>
      </c>
      <c r="B29" s="1" t="s">
        <v>109</v>
      </c>
      <c r="C29" s="25">
        <v>0.8</v>
      </c>
      <c r="D29" s="25">
        <v>1.3</v>
      </c>
      <c r="E29" s="25">
        <v>2.12</v>
      </c>
      <c r="F29" s="26">
        <v>3</v>
      </c>
      <c r="G29" t="s">
        <v>97</v>
      </c>
    </row>
    <row r="30" spans="1:10">
      <c r="A30" t="s">
        <v>115</v>
      </c>
      <c r="B30" s="1" t="s">
        <v>114</v>
      </c>
      <c r="C30" s="25">
        <v>1.1000000000000001</v>
      </c>
      <c r="D30" s="25">
        <v>2.5</v>
      </c>
      <c r="E30" s="25">
        <v>1.77</v>
      </c>
      <c r="F30" s="26">
        <v>3.6</v>
      </c>
    </row>
    <row r="31" spans="1:10">
      <c r="A31" t="s">
        <v>116</v>
      </c>
      <c r="B31" s="1" t="s">
        <v>110</v>
      </c>
      <c r="C31" s="25">
        <v>1</v>
      </c>
      <c r="D31" s="25">
        <v>1.1000000000000001</v>
      </c>
      <c r="E31" s="25">
        <v>2.91</v>
      </c>
      <c r="F31" s="26">
        <v>2.2999999999999998</v>
      </c>
    </row>
    <row r="32" spans="1:10">
      <c r="A32" t="s">
        <v>115</v>
      </c>
      <c r="B32" s="1" t="s">
        <v>113</v>
      </c>
      <c r="C32" s="25">
        <v>0.9</v>
      </c>
      <c r="D32" s="25">
        <v>0.95</v>
      </c>
      <c r="E32" s="25">
        <v>0.92</v>
      </c>
      <c r="F32" s="26">
        <v>3.2</v>
      </c>
    </row>
    <row r="33" spans="1:9">
      <c r="B33" s="1"/>
      <c r="C33" s="25"/>
      <c r="D33" s="25"/>
      <c r="E33" s="25"/>
      <c r="F33" s="27"/>
    </row>
    <row r="34" spans="1:9">
      <c r="A34" t="s">
        <v>93</v>
      </c>
      <c r="B34" s="1" t="s">
        <v>92</v>
      </c>
      <c r="C34" s="14">
        <v>14</v>
      </c>
      <c r="D34" s="14">
        <v>28</v>
      </c>
      <c r="E34" s="14">
        <v>15</v>
      </c>
      <c r="F34" s="39">
        <v>29</v>
      </c>
      <c r="H34" t="s">
        <v>94</v>
      </c>
    </row>
    <row r="35" spans="1:9">
      <c r="A35" t="s">
        <v>84</v>
      </c>
      <c r="B35" s="1" t="s">
        <v>91</v>
      </c>
      <c r="C35" s="14">
        <v>3</v>
      </c>
      <c r="D35" s="14">
        <v>25</v>
      </c>
      <c r="E35" s="14">
        <v>10</v>
      </c>
      <c r="F35" s="39">
        <v>25</v>
      </c>
    </row>
    <row r="36" spans="1:9">
      <c r="B36" s="1"/>
      <c r="C36" s="25"/>
      <c r="D36" s="25"/>
      <c r="E36" s="25"/>
      <c r="F36" s="27"/>
    </row>
    <row r="37" spans="1:9">
      <c r="A37" s="30" t="s">
        <v>81</v>
      </c>
      <c r="B37" s="1" t="s">
        <v>48</v>
      </c>
      <c r="C37" s="14">
        <v>1</v>
      </c>
      <c r="D37" s="14">
        <v>2</v>
      </c>
      <c r="E37" s="14">
        <v>3</v>
      </c>
      <c r="F37" s="28">
        <v>7</v>
      </c>
      <c r="G37" t="s">
        <v>47</v>
      </c>
      <c r="I37" t="s">
        <v>173</v>
      </c>
    </row>
    <row r="38" spans="1:9">
      <c r="B38" s="1" t="s">
        <v>49</v>
      </c>
      <c r="C38" s="14">
        <v>1</v>
      </c>
      <c r="D38" s="14">
        <v>1</v>
      </c>
      <c r="E38" s="14">
        <v>3</v>
      </c>
      <c r="F38" s="28">
        <v>7</v>
      </c>
      <c r="G38" t="s">
        <v>47</v>
      </c>
    </row>
    <row r="39" spans="1:9">
      <c r="A39" t="s">
        <v>50</v>
      </c>
      <c r="B39" s="1" t="s">
        <v>52</v>
      </c>
      <c r="C39" s="14">
        <v>15</v>
      </c>
      <c r="D39" s="14">
        <v>29</v>
      </c>
      <c r="E39" s="14">
        <v>43</v>
      </c>
      <c r="F39" s="29">
        <v>98</v>
      </c>
      <c r="G39" s="1" t="s">
        <v>170</v>
      </c>
      <c r="H39" t="s">
        <v>172</v>
      </c>
      <c r="I39" t="s">
        <v>55</v>
      </c>
    </row>
    <row r="40" spans="1:9">
      <c r="B40" s="1" t="s">
        <v>51</v>
      </c>
      <c r="C40" s="14">
        <v>14</v>
      </c>
      <c r="D40" s="14">
        <v>14</v>
      </c>
      <c r="E40" s="14">
        <v>42</v>
      </c>
      <c r="F40" s="29">
        <v>92</v>
      </c>
      <c r="G40" s="58" t="s">
        <v>170</v>
      </c>
      <c r="H40" t="s">
        <v>171</v>
      </c>
      <c r="I40" t="s">
        <v>55</v>
      </c>
    </row>
    <row r="42" spans="1:9">
      <c r="B42" s="1" t="s">
        <v>53</v>
      </c>
      <c r="C42" s="14">
        <f>1000*(C29/2+C30)/C39</f>
        <v>100</v>
      </c>
      <c r="D42" s="14">
        <f>1000*(D29/2+D30)/D39</f>
        <v>108.62068965517241</v>
      </c>
      <c r="E42" s="14">
        <f>1000*(E29/2+E30)/E39</f>
        <v>65.813953488372093</v>
      </c>
      <c r="F42" s="14">
        <f>1000*(F29/2+F30)/F39</f>
        <v>52.04081632653061</v>
      </c>
    </row>
    <row r="43" spans="1:9">
      <c r="B43" s="1" t="s">
        <v>54</v>
      </c>
      <c r="C43" s="14">
        <f>1000*(C31/2+C32)/C40</f>
        <v>100</v>
      </c>
      <c r="D43" s="14">
        <f>1000*(D31/2+D32)/D40</f>
        <v>107.14285714285714</v>
      </c>
      <c r="E43" s="14">
        <f>1000*(E31/2+E32)/E40</f>
        <v>56.547619047619051</v>
      </c>
      <c r="F43" s="14">
        <f>1000*(F31/2+F32)/F40</f>
        <v>47.282608695652172</v>
      </c>
    </row>
    <row r="44" spans="1:9">
      <c r="B44" s="1"/>
      <c r="C44" s="14"/>
      <c r="D44" s="14"/>
      <c r="E44" s="14"/>
      <c r="F44" s="14"/>
    </row>
    <row r="45" spans="1:9">
      <c r="A45" s="37" t="s">
        <v>58</v>
      </c>
      <c r="B45" s="1" t="s">
        <v>59</v>
      </c>
      <c r="C45" s="17">
        <f>C26*($C$11^2)*$C$19</f>
        <v>0.11693917383575414</v>
      </c>
      <c r="D45" s="17">
        <f>D26*($C$11^2)*$C$19</f>
        <v>0.12424787220048877</v>
      </c>
      <c r="E45" s="17">
        <f>E26*($C$11^2)*$C$19</f>
        <v>6.7970894792032097E-2</v>
      </c>
      <c r="F45" s="17">
        <f>F26*($C$11^2)*$C$19</f>
        <v>3.4668715489633024E-2</v>
      </c>
    </row>
    <row r="46" spans="1:9">
      <c r="A46" s="30" t="s">
        <v>67</v>
      </c>
      <c r="B46" s="1" t="s">
        <v>60</v>
      </c>
      <c r="C46" s="9">
        <f>$C$16*1000*((C42+C35)/1000000000)*$C$8*$C$11*2/2</f>
        <v>0.11022155684731336</v>
      </c>
      <c r="D46" s="9">
        <f>$C$16*1000*((D42+D35)/1000000000)*$C$8*$C$11*2/2</f>
        <v>0.14298913049325049</v>
      </c>
      <c r="E46" s="9">
        <f>$C$16*1000*((E42+E35)/1000000000)*$C$8*$C$11*2/2</f>
        <v>8.1129436740176447E-2</v>
      </c>
      <c r="F46" s="9">
        <f>$C$16*1000*((F42+F35)/1000000000)*$C$8*$C$11*2/2</f>
        <v>8.2442317633962342E-2</v>
      </c>
    </row>
    <row r="47" spans="1:9">
      <c r="A47" s="38" t="s">
        <v>82</v>
      </c>
      <c r="B47" s="6" t="s">
        <v>61</v>
      </c>
      <c r="C47" s="34">
        <f>C45+C46</f>
        <v>0.2271607306830675</v>
      </c>
      <c r="D47" s="34">
        <f>D45+D46</f>
        <v>0.26723700269373929</v>
      </c>
      <c r="E47" s="34">
        <f>E45+E46</f>
        <v>0.14910033153220853</v>
      </c>
      <c r="F47" s="34">
        <f>F45+F46</f>
        <v>0.11711103312359536</v>
      </c>
      <c r="H47" s="35" t="s">
        <v>72</v>
      </c>
    </row>
    <row r="48" spans="1:9">
      <c r="B48" s="1" t="s">
        <v>65</v>
      </c>
      <c r="C48" s="17">
        <f>(1-$C$19)*($C$11^2)*C27</f>
        <v>0.17641301635265363</v>
      </c>
      <c r="D48" s="17">
        <f>(1-$C$19)*($C$11^2)*D27</f>
        <v>0.15877171471738827</v>
      </c>
      <c r="E48" s="17">
        <f>(1-$C$19)*($C$11^2)*E27</f>
        <v>0.1111402003021718</v>
      </c>
      <c r="F48" s="17">
        <f>(1-$C$19)*($C$11^2)*F27</f>
        <v>4.6489602505759425E-2</v>
      </c>
    </row>
    <row r="49" spans="1:8">
      <c r="B49" s="1" t="s">
        <v>66</v>
      </c>
      <c r="C49" s="9">
        <f>$C$16*1000*((C43+C34)/1000000000)*$C$8*$C$11*2/2</f>
        <v>0.12199279107372549</v>
      </c>
      <c r="D49" s="9">
        <f>$C$16*1000*((D43+D34)/1000000000)*$C$8*$C$11*2/2</f>
        <v>0.14461802049592015</v>
      </c>
      <c r="E49" s="9">
        <f>$C$16*1000*((E43+E34)/1000000000)*$C$8*$C$11*2/2</f>
        <v>7.6563980195602552E-2</v>
      </c>
      <c r="F49" s="9">
        <f>$C$16*1000*((F43+F34)/1000000000)*$C$8*$C$11*2/2</f>
        <v>8.1630950396205701E-2</v>
      </c>
    </row>
    <row r="50" spans="1:8">
      <c r="A50" s="38" t="s">
        <v>83</v>
      </c>
      <c r="B50" s="6" t="s">
        <v>62</v>
      </c>
      <c r="C50" s="34">
        <f>C48+C49</f>
        <v>0.29840580742637912</v>
      </c>
      <c r="D50" s="34">
        <f>D48+D49</f>
        <v>0.30338973521330842</v>
      </c>
      <c r="E50" s="34">
        <f>E48+E49</f>
        <v>0.18770418049777435</v>
      </c>
      <c r="F50" s="34">
        <f>F48+F49</f>
        <v>0.12812055290196511</v>
      </c>
      <c r="H50" s="35" t="s">
        <v>73</v>
      </c>
    </row>
    <row r="51" spans="1:8">
      <c r="A51" s="33"/>
      <c r="B51" s="6"/>
      <c r="C51" s="17"/>
      <c r="D51" s="17"/>
      <c r="E51" s="17"/>
      <c r="F51" s="17"/>
    </row>
    <row r="52" spans="1:8">
      <c r="A52" t="s">
        <v>68</v>
      </c>
      <c r="B52" s="1" t="s">
        <v>69</v>
      </c>
      <c r="C52" s="17">
        <f>2*C48+C49+2*C45+C46</f>
        <v>0.81891872829785439</v>
      </c>
      <c r="D52" s="17">
        <f>2*D48+D49+2*D45+D46</f>
        <v>0.85364632482492464</v>
      </c>
      <c r="E52" s="17">
        <f>2*E48+E49+2*E45+E46</f>
        <v>0.51591560712418683</v>
      </c>
      <c r="F52" s="17">
        <f>2*F48+F49+2*F45+F46</f>
        <v>0.32638990402095291</v>
      </c>
    </row>
    <row r="53" spans="1:8">
      <c r="A53" s="37" t="s">
        <v>63</v>
      </c>
      <c r="B53" s="6" t="s">
        <v>70</v>
      </c>
      <c r="C53" s="78">
        <f>2*C52</f>
        <v>1.6378374565957088</v>
      </c>
      <c r="D53" s="78">
        <f>2*D52</f>
        <v>1.7072926496498493</v>
      </c>
      <c r="E53" s="78">
        <f>2*E52</f>
        <v>1.0318312142483737</v>
      </c>
      <c r="F53" s="78">
        <f>2*F52</f>
        <v>0.65277980804190583</v>
      </c>
      <c r="H53" s="35" t="s">
        <v>75</v>
      </c>
    </row>
    <row r="55" spans="1:8">
      <c r="A55" s="37" t="s">
        <v>76</v>
      </c>
      <c r="B55" s="1" t="s">
        <v>71</v>
      </c>
      <c r="C55" s="40">
        <v>0.1</v>
      </c>
    </row>
    <row r="56" spans="1:8">
      <c r="B56" s="6" t="s">
        <v>38</v>
      </c>
      <c r="C56" s="34">
        <f>C55*C11*C11*C19</f>
        <v>5.858676043875459E-2</v>
      </c>
      <c r="H56" s="35" t="s">
        <v>74</v>
      </c>
    </row>
    <row r="60" spans="1:8">
      <c r="A60" s="12"/>
    </row>
    <row r="61" spans="1:8">
      <c r="A61" s="12"/>
    </row>
    <row r="62" spans="1:8">
      <c r="A62" s="12"/>
    </row>
    <row r="63" spans="1:8">
      <c r="A63" s="12"/>
    </row>
    <row r="65" spans="1:2">
      <c r="A65" s="12"/>
      <c r="B65" s="17"/>
    </row>
    <row r="66" spans="1:2">
      <c r="A66" s="12"/>
      <c r="B66" s="17"/>
    </row>
    <row r="67" spans="1:2">
      <c r="A67" s="12"/>
      <c r="B67" s="19"/>
    </row>
    <row r="68" spans="1:2">
      <c r="A68" s="12"/>
      <c r="B68" s="17"/>
    </row>
    <row r="69" spans="1:2">
      <c r="A69" s="12"/>
      <c r="B69" s="17"/>
    </row>
    <row r="70" spans="1:2">
      <c r="A70" s="12"/>
      <c r="B70" s="17"/>
    </row>
    <row r="71" spans="1:2">
      <c r="A71" s="12"/>
      <c r="B71" s="17"/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/>
  </sheetViews>
  <sheetFormatPr defaultRowHeight="15"/>
  <cols>
    <col min="1" max="1" width="19" customWidth="1"/>
    <col min="2" max="2" width="26.85546875" customWidth="1"/>
    <col min="3" max="3" width="11.42578125" customWidth="1"/>
    <col min="4" max="4" width="15.140625" customWidth="1"/>
    <col min="5" max="5" width="15.7109375" customWidth="1"/>
    <col min="6" max="6" width="17.28515625" customWidth="1"/>
    <col min="7" max="7" width="15.85546875" customWidth="1"/>
    <col min="8" max="8" width="17" customWidth="1"/>
    <col min="9" max="9" width="15.7109375" customWidth="1"/>
    <col min="10" max="10" width="20.42578125" customWidth="1"/>
    <col min="11" max="256" width="11.42578125" customWidth="1"/>
  </cols>
  <sheetData>
    <row r="1" spans="1:15" s="45" customFormat="1">
      <c r="A1" s="45" t="s">
        <v>212</v>
      </c>
    </row>
    <row r="2" spans="1:15" s="45" customFormat="1"/>
    <row r="3" spans="1:15" s="45" customFormat="1"/>
    <row r="4" spans="1:15">
      <c r="A4" s="79"/>
      <c r="B4" s="79"/>
      <c r="C4" s="79"/>
      <c r="D4" s="80"/>
      <c r="E4" s="80"/>
      <c r="F4" s="80"/>
      <c r="G4" s="80"/>
      <c r="H4" s="79"/>
      <c r="I4" s="79"/>
      <c r="J4" s="79"/>
      <c r="K4" s="79"/>
      <c r="L4" s="79"/>
      <c r="M4" s="79"/>
      <c r="N4" s="79"/>
      <c r="O4" s="79"/>
    </row>
    <row r="5" spans="1:15" ht="15.75" thickBot="1">
      <c r="A5" s="79"/>
      <c r="B5" s="79"/>
      <c r="C5" s="79"/>
      <c r="D5" s="80" t="s">
        <v>178</v>
      </c>
      <c r="E5" s="80"/>
      <c r="F5" s="80"/>
      <c r="G5" s="80"/>
      <c r="H5" s="79"/>
      <c r="I5" s="79"/>
      <c r="J5" s="79"/>
      <c r="K5" s="79"/>
      <c r="L5" s="79"/>
      <c r="M5" s="79"/>
      <c r="N5" s="79"/>
      <c r="O5" s="79"/>
    </row>
    <row r="6" spans="1:15">
      <c r="A6" s="79"/>
      <c r="B6" s="79"/>
      <c r="C6" s="81" t="s">
        <v>179</v>
      </c>
      <c r="D6" s="82" t="s">
        <v>180</v>
      </c>
      <c r="E6" s="82" t="s">
        <v>181</v>
      </c>
      <c r="F6" s="82" t="s">
        <v>182</v>
      </c>
      <c r="G6" s="83" t="s">
        <v>181</v>
      </c>
      <c r="H6" s="79"/>
      <c r="I6" s="79"/>
      <c r="J6" s="79"/>
      <c r="K6" s="79"/>
      <c r="L6" s="79"/>
      <c r="M6" s="79"/>
      <c r="N6" s="79"/>
      <c r="O6" s="79"/>
    </row>
    <row r="7" spans="1:15">
      <c r="A7" s="79"/>
      <c r="B7" s="79"/>
      <c r="C7" s="84" t="s">
        <v>183</v>
      </c>
      <c r="D7" s="85" t="s">
        <v>184</v>
      </c>
      <c r="E7" s="85" t="s">
        <v>185</v>
      </c>
      <c r="F7" s="85" t="s">
        <v>185</v>
      </c>
      <c r="G7" s="86" t="s">
        <v>185</v>
      </c>
      <c r="H7" s="79"/>
      <c r="I7" s="79"/>
      <c r="J7" s="79"/>
      <c r="K7" s="79"/>
      <c r="L7" s="79"/>
      <c r="M7" s="79"/>
      <c r="N7" s="79"/>
      <c r="O7" s="79"/>
    </row>
    <row r="8" spans="1:15">
      <c r="A8" s="79"/>
      <c r="B8" s="79"/>
      <c r="C8" s="87" t="s">
        <v>186</v>
      </c>
      <c r="D8" s="88" t="s">
        <v>185</v>
      </c>
      <c r="E8" s="88" t="s">
        <v>184</v>
      </c>
      <c r="F8" s="88" t="s">
        <v>184</v>
      </c>
      <c r="G8" s="89" t="s">
        <v>184</v>
      </c>
      <c r="H8" s="79"/>
      <c r="I8" s="79"/>
      <c r="J8" s="79"/>
      <c r="K8" s="79"/>
      <c r="L8" s="79"/>
      <c r="M8" s="79"/>
      <c r="N8" s="79"/>
      <c r="O8" s="79"/>
    </row>
    <row r="9" spans="1:15">
      <c r="A9" s="79"/>
      <c r="B9" s="79"/>
      <c r="C9" s="84" t="s">
        <v>187</v>
      </c>
      <c r="D9" s="85" t="s">
        <v>185</v>
      </c>
      <c r="E9" s="85" t="s">
        <v>185</v>
      </c>
      <c r="F9" s="85" t="s">
        <v>184</v>
      </c>
      <c r="G9" s="86" t="s">
        <v>185</v>
      </c>
      <c r="H9" s="79"/>
      <c r="I9" s="79"/>
      <c r="J9" s="79"/>
      <c r="K9" s="79"/>
      <c r="L9" s="79"/>
      <c r="M9" s="79"/>
      <c r="N9" s="79"/>
      <c r="O9" s="79"/>
    </row>
    <row r="10" spans="1:15" ht="15.75" thickBot="1">
      <c r="A10" s="79"/>
      <c r="B10" s="79"/>
      <c r="C10" s="90" t="s">
        <v>188</v>
      </c>
      <c r="D10" s="91" t="s">
        <v>184</v>
      </c>
      <c r="E10" s="91" t="s">
        <v>184</v>
      </c>
      <c r="F10" s="91" t="s">
        <v>185</v>
      </c>
      <c r="G10" s="92" t="s">
        <v>184</v>
      </c>
      <c r="H10" s="79"/>
      <c r="I10" s="79"/>
      <c r="J10" s="79"/>
      <c r="K10" s="79"/>
      <c r="L10" s="79"/>
      <c r="M10" s="79"/>
      <c r="N10" s="79"/>
      <c r="O10" s="79"/>
    </row>
    <row r="11" spans="1:1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1:15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1:15">
      <c r="A13" s="79"/>
      <c r="B13" s="79"/>
      <c r="C13" s="79" t="s">
        <v>189</v>
      </c>
      <c r="D13" s="79">
        <v>24</v>
      </c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1:15" ht="18">
      <c r="A14" s="93"/>
      <c r="B14" s="93"/>
      <c r="C14" s="94" t="s">
        <v>190</v>
      </c>
      <c r="D14" s="95">
        <v>1.41</v>
      </c>
      <c r="E14" s="96"/>
      <c r="F14" s="97" t="s">
        <v>191</v>
      </c>
      <c r="G14" s="98">
        <f>1000*1/H22</f>
        <v>30.120481927710848</v>
      </c>
      <c r="H14" s="93"/>
      <c r="I14" s="79"/>
      <c r="J14" s="79"/>
      <c r="K14" s="79"/>
      <c r="L14" s="79"/>
      <c r="M14" s="79"/>
      <c r="N14" s="79"/>
      <c r="O14" s="79"/>
    </row>
    <row r="15" spans="1:15">
      <c r="A15" s="93"/>
      <c r="B15" s="93"/>
      <c r="C15" s="99" t="s">
        <v>192</v>
      </c>
      <c r="D15" s="100">
        <v>0.2</v>
      </c>
      <c r="E15" s="96"/>
      <c r="F15" s="101" t="s">
        <v>92</v>
      </c>
      <c r="G15" s="102">
        <v>14</v>
      </c>
      <c r="H15" s="93"/>
      <c r="I15" s="79"/>
      <c r="J15" s="79"/>
      <c r="K15" s="79"/>
      <c r="L15" s="79"/>
      <c r="M15" s="79"/>
      <c r="N15" s="79"/>
      <c r="O15" s="79"/>
    </row>
    <row r="16" spans="1:15">
      <c r="A16" s="93"/>
      <c r="B16" s="93"/>
      <c r="C16" s="99" t="s">
        <v>193</v>
      </c>
      <c r="D16" s="100">
        <v>0.12</v>
      </c>
      <c r="E16" s="96"/>
      <c r="F16" s="101" t="s">
        <v>91</v>
      </c>
      <c r="G16" s="102">
        <v>3</v>
      </c>
      <c r="H16" s="93"/>
      <c r="I16" s="79"/>
      <c r="J16" s="79"/>
      <c r="K16" s="79"/>
      <c r="L16" s="79"/>
      <c r="M16" s="79"/>
      <c r="N16" s="79"/>
      <c r="O16" s="79"/>
    </row>
    <row r="17" spans="1:15">
      <c r="A17" s="58"/>
      <c r="B17" s="14"/>
      <c r="C17" s="58"/>
      <c r="D17" s="14"/>
      <c r="E17" s="58"/>
      <c r="F17" s="101" t="s">
        <v>53</v>
      </c>
      <c r="G17" s="102">
        <v>100</v>
      </c>
      <c r="H17" s="14"/>
      <c r="I17" s="58"/>
      <c r="J17" s="14"/>
      <c r="K17" s="58"/>
      <c r="L17" s="14"/>
      <c r="M17" s="58"/>
      <c r="N17" s="14"/>
      <c r="O17" s="58"/>
    </row>
    <row r="18" spans="1:15">
      <c r="A18" s="58"/>
      <c r="B18" s="14"/>
      <c r="C18" s="58"/>
      <c r="D18" s="14"/>
      <c r="E18" s="58"/>
      <c r="F18" s="101" t="s">
        <v>54</v>
      </c>
      <c r="G18" s="102">
        <v>100</v>
      </c>
      <c r="H18" s="14"/>
      <c r="I18" s="58"/>
      <c r="J18" s="14"/>
      <c r="K18" s="58"/>
      <c r="L18" s="14"/>
      <c r="M18" s="58"/>
      <c r="N18" s="14"/>
      <c r="O18" s="58"/>
    </row>
    <row r="19" spans="1:15">
      <c r="A19" s="58"/>
      <c r="B19" s="14"/>
      <c r="C19" s="58"/>
      <c r="D19" s="14"/>
      <c r="E19" s="58"/>
      <c r="F19" s="14"/>
      <c r="G19" s="58"/>
      <c r="H19" s="14"/>
      <c r="I19" s="58"/>
      <c r="J19" s="14"/>
      <c r="K19" s="58"/>
      <c r="L19" s="14"/>
      <c r="M19" s="58"/>
      <c r="N19" s="14"/>
      <c r="O19" s="58"/>
    </row>
    <row r="20" spans="1:15">
      <c r="A20" s="58"/>
      <c r="B20" s="14"/>
      <c r="C20" s="58"/>
      <c r="D20" s="14"/>
      <c r="E20" s="58"/>
      <c r="F20" s="14"/>
      <c r="G20" s="58"/>
      <c r="H20" s="14"/>
      <c r="I20" s="58"/>
      <c r="J20" s="14"/>
      <c r="K20" s="58"/>
      <c r="L20" s="14"/>
      <c r="M20" s="58"/>
      <c r="N20" s="14"/>
      <c r="O20" s="58"/>
    </row>
    <row r="21" spans="1:15" ht="15.75" thickBot="1">
      <c r="A21" s="93"/>
      <c r="B21" s="93"/>
      <c r="C21" s="93"/>
      <c r="D21" s="96" t="s">
        <v>194</v>
      </c>
      <c r="E21" s="96" t="s">
        <v>195</v>
      </c>
      <c r="F21" s="96" t="s">
        <v>196</v>
      </c>
      <c r="G21" s="96" t="s">
        <v>195</v>
      </c>
      <c r="H21" s="93" t="s">
        <v>197</v>
      </c>
      <c r="I21" s="79"/>
      <c r="J21" s="79"/>
      <c r="K21" s="79"/>
      <c r="L21" s="79"/>
      <c r="M21" s="79"/>
      <c r="N21" s="79"/>
      <c r="O21" s="79"/>
    </row>
    <row r="22" spans="1:15" ht="15.75" thickBot="1">
      <c r="A22" s="79"/>
      <c r="B22" s="79"/>
      <c r="C22" s="103" t="s">
        <v>198</v>
      </c>
      <c r="D22" s="104">
        <v>6.5</v>
      </c>
      <c r="E22" s="104">
        <v>11.9</v>
      </c>
      <c r="F22" s="104">
        <v>2.9</v>
      </c>
      <c r="G22" s="105">
        <v>11.9</v>
      </c>
      <c r="H22" s="79">
        <f>SUM(D22:G22)</f>
        <v>33.199999999999996</v>
      </c>
      <c r="I22" s="79"/>
      <c r="J22" s="79"/>
      <c r="K22" s="79"/>
      <c r="L22" s="79"/>
      <c r="M22" s="79"/>
      <c r="N22" s="79"/>
      <c r="O22" s="79"/>
    </row>
    <row r="23" spans="1:15" ht="15.75" thickBot="1">
      <c r="A23" s="79"/>
      <c r="B23" s="79"/>
      <c r="C23" s="106" t="s">
        <v>199</v>
      </c>
      <c r="D23" s="107">
        <v>0.19600000000000001</v>
      </c>
      <c r="E23" s="108">
        <v>0.35799999999999998</v>
      </c>
      <c r="F23" s="108">
        <v>8.7999999999999995E-2</v>
      </c>
      <c r="G23" s="108">
        <v>0.35799999999999998</v>
      </c>
      <c r="H23" s="79"/>
      <c r="I23" s="79"/>
      <c r="J23" s="79"/>
      <c r="K23" s="79"/>
      <c r="L23" s="79"/>
      <c r="M23" s="79"/>
      <c r="N23" s="79"/>
      <c r="O23" s="79"/>
    </row>
    <row r="24" spans="1:15">
      <c r="A24" s="79"/>
      <c r="B24" s="79"/>
      <c r="C24" s="79"/>
      <c r="D24" s="80"/>
      <c r="E24" s="80"/>
      <c r="F24" s="80"/>
      <c r="G24" s="80"/>
      <c r="H24" s="93" t="s">
        <v>197</v>
      </c>
      <c r="I24" s="79"/>
      <c r="J24" s="79"/>
      <c r="K24" s="79"/>
      <c r="L24" s="79"/>
      <c r="M24" s="79"/>
      <c r="N24" s="79"/>
      <c r="O24" s="79"/>
    </row>
    <row r="25" spans="1:15" ht="15.75">
      <c r="A25" s="109" t="s">
        <v>200</v>
      </c>
      <c r="B25" s="79"/>
      <c r="C25" s="94" t="s">
        <v>201</v>
      </c>
      <c r="D25" s="110">
        <f>$D$14*$D$14*$D$15*$D$23</f>
        <v>7.7933519999999992E-2</v>
      </c>
      <c r="E25" s="110">
        <v>0</v>
      </c>
      <c r="F25" s="110">
        <v>0</v>
      </c>
      <c r="G25" s="110">
        <v>0</v>
      </c>
      <c r="H25" s="79">
        <f>SUM(D25:G25)</f>
        <v>7.7933519999999992E-2</v>
      </c>
      <c r="I25" s="79"/>
      <c r="J25" s="79"/>
      <c r="K25" s="58" t="s">
        <v>59</v>
      </c>
      <c r="L25" s="79">
        <f>(H25+H27)</f>
        <v>0.11292407999999998</v>
      </c>
      <c r="M25" s="79"/>
      <c r="N25" s="79"/>
      <c r="O25" s="79"/>
    </row>
    <row r="26" spans="1:15">
      <c r="A26" s="79"/>
      <c r="B26" s="79"/>
      <c r="C26" s="111" t="s">
        <v>202</v>
      </c>
      <c r="D26" s="110">
        <v>0</v>
      </c>
      <c r="E26" s="110">
        <f>$D$14*$D$14*$D$16*$E$23</f>
        <v>8.5408775999999978E-2</v>
      </c>
      <c r="F26" s="110">
        <f>$D$14*$D$14*$D$16*$F$23</f>
        <v>2.0994335999999995E-2</v>
      </c>
      <c r="G26" s="110">
        <f>$D$14*$D$14*$D$16*$G$23</f>
        <v>8.5408775999999978E-2</v>
      </c>
      <c r="H26" s="79">
        <f>SUM(D26:G26)</f>
        <v>0.19181188799999993</v>
      </c>
      <c r="I26" s="79"/>
      <c r="J26" s="79"/>
      <c r="K26" s="58" t="s">
        <v>203</v>
      </c>
      <c r="L26" s="112">
        <f>L25/2</f>
        <v>5.6462039999999991E-2</v>
      </c>
      <c r="M26" s="79"/>
      <c r="N26" s="79"/>
      <c r="O26" s="79"/>
    </row>
    <row r="27" spans="1:15">
      <c r="A27" s="79"/>
      <c r="B27" s="79"/>
      <c r="C27" s="94" t="s">
        <v>204</v>
      </c>
      <c r="D27" s="110">
        <v>0</v>
      </c>
      <c r="E27" s="110">
        <v>0</v>
      </c>
      <c r="F27" s="110">
        <f>$D$14*$D$14*$D$15*$F$23</f>
        <v>3.4990559999999997E-2</v>
      </c>
      <c r="G27" s="110">
        <v>0</v>
      </c>
      <c r="H27" s="79">
        <f>SUM(D27:G27)</f>
        <v>3.4990559999999997E-2</v>
      </c>
      <c r="I27" s="79"/>
      <c r="J27" s="79"/>
      <c r="K27" s="79"/>
      <c r="L27" s="79"/>
      <c r="M27" s="79"/>
      <c r="N27" s="79"/>
      <c r="O27" s="79"/>
    </row>
    <row r="28" spans="1:15">
      <c r="A28" s="79"/>
      <c r="B28" s="79"/>
      <c r="C28" s="111" t="s">
        <v>205</v>
      </c>
      <c r="D28" s="110">
        <f>$D$14*$D$14*$D$16*$D$23</f>
        <v>4.6760111999999993E-2</v>
      </c>
      <c r="E28" s="110">
        <f>$D$14*$D$14*$D$16*$E$23</f>
        <v>8.5408775999999978E-2</v>
      </c>
      <c r="F28" s="110">
        <v>0</v>
      </c>
      <c r="G28" s="110">
        <f>$D$14*$D$14*$D$16*$G$23</f>
        <v>8.5408775999999978E-2</v>
      </c>
      <c r="H28" s="79">
        <f>SUM(D28:G28)</f>
        <v>0.21757766399999995</v>
      </c>
      <c r="I28" s="79"/>
      <c r="J28" s="79"/>
      <c r="K28" s="58" t="s">
        <v>65</v>
      </c>
      <c r="L28" s="79">
        <f>(H26+H28)</f>
        <v>0.40938955199999988</v>
      </c>
      <c r="M28" s="79"/>
      <c r="N28" s="79"/>
      <c r="O28" s="79"/>
    </row>
    <row r="29" spans="1:15">
      <c r="A29" s="79"/>
      <c r="B29" s="79"/>
      <c r="C29" s="79"/>
      <c r="D29" s="80"/>
      <c r="E29" s="80"/>
      <c r="F29" s="80"/>
      <c r="G29" s="80"/>
      <c r="H29" s="79"/>
      <c r="I29" s="79"/>
      <c r="J29" s="79"/>
      <c r="K29" s="58" t="s">
        <v>206</v>
      </c>
      <c r="L29" s="79">
        <f>L28/2</f>
        <v>0.20469477599999994</v>
      </c>
      <c r="M29" s="79"/>
      <c r="N29" s="79"/>
      <c r="O29" s="79"/>
    </row>
    <row r="30" spans="1:15">
      <c r="A30" s="79"/>
      <c r="B30" s="79"/>
      <c r="C30" s="79"/>
      <c r="D30" s="80"/>
      <c r="E30" s="80"/>
      <c r="F30" s="80"/>
      <c r="G30" s="80"/>
      <c r="H30" s="79"/>
      <c r="I30" s="79"/>
      <c r="J30" s="79"/>
      <c r="K30" s="79"/>
      <c r="L30" s="79"/>
      <c r="M30" s="79"/>
      <c r="N30" s="79"/>
      <c r="O30" s="79"/>
    </row>
    <row r="31" spans="1:15" ht="19.5">
      <c r="A31" s="109" t="s">
        <v>207</v>
      </c>
      <c r="B31" s="79"/>
      <c r="C31" s="94" t="s">
        <v>208</v>
      </c>
      <c r="D31" s="110">
        <f>$D$13*$D$14*$G$14*($G$16+$G$17)/1000000</f>
        <v>0.1049855421686747</v>
      </c>
      <c r="E31" s="110">
        <v>0</v>
      </c>
      <c r="F31" s="110">
        <v>0</v>
      </c>
      <c r="G31" s="110">
        <v>0</v>
      </c>
      <c r="H31" s="79">
        <f>SUM(D31:G31)</f>
        <v>0.1049855421686747</v>
      </c>
      <c r="I31" s="79"/>
      <c r="J31" s="79"/>
      <c r="K31" s="58"/>
      <c r="L31" s="79"/>
      <c r="M31" s="79"/>
      <c r="N31" s="79"/>
      <c r="O31" s="79"/>
    </row>
    <row r="32" spans="1:15">
      <c r="A32" s="79"/>
      <c r="B32" s="79"/>
      <c r="C32" s="111" t="s">
        <v>209</v>
      </c>
      <c r="D32" s="110">
        <v>0</v>
      </c>
      <c r="E32" s="110">
        <f>$D$13*$D$14*$G$14*($G$15+$G$18)/1000000</f>
        <v>0.11619759036144578</v>
      </c>
      <c r="F32" s="110">
        <v>0</v>
      </c>
      <c r="G32" s="110">
        <v>0</v>
      </c>
      <c r="H32" s="79">
        <f>SUM(D32:G32)</f>
        <v>0.11619759036144578</v>
      </c>
      <c r="I32" s="79"/>
      <c r="J32" s="79"/>
      <c r="K32" s="58"/>
      <c r="L32" s="79"/>
      <c r="M32" s="79"/>
      <c r="N32" s="79"/>
      <c r="O32" s="79"/>
    </row>
    <row r="33" spans="1:15">
      <c r="A33" s="79"/>
      <c r="B33" s="79"/>
      <c r="C33" s="94" t="s">
        <v>210</v>
      </c>
      <c r="D33" s="94">
        <v>0</v>
      </c>
      <c r="E33" s="110">
        <v>0</v>
      </c>
      <c r="F33" s="110">
        <f>$D$13*$D$14*$G$14*($G$16+$G$17)/1000000</f>
        <v>0.1049855421686747</v>
      </c>
      <c r="G33" s="110">
        <v>0</v>
      </c>
      <c r="H33" s="79">
        <f>SUM(D33:G33)</f>
        <v>0.1049855421686747</v>
      </c>
      <c r="I33" s="79"/>
      <c r="J33" s="79"/>
      <c r="K33" s="79"/>
      <c r="L33" s="79"/>
      <c r="M33" s="79"/>
      <c r="N33" s="79"/>
      <c r="O33" s="79"/>
    </row>
    <row r="34" spans="1:15">
      <c r="A34" s="79"/>
      <c r="B34" s="79"/>
      <c r="C34" s="111" t="s">
        <v>211</v>
      </c>
      <c r="D34" s="94">
        <v>0</v>
      </c>
      <c r="E34" s="110">
        <v>0</v>
      </c>
      <c r="F34" s="110">
        <v>0</v>
      </c>
      <c r="G34" s="110">
        <f>$D$13*$D$14*$G$14*($G$15+$G$18)/1000000</f>
        <v>0.11619759036144578</v>
      </c>
      <c r="H34" s="79">
        <f>SUM(D34:G34)</f>
        <v>0.11619759036144578</v>
      </c>
      <c r="I34" s="79"/>
      <c r="J34" s="79"/>
      <c r="K34" s="79"/>
      <c r="L34" s="79"/>
      <c r="M34" s="79"/>
      <c r="N34" s="79"/>
      <c r="O34" s="79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M7" sqref="M7"/>
    </sheetView>
  </sheetViews>
  <sheetFormatPr defaultColWidth="11.5703125" defaultRowHeight="15"/>
  <cols>
    <col min="1" max="1" width="11.5703125" style="45"/>
    <col min="2" max="2" width="15.28515625" style="45" customWidth="1"/>
    <col min="3" max="3" width="20.5703125" style="45" customWidth="1"/>
    <col min="4" max="4" width="18.5703125" style="45" customWidth="1"/>
    <col min="5" max="8" width="11.5703125" style="45"/>
    <col min="9" max="9" width="12.42578125" style="45" customWidth="1"/>
    <col min="10" max="10" width="11.5703125" style="45"/>
    <col min="11" max="11" width="16.5703125" style="45" customWidth="1"/>
    <col min="12" max="12" width="20.42578125" style="45" customWidth="1"/>
    <col min="13" max="13" width="17.28515625" style="45" customWidth="1"/>
    <col min="14" max="14" width="13.85546875" style="45" customWidth="1"/>
    <col min="15" max="15" width="15" style="45" customWidth="1"/>
    <col min="16" max="16" width="13" style="45" customWidth="1"/>
    <col min="17" max="16384" width="11.5703125" style="45"/>
  </cols>
  <sheetData>
    <row r="1" spans="1:15" ht="15.75" thickBot="1"/>
    <row r="2" spans="1:15">
      <c r="B2" s="46"/>
      <c r="C2" s="47"/>
      <c r="D2" s="48"/>
      <c r="K2" s="46"/>
      <c r="L2" s="47"/>
      <c r="M2" s="48"/>
    </row>
    <row r="3" spans="1:15" ht="15.75" thickBot="1">
      <c r="B3" s="49" t="s">
        <v>133</v>
      </c>
      <c r="D3" s="50"/>
      <c r="K3" s="49" t="s">
        <v>133</v>
      </c>
      <c r="M3" s="50"/>
    </row>
    <row r="4" spans="1:15" ht="18">
      <c r="B4" s="51" t="s">
        <v>134</v>
      </c>
      <c r="C4" s="73">
        <v>1</v>
      </c>
      <c r="D4" s="67"/>
      <c r="F4" s="46" t="s">
        <v>135</v>
      </c>
      <c r="G4" s="47"/>
      <c r="H4" s="47"/>
      <c r="I4" s="48"/>
      <c r="K4" s="51" t="s">
        <v>136</v>
      </c>
      <c r="L4" s="73">
        <v>220</v>
      </c>
      <c r="M4" s="52"/>
    </row>
    <row r="5" spans="1:15" ht="18">
      <c r="B5" s="51" t="s">
        <v>137</v>
      </c>
      <c r="C5" s="74" t="s">
        <v>138</v>
      </c>
      <c r="D5" s="67"/>
      <c r="F5" s="121" t="s">
        <v>139</v>
      </c>
      <c r="G5" s="122"/>
      <c r="H5" s="122"/>
      <c r="I5" s="123"/>
      <c r="K5" s="51" t="s">
        <v>137</v>
      </c>
      <c r="L5" s="75"/>
      <c r="M5" s="52"/>
    </row>
    <row r="6" spans="1:15" ht="18.75" thickBot="1">
      <c r="B6" s="51" t="s">
        <v>140</v>
      </c>
      <c r="C6" s="74">
        <v>0.17299999999999999</v>
      </c>
      <c r="D6" s="67">
        <v>0.32300000000000001</v>
      </c>
      <c r="F6" s="124" t="s">
        <v>141</v>
      </c>
      <c r="G6" s="125"/>
      <c r="H6" s="125"/>
      <c r="I6" s="126"/>
      <c r="K6" s="51" t="s">
        <v>140</v>
      </c>
      <c r="L6" s="74">
        <v>0.17299999999999999</v>
      </c>
      <c r="M6" s="67">
        <v>0.32300000000000001</v>
      </c>
    </row>
    <row r="7" spans="1:15">
      <c r="B7" s="63" t="s">
        <v>142</v>
      </c>
      <c r="C7" s="13" t="s">
        <v>143</v>
      </c>
      <c r="D7" s="66" t="s">
        <v>144</v>
      </c>
      <c r="K7" s="63" t="s">
        <v>142</v>
      </c>
      <c r="L7" s="13" t="s">
        <v>143</v>
      </c>
      <c r="M7" s="66" t="s">
        <v>144</v>
      </c>
    </row>
    <row r="8" spans="1:15" ht="18.75" thickBot="1">
      <c r="B8" s="65" t="s">
        <v>145</v>
      </c>
      <c r="C8" s="17"/>
      <c r="D8" s="50"/>
      <c r="K8" s="64" t="s">
        <v>146</v>
      </c>
      <c r="L8" s="54"/>
      <c r="M8" s="55"/>
    </row>
    <row r="9" spans="1:15" ht="15.75" thickBot="1">
      <c r="B9" s="53"/>
      <c r="D9" s="50"/>
      <c r="K9" s="53"/>
      <c r="M9" s="50"/>
    </row>
    <row r="10" spans="1:15" ht="18">
      <c r="B10" s="116" t="s">
        <v>147</v>
      </c>
      <c r="C10" s="115" t="s">
        <v>148</v>
      </c>
      <c r="D10" s="114"/>
      <c r="K10" s="72" t="s">
        <v>149</v>
      </c>
      <c r="L10" s="113" t="s">
        <v>150</v>
      </c>
      <c r="M10" s="114"/>
      <c r="N10" s="119" t="s">
        <v>151</v>
      </c>
      <c r="O10" s="120"/>
    </row>
    <row r="11" spans="1:15">
      <c r="B11" s="117"/>
      <c r="C11" s="53" t="s">
        <v>152</v>
      </c>
      <c r="D11" s="50" t="s">
        <v>153</v>
      </c>
      <c r="K11" s="70" t="s">
        <v>154</v>
      </c>
      <c r="L11" s="53" t="s">
        <v>152</v>
      </c>
      <c r="M11" s="50" t="s">
        <v>153</v>
      </c>
      <c r="O11" s="50"/>
    </row>
    <row r="12" spans="1:15" ht="15.75" thickBot="1">
      <c r="A12" s="58" t="s">
        <v>155</v>
      </c>
      <c r="B12" s="118"/>
      <c r="C12" s="69" t="s">
        <v>143</v>
      </c>
      <c r="D12" s="71" t="s">
        <v>144</v>
      </c>
      <c r="J12" s="58" t="s">
        <v>155</v>
      </c>
      <c r="K12" s="69" t="s">
        <v>156</v>
      </c>
      <c r="L12" s="69" t="s">
        <v>143</v>
      </c>
      <c r="M12" s="71" t="s">
        <v>144</v>
      </c>
      <c r="N12" s="69" t="s">
        <v>143</v>
      </c>
      <c r="O12" s="71" t="s">
        <v>144</v>
      </c>
    </row>
    <row r="13" spans="1:15">
      <c r="A13" s="58" t="s">
        <v>157</v>
      </c>
      <c r="B13" s="56">
        <v>31</v>
      </c>
      <c r="C13" s="76">
        <f>(248/256)*((B13+1)/32)*($C$6/$C$4)*1/SQRT(2)*1000</f>
        <v>118.50667710948292</v>
      </c>
      <c r="D13" s="60">
        <f>(248/256)*((B13+1)/32)*($D$6/$C$4)*1/SQRT(2)*1000</f>
        <v>221.25813125065309</v>
      </c>
      <c r="J13" s="58" t="s">
        <v>157</v>
      </c>
      <c r="K13" s="70">
        <v>31</v>
      </c>
      <c r="L13" s="59">
        <f>(248/256)*((K13+1)/32)*($L$6/($L$4/1000))*1/SQRT(2)</f>
        <v>0.53866671413401335</v>
      </c>
      <c r="M13" s="60">
        <f>(248/256)*((K13+1)/32)*($M$6/($L$4/1000))*1/SQRT(2)</f>
        <v>1.0057187784120596</v>
      </c>
      <c r="N13" s="76">
        <f>L13*1.414</f>
        <v>0.76167473378549488</v>
      </c>
      <c r="O13" s="60">
        <f>M13*1.414</f>
        <v>1.4220863526746521</v>
      </c>
    </row>
    <row r="14" spans="1:15">
      <c r="A14" s="58" t="s">
        <v>158</v>
      </c>
      <c r="B14" s="56">
        <v>30</v>
      </c>
      <c r="C14" s="76">
        <f t="shared" ref="C14:C43" si="0">(248/256)*((B14+1)/32)*($C$6/$C$4)*1/SQRT(2)*1000</f>
        <v>114.80334344981159</v>
      </c>
      <c r="D14" s="60">
        <f t="shared" ref="D14:D43" si="1">(248/256)*((B14+1)/32)*($D$6/$C$4)*1/SQRT(2)*1000</f>
        <v>214.34381464907023</v>
      </c>
      <c r="J14" s="58" t="s">
        <v>158</v>
      </c>
      <c r="K14" s="70">
        <v>30</v>
      </c>
      <c r="L14" s="59">
        <f t="shared" ref="L14:L43" si="2">(248/256)*((K14+1)/32)*($L$6/($L$4/1000))*1/SQRT(2)</f>
        <v>0.52183337931732543</v>
      </c>
      <c r="M14" s="60">
        <f t="shared" ref="M14:M43" si="3">(248/256)*((K14+1)/32)*($M$6/($L$4/1000))*1/SQRT(2)</f>
        <v>0.97429006658668282</v>
      </c>
      <c r="N14" s="76">
        <f t="shared" ref="N14:O43" si="4">L14*1.414</f>
        <v>0.73787239835469809</v>
      </c>
      <c r="O14" s="60">
        <f t="shared" si="4"/>
        <v>1.3776461541535694</v>
      </c>
    </row>
    <row r="15" spans="1:15">
      <c r="A15" s="58" t="s">
        <v>159</v>
      </c>
      <c r="B15" s="56">
        <v>29</v>
      </c>
      <c r="C15" s="76">
        <f t="shared" si="0"/>
        <v>111.10000979014025</v>
      </c>
      <c r="D15" s="60">
        <f t="shared" si="1"/>
        <v>207.42949804748727</v>
      </c>
      <c r="J15" s="58" t="s">
        <v>159</v>
      </c>
      <c r="K15" s="70">
        <v>29</v>
      </c>
      <c r="L15" s="59">
        <f t="shared" si="2"/>
        <v>0.50500004450063751</v>
      </c>
      <c r="M15" s="60">
        <f t="shared" si="3"/>
        <v>0.94286135476130595</v>
      </c>
      <c r="N15" s="76">
        <f t="shared" si="4"/>
        <v>0.71407006292390141</v>
      </c>
      <c r="O15" s="60">
        <f t="shared" si="4"/>
        <v>1.3332059556324865</v>
      </c>
    </row>
    <row r="16" spans="1:15">
      <c r="A16" s="58" t="s">
        <v>160</v>
      </c>
      <c r="B16" s="56">
        <v>28</v>
      </c>
      <c r="C16" s="76">
        <f t="shared" si="0"/>
        <v>107.3966761304689</v>
      </c>
      <c r="D16" s="60">
        <f t="shared" si="1"/>
        <v>200.5151814459044</v>
      </c>
      <c r="J16" s="58" t="s">
        <v>160</v>
      </c>
      <c r="K16" s="70">
        <v>28</v>
      </c>
      <c r="L16" s="59">
        <f t="shared" si="2"/>
        <v>0.4881667096839496</v>
      </c>
      <c r="M16" s="60">
        <f t="shared" si="3"/>
        <v>0.91143264293592907</v>
      </c>
      <c r="N16" s="76">
        <f t="shared" si="4"/>
        <v>0.69026772749310472</v>
      </c>
      <c r="O16" s="60">
        <f t="shared" si="4"/>
        <v>1.2887657571114037</v>
      </c>
    </row>
    <row r="17" spans="1:15">
      <c r="A17" s="58" t="s">
        <v>161</v>
      </c>
      <c r="B17" s="56">
        <v>27</v>
      </c>
      <c r="C17" s="76">
        <f t="shared" si="0"/>
        <v>103.69334247079756</v>
      </c>
      <c r="D17" s="60">
        <f t="shared" si="1"/>
        <v>193.60086484432151</v>
      </c>
      <c r="J17" s="58" t="s">
        <v>161</v>
      </c>
      <c r="K17" s="70">
        <v>27</v>
      </c>
      <c r="L17" s="59">
        <f t="shared" si="2"/>
        <v>0.47133337486726168</v>
      </c>
      <c r="M17" s="60">
        <f t="shared" si="3"/>
        <v>0.88000393111055231</v>
      </c>
      <c r="N17" s="76">
        <f t="shared" si="4"/>
        <v>0.66646539206230793</v>
      </c>
      <c r="O17" s="60">
        <f t="shared" si="4"/>
        <v>1.2443255585903208</v>
      </c>
    </row>
    <row r="18" spans="1:15">
      <c r="A18" s="58" t="s">
        <v>162</v>
      </c>
      <c r="B18" s="56">
        <v>26</v>
      </c>
      <c r="C18" s="76">
        <f t="shared" si="0"/>
        <v>99.990008811126231</v>
      </c>
      <c r="D18" s="60">
        <f t="shared" si="1"/>
        <v>186.68654824273855</v>
      </c>
      <c r="J18" s="58" t="s">
        <v>162</v>
      </c>
      <c r="K18" s="70">
        <v>26</v>
      </c>
      <c r="L18" s="59">
        <f t="shared" si="2"/>
        <v>0.45450004005057376</v>
      </c>
      <c r="M18" s="60">
        <f t="shared" si="3"/>
        <v>0.84857521928517543</v>
      </c>
      <c r="N18" s="76">
        <f t="shared" si="4"/>
        <v>0.64266305663151124</v>
      </c>
      <c r="O18" s="60">
        <f t="shared" si="4"/>
        <v>1.1998853600692381</v>
      </c>
    </row>
    <row r="19" spans="1:15">
      <c r="A19" s="58">
        <v>19</v>
      </c>
      <c r="B19" s="56">
        <v>25</v>
      </c>
      <c r="C19" s="76">
        <f t="shared" si="0"/>
        <v>96.286675151454872</v>
      </c>
      <c r="D19" s="60">
        <f t="shared" si="1"/>
        <v>179.77223164115568</v>
      </c>
      <c r="J19" s="58">
        <v>19</v>
      </c>
      <c r="K19" s="70">
        <v>25</v>
      </c>
      <c r="L19" s="59">
        <f t="shared" si="2"/>
        <v>0.43766670523388584</v>
      </c>
      <c r="M19" s="60">
        <f t="shared" si="3"/>
        <v>0.81714650745979855</v>
      </c>
      <c r="N19" s="76">
        <f t="shared" si="4"/>
        <v>0.61886072120071456</v>
      </c>
      <c r="O19" s="60">
        <f t="shared" si="4"/>
        <v>1.1554451615481551</v>
      </c>
    </row>
    <row r="20" spans="1:15">
      <c r="A20" s="58">
        <v>18</v>
      </c>
      <c r="B20" s="56">
        <v>24</v>
      </c>
      <c r="C20" s="76">
        <f t="shared" si="0"/>
        <v>92.583341491783543</v>
      </c>
      <c r="D20" s="60">
        <f t="shared" si="1"/>
        <v>172.85791503957276</v>
      </c>
      <c r="J20" s="58">
        <v>18</v>
      </c>
      <c r="K20" s="70">
        <v>24</v>
      </c>
      <c r="L20" s="59">
        <f t="shared" si="2"/>
        <v>0.42083337041719793</v>
      </c>
      <c r="M20" s="60">
        <f t="shared" si="3"/>
        <v>0.78571779563442168</v>
      </c>
      <c r="N20" s="76">
        <f t="shared" si="4"/>
        <v>0.59505838576991787</v>
      </c>
      <c r="O20" s="60">
        <f t="shared" si="4"/>
        <v>1.1110049630270722</v>
      </c>
    </row>
    <row r="21" spans="1:15">
      <c r="A21" s="58">
        <v>17</v>
      </c>
      <c r="B21" s="56">
        <v>23</v>
      </c>
      <c r="C21" s="76">
        <f t="shared" si="0"/>
        <v>88.880007832112199</v>
      </c>
      <c r="D21" s="60">
        <f t="shared" si="1"/>
        <v>165.94359843798983</v>
      </c>
      <c r="J21" s="58">
        <v>17</v>
      </c>
      <c r="K21" s="70">
        <v>23</v>
      </c>
      <c r="L21" s="59">
        <f t="shared" si="2"/>
        <v>0.40400003560051001</v>
      </c>
      <c r="M21" s="60">
        <f t="shared" si="3"/>
        <v>0.7542890838090448</v>
      </c>
      <c r="N21" s="76">
        <f t="shared" si="4"/>
        <v>0.57125605033912108</v>
      </c>
      <c r="O21" s="60">
        <f t="shared" si="4"/>
        <v>1.0665647645059892</v>
      </c>
    </row>
    <row r="22" spans="1:15">
      <c r="A22" s="58">
        <v>16</v>
      </c>
      <c r="B22" s="56">
        <v>22</v>
      </c>
      <c r="C22" s="76">
        <f t="shared" si="0"/>
        <v>85.176674172440855</v>
      </c>
      <c r="D22" s="60">
        <f t="shared" si="1"/>
        <v>159.02928183640694</v>
      </c>
      <c r="J22" s="58">
        <v>16</v>
      </c>
      <c r="K22" s="70">
        <v>22</v>
      </c>
      <c r="L22" s="59">
        <f t="shared" si="2"/>
        <v>0.38716670078382209</v>
      </c>
      <c r="M22" s="60">
        <f t="shared" si="3"/>
        <v>0.72286037198366782</v>
      </c>
      <c r="N22" s="76">
        <f t="shared" si="4"/>
        <v>0.5474537149083244</v>
      </c>
      <c r="O22" s="60">
        <f t="shared" si="4"/>
        <v>1.0221245659849063</v>
      </c>
    </row>
    <row r="23" spans="1:15">
      <c r="A23" s="58">
        <v>15</v>
      </c>
      <c r="B23" s="56">
        <v>21</v>
      </c>
      <c r="C23" s="76">
        <f t="shared" si="0"/>
        <v>81.473340512769511</v>
      </c>
      <c r="D23" s="60">
        <f t="shared" si="1"/>
        <v>152.11496523482401</v>
      </c>
      <c r="J23" s="58">
        <v>15</v>
      </c>
      <c r="K23" s="70">
        <v>21</v>
      </c>
      <c r="L23" s="59">
        <f t="shared" si="2"/>
        <v>0.37033336596713418</v>
      </c>
      <c r="M23" s="60">
        <f t="shared" si="3"/>
        <v>0.69143166015829105</v>
      </c>
      <c r="N23" s="76">
        <f t="shared" si="4"/>
        <v>0.52365137947752771</v>
      </c>
      <c r="O23" s="60">
        <f t="shared" si="4"/>
        <v>0.97768436746382348</v>
      </c>
    </row>
    <row r="24" spans="1:15">
      <c r="A24" s="58">
        <v>14</v>
      </c>
      <c r="B24" s="56">
        <v>20</v>
      </c>
      <c r="C24" s="76">
        <f t="shared" si="0"/>
        <v>77.770006853098181</v>
      </c>
      <c r="D24" s="60">
        <f t="shared" si="1"/>
        <v>145.20064863324112</v>
      </c>
      <c r="J24" s="58">
        <v>14</v>
      </c>
      <c r="K24" s="70">
        <v>20</v>
      </c>
      <c r="L24" s="59">
        <f t="shared" si="2"/>
        <v>0.35350003115044626</v>
      </c>
      <c r="M24" s="60">
        <f t="shared" si="3"/>
        <v>0.66000294833291417</v>
      </c>
      <c r="N24" s="76">
        <f t="shared" si="4"/>
        <v>0.49984904404673097</v>
      </c>
      <c r="O24" s="60">
        <f t="shared" si="4"/>
        <v>0.93324416894274054</v>
      </c>
    </row>
    <row r="25" spans="1:15">
      <c r="A25" s="58">
        <v>13</v>
      </c>
      <c r="B25" s="56">
        <v>19</v>
      </c>
      <c r="C25" s="76">
        <f t="shared" si="0"/>
        <v>74.066673193426823</v>
      </c>
      <c r="D25" s="60">
        <f t="shared" si="1"/>
        <v>138.28633203165822</v>
      </c>
      <c r="J25" s="58">
        <v>13</v>
      </c>
      <c r="K25" s="70">
        <v>19</v>
      </c>
      <c r="L25" s="59">
        <f t="shared" si="2"/>
        <v>0.33666669633375834</v>
      </c>
      <c r="M25" s="60">
        <f t="shared" si="3"/>
        <v>0.6285742365075373</v>
      </c>
      <c r="N25" s="76">
        <f t="shared" si="4"/>
        <v>0.47604670861593429</v>
      </c>
      <c r="O25" s="60">
        <f t="shared" si="4"/>
        <v>0.88880397042165771</v>
      </c>
    </row>
    <row r="26" spans="1:15">
      <c r="A26" s="58">
        <v>12</v>
      </c>
      <c r="B26" s="56">
        <v>18</v>
      </c>
      <c r="C26" s="76">
        <f t="shared" si="0"/>
        <v>70.363339533755493</v>
      </c>
      <c r="D26" s="60">
        <f t="shared" si="1"/>
        <v>131.37201543007529</v>
      </c>
      <c r="J26" s="58">
        <v>12</v>
      </c>
      <c r="K26" s="70">
        <v>18</v>
      </c>
      <c r="L26" s="59">
        <f t="shared" si="2"/>
        <v>0.31983336151707042</v>
      </c>
      <c r="M26" s="60">
        <f t="shared" si="3"/>
        <v>0.59714552468216042</v>
      </c>
      <c r="N26" s="76">
        <f t="shared" si="4"/>
        <v>0.45224437318513755</v>
      </c>
      <c r="O26" s="60">
        <f t="shared" si="4"/>
        <v>0.84436377190057477</v>
      </c>
    </row>
    <row r="27" spans="1:15">
      <c r="A27" s="58">
        <v>11</v>
      </c>
      <c r="B27" s="56">
        <v>17</v>
      </c>
      <c r="C27" s="76">
        <f t="shared" si="0"/>
        <v>66.660005874084149</v>
      </c>
      <c r="D27" s="60">
        <f t="shared" si="1"/>
        <v>124.4576988284924</v>
      </c>
      <c r="J27" s="58">
        <v>11</v>
      </c>
      <c r="K27" s="70">
        <v>17</v>
      </c>
      <c r="L27" s="59">
        <f t="shared" si="2"/>
        <v>0.30300002670038251</v>
      </c>
      <c r="M27" s="60">
        <f t="shared" si="3"/>
        <v>0.56571681285678355</v>
      </c>
      <c r="N27" s="76">
        <f t="shared" si="4"/>
        <v>0.42844203775434087</v>
      </c>
      <c r="O27" s="60">
        <f t="shared" si="4"/>
        <v>0.79992357337949194</v>
      </c>
    </row>
    <row r="28" spans="1:15">
      <c r="A28" s="58">
        <v>10</v>
      </c>
      <c r="B28" s="56">
        <v>16</v>
      </c>
      <c r="C28" s="76">
        <f t="shared" si="0"/>
        <v>62.956672214412812</v>
      </c>
      <c r="D28" s="60">
        <f t="shared" si="1"/>
        <v>117.54338222690949</v>
      </c>
      <c r="J28" s="58">
        <v>10</v>
      </c>
      <c r="K28" s="70">
        <v>16</v>
      </c>
      <c r="L28" s="59">
        <f t="shared" si="2"/>
        <v>0.28616669188369459</v>
      </c>
      <c r="M28" s="60">
        <f t="shared" si="3"/>
        <v>0.53428810103140667</v>
      </c>
      <c r="N28" s="76">
        <f t="shared" si="4"/>
        <v>0.40463970232354413</v>
      </c>
      <c r="O28" s="60">
        <f t="shared" si="4"/>
        <v>0.755483374858409</v>
      </c>
    </row>
    <row r="29" spans="1:15">
      <c r="A29" s="58" t="s">
        <v>163</v>
      </c>
      <c r="B29" s="56">
        <v>15</v>
      </c>
      <c r="C29" s="76">
        <f t="shared" si="0"/>
        <v>59.253338554741461</v>
      </c>
      <c r="D29" s="60">
        <f t="shared" si="1"/>
        <v>110.62906562532655</v>
      </c>
      <c r="J29" s="58" t="s">
        <v>163</v>
      </c>
      <c r="K29" s="70">
        <v>15</v>
      </c>
      <c r="L29" s="59">
        <f t="shared" si="2"/>
        <v>0.26933335706700667</v>
      </c>
      <c r="M29" s="60">
        <f t="shared" si="3"/>
        <v>0.50285938920602979</v>
      </c>
      <c r="N29" s="76">
        <f t="shared" si="4"/>
        <v>0.38083736689274744</v>
      </c>
      <c r="O29" s="60">
        <f t="shared" si="4"/>
        <v>0.71104317633732605</v>
      </c>
    </row>
    <row r="30" spans="1:15">
      <c r="A30" s="58" t="s">
        <v>164</v>
      </c>
      <c r="B30" s="56">
        <v>14</v>
      </c>
      <c r="C30" s="76">
        <f t="shared" si="0"/>
        <v>55.550004895070124</v>
      </c>
      <c r="D30" s="60">
        <f t="shared" si="1"/>
        <v>103.71474902374364</v>
      </c>
      <c r="J30" s="58" t="s">
        <v>164</v>
      </c>
      <c r="K30" s="70">
        <v>14</v>
      </c>
      <c r="L30" s="59">
        <f t="shared" si="2"/>
        <v>0.25250002225031876</v>
      </c>
      <c r="M30" s="60">
        <f t="shared" si="3"/>
        <v>0.47143067738065297</v>
      </c>
      <c r="N30" s="76">
        <f t="shared" si="4"/>
        <v>0.3570350314619507</v>
      </c>
      <c r="O30" s="60">
        <f t="shared" si="4"/>
        <v>0.66660297781624323</v>
      </c>
    </row>
    <row r="31" spans="1:15">
      <c r="A31" s="58" t="s">
        <v>165</v>
      </c>
      <c r="B31" s="56">
        <v>13</v>
      </c>
      <c r="C31" s="76">
        <f t="shared" si="0"/>
        <v>51.84667123539878</v>
      </c>
      <c r="D31" s="60">
        <f t="shared" si="1"/>
        <v>96.800432422160753</v>
      </c>
      <c r="J31" s="58" t="s">
        <v>165</v>
      </c>
      <c r="K31" s="70">
        <v>13</v>
      </c>
      <c r="L31" s="59">
        <f t="shared" si="2"/>
        <v>0.23566668743363084</v>
      </c>
      <c r="M31" s="60">
        <f t="shared" si="3"/>
        <v>0.44000196555527615</v>
      </c>
      <c r="N31" s="76">
        <f t="shared" si="4"/>
        <v>0.33323269603115396</v>
      </c>
      <c r="O31" s="60">
        <f t="shared" si="4"/>
        <v>0.6221627792951604</v>
      </c>
    </row>
    <row r="32" spans="1:15">
      <c r="A32" s="58" t="s">
        <v>166</v>
      </c>
      <c r="B32" s="56">
        <v>12</v>
      </c>
      <c r="C32" s="76">
        <f t="shared" si="0"/>
        <v>48.143337575727436</v>
      </c>
      <c r="D32" s="60">
        <f t="shared" si="1"/>
        <v>89.886115820577842</v>
      </c>
      <c r="J32" s="58" t="s">
        <v>166</v>
      </c>
      <c r="K32" s="70">
        <v>12</v>
      </c>
      <c r="L32" s="59">
        <f t="shared" si="2"/>
        <v>0.21883335261694292</v>
      </c>
      <c r="M32" s="60">
        <f t="shared" si="3"/>
        <v>0.40857325372989928</v>
      </c>
      <c r="N32" s="76">
        <f t="shared" si="4"/>
        <v>0.30943036060035728</v>
      </c>
      <c r="O32" s="60">
        <f t="shared" si="4"/>
        <v>0.57772258077407757</v>
      </c>
    </row>
    <row r="33" spans="1:15">
      <c r="A33" s="58" t="s">
        <v>167</v>
      </c>
      <c r="B33" s="56">
        <v>11</v>
      </c>
      <c r="C33" s="76">
        <f t="shared" si="0"/>
        <v>44.440003916056099</v>
      </c>
      <c r="D33" s="60">
        <f t="shared" si="1"/>
        <v>82.971799218994917</v>
      </c>
      <c r="J33" s="58" t="s">
        <v>167</v>
      </c>
      <c r="K33" s="70">
        <v>11</v>
      </c>
      <c r="L33" s="59">
        <f t="shared" si="2"/>
        <v>0.20200001780025501</v>
      </c>
      <c r="M33" s="60">
        <f t="shared" si="3"/>
        <v>0.3771445419045224</v>
      </c>
      <c r="N33" s="76">
        <f t="shared" si="4"/>
        <v>0.28562802516956054</v>
      </c>
      <c r="O33" s="60">
        <f t="shared" si="4"/>
        <v>0.53328238225299462</v>
      </c>
    </row>
    <row r="34" spans="1:15">
      <c r="A34" s="58" t="s">
        <v>168</v>
      </c>
      <c r="B34" s="56">
        <v>10</v>
      </c>
      <c r="C34" s="76">
        <f t="shared" si="0"/>
        <v>40.736670256384755</v>
      </c>
      <c r="D34" s="60">
        <f t="shared" si="1"/>
        <v>76.057482617412006</v>
      </c>
      <c r="J34" s="58" t="s">
        <v>168</v>
      </c>
      <c r="K34" s="70">
        <v>10</v>
      </c>
      <c r="L34" s="59">
        <f t="shared" si="2"/>
        <v>0.18516668298356709</v>
      </c>
      <c r="M34" s="60">
        <f t="shared" si="3"/>
        <v>0.34571583007914553</v>
      </c>
      <c r="N34" s="76">
        <f t="shared" si="4"/>
        <v>0.26182568973876386</v>
      </c>
      <c r="O34" s="60">
        <f t="shared" si="4"/>
        <v>0.48884218373191174</v>
      </c>
    </row>
    <row r="35" spans="1:15">
      <c r="A35" s="58">
        <v>9</v>
      </c>
      <c r="B35" s="56">
        <v>9</v>
      </c>
      <c r="C35" s="76">
        <f t="shared" si="0"/>
        <v>37.033336596713411</v>
      </c>
      <c r="D35" s="60">
        <f t="shared" si="1"/>
        <v>69.143166015829109</v>
      </c>
      <c r="J35" s="58">
        <v>9</v>
      </c>
      <c r="K35" s="70">
        <v>9</v>
      </c>
      <c r="L35" s="59">
        <f t="shared" si="2"/>
        <v>0.16833334816687917</v>
      </c>
      <c r="M35" s="60">
        <f t="shared" si="3"/>
        <v>0.31428711825376865</v>
      </c>
      <c r="N35" s="76">
        <f t="shared" si="4"/>
        <v>0.23802335430796714</v>
      </c>
      <c r="O35" s="60">
        <f t="shared" si="4"/>
        <v>0.44440198521082885</v>
      </c>
    </row>
    <row r="36" spans="1:15">
      <c r="A36" s="58">
        <v>8</v>
      </c>
      <c r="B36" s="56">
        <v>8</v>
      </c>
      <c r="C36" s="76">
        <f t="shared" si="0"/>
        <v>33.330002937042075</v>
      </c>
      <c r="D36" s="60">
        <f t="shared" si="1"/>
        <v>62.228849414246199</v>
      </c>
      <c r="J36" s="58">
        <v>8</v>
      </c>
      <c r="K36" s="70">
        <v>8</v>
      </c>
      <c r="L36" s="59">
        <f t="shared" si="2"/>
        <v>0.15150001335019125</v>
      </c>
      <c r="M36" s="60">
        <f t="shared" si="3"/>
        <v>0.28285840642839177</v>
      </c>
      <c r="N36" s="76">
        <f t="shared" si="4"/>
        <v>0.21422101887717043</v>
      </c>
      <c r="O36" s="60">
        <f t="shared" si="4"/>
        <v>0.39996178668974597</v>
      </c>
    </row>
    <row r="37" spans="1:15">
      <c r="A37" s="58">
        <v>7</v>
      </c>
      <c r="B37" s="56">
        <v>7</v>
      </c>
      <c r="C37" s="76">
        <f t="shared" si="0"/>
        <v>29.626669277370731</v>
      </c>
      <c r="D37" s="60">
        <f t="shared" si="1"/>
        <v>55.314532812663273</v>
      </c>
      <c r="J37" s="58">
        <v>7</v>
      </c>
      <c r="K37" s="70">
        <v>7</v>
      </c>
      <c r="L37" s="59">
        <f t="shared" si="2"/>
        <v>0.13466667853350334</v>
      </c>
      <c r="M37" s="60">
        <f t="shared" si="3"/>
        <v>0.2514296946030149</v>
      </c>
      <c r="N37" s="76">
        <f t="shared" si="4"/>
        <v>0.19041868344637372</v>
      </c>
      <c r="O37" s="60">
        <f t="shared" si="4"/>
        <v>0.35552158816866303</v>
      </c>
    </row>
    <row r="38" spans="1:15">
      <c r="A38" s="58">
        <v>6</v>
      </c>
      <c r="B38" s="56">
        <v>6</v>
      </c>
      <c r="C38" s="76">
        <f t="shared" si="0"/>
        <v>25.92333561769939</v>
      </c>
      <c r="D38" s="60">
        <f t="shared" si="1"/>
        <v>48.400216211080377</v>
      </c>
      <c r="J38" s="58">
        <v>6</v>
      </c>
      <c r="K38" s="70">
        <v>6</v>
      </c>
      <c r="L38" s="59">
        <f t="shared" si="2"/>
        <v>0.11783334371681542</v>
      </c>
      <c r="M38" s="60">
        <f t="shared" si="3"/>
        <v>0.22000098277763808</v>
      </c>
      <c r="N38" s="76">
        <f t="shared" si="4"/>
        <v>0.16661634801557698</v>
      </c>
      <c r="O38" s="60">
        <f t="shared" si="4"/>
        <v>0.3110813896475802</v>
      </c>
    </row>
    <row r="39" spans="1:15">
      <c r="A39" s="58">
        <v>5</v>
      </c>
      <c r="B39" s="56">
        <v>5</v>
      </c>
      <c r="C39" s="76">
        <f t="shared" si="0"/>
        <v>22.22000195802805</v>
      </c>
      <c r="D39" s="60">
        <f t="shared" si="1"/>
        <v>41.485899609497459</v>
      </c>
      <c r="J39" s="58">
        <v>5</v>
      </c>
      <c r="K39" s="70">
        <v>5</v>
      </c>
      <c r="L39" s="59">
        <f t="shared" si="2"/>
        <v>0.1010000089001275</v>
      </c>
      <c r="M39" s="60">
        <f t="shared" si="3"/>
        <v>0.1885722709522612</v>
      </c>
      <c r="N39" s="76">
        <f t="shared" si="4"/>
        <v>0.14281401258478027</v>
      </c>
      <c r="O39" s="60">
        <f t="shared" si="4"/>
        <v>0.26664119112649731</v>
      </c>
    </row>
    <row r="40" spans="1:15">
      <c r="A40" s="58">
        <v>4</v>
      </c>
      <c r="B40" s="56">
        <v>4</v>
      </c>
      <c r="C40" s="76">
        <f t="shared" si="0"/>
        <v>18.516668298356706</v>
      </c>
      <c r="D40" s="60">
        <f t="shared" si="1"/>
        <v>34.571583007914555</v>
      </c>
      <c r="J40" s="58">
        <v>4</v>
      </c>
      <c r="K40" s="70">
        <v>4</v>
      </c>
      <c r="L40" s="59">
        <f t="shared" si="2"/>
        <v>8.4166674083439585E-2</v>
      </c>
      <c r="M40" s="60">
        <f t="shared" si="3"/>
        <v>0.15714355912688432</v>
      </c>
      <c r="N40" s="76">
        <f t="shared" si="4"/>
        <v>0.11901167715398357</v>
      </c>
      <c r="O40" s="60">
        <f t="shared" si="4"/>
        <v>0.22220099260541443</v>
      </c>
    </row>
    <row r="41" spans="1:15">
      <c r="A41" s="58">
        <v>3</v>
      </c>
      <c r="B41" s="56">
        <v>3</v>
      </c>
      <c r="C41" s="76">
        <f t="shared" si="0"/>
        <v>14.813334638685365</v>
      </c>
      <c r="D41" s="60">
        <f t="shared" si="1"/>
        <v>27.657266406331637</v>
      </c>
      <c r="J41" s="58">
        <v>3</v>
      </c>
      <c r="K41" s="70">
        <v>3</v>
      </c>
      <c r="L41" s="59">
        <f t="shared" si="2"/>
        <v>6.7333339266751668E-2</v>
      </c>
      <c r="M41" s="60">
        <f t="shared" si="3"/>
        <v>0.12571484730150745</v>
      </c>
      <c r="N41" s="76">
        <f t="shared" si="4"/>
        <v>9.5209341723186861E-2</v>
      </c>
      <c r="O41" s="60">
        <f t="shared" si="4"/>
        <v>0.17776079408433151</v>
      </c>
    </row>
    <row r="42" spans="1:15">
      <c r="A42" s="58">
        <v>2</v>
      </c>
      <c r="B42" s="56">
        <v>2</v>
      </c>
      <c r="C42" s="76">
        <f t="shared" si="0"/>
        <v>11.110000979014025</v>
      </c>
      <c r="D42" s="60">
        <f t="shared" si="1"/>
        <v>20.742949804748729</v>
      </c>
      <c r="J42" s="58">
        <v>2</v>
      </c>
      <c r="K42" s="70">
        <v>2</v>
      </c>
      <c r="L42" s="59">
        <f t="shared" si="2"/>
        <v>5.0500004450063751E-2</v>
      </c>
      <c r="M42" s="60">
        <f t="shared" si="3"/>
        <v>9.42861354761306E-2</v>
      </c>
      <c r="N42" s="76">
        <f t="shared" si="4"/>
        <v>7.1407006292390135E-2</v>
      </c>
      <c r="O42" s="60">
        <f t="shared" si="4"/>
        <v>0.13332059556324866</v>
      </c>
    </row>
    <row r="43" spans="1:15" ht="15.75" thickBot="1">
      <c r="A43" s="58">
        <v>1</v>
      </c>
      <c r="B43" s="57">
        <v>1</v>
      </c>
      <c r="C43" s="68">
        <f t="shared" si="0"/>
        <v>7.4066673193426826</v>
      </c>
      <c r="D43" s="62">
        <f t="shared" si="1"/>
        <v>13.828633203165818</v>
      </c>
      <c r="J43" s="58">
        <v>1</v>
      </c>
      <c r="K43" s="69">
        <v>1</v>
      </c>
      <c r="L43" s="61">
        <f t="shared" si="2"/>
        <v>3.3666669633375834E-2</v>
      </c>
      <c r="M43" s="62">
        <f t="shared" si="3"/>
        <v>6.2857423650753724E-2</v>
      </c>
      <c r="N43" s="68">
        <f t="shared" si="4"/>
        <v>4.760467086159343E-2</v>
      </c>
      <c r="O43" s="62">
        <f t="shared" si="4"/>
        <v>8.8880397042165757E-2</v>
      </c>
    </row>
  </sheetData>
  <mergeCells count="6">
    <mergeCell ref="L10:M10"/>
    <mergeCell ref="C10:D10"/>
    <mergeCell ref="B10:B12"/>
    <mergeCell ref="N10:O10"/>
    <mergeCell ref="F5:I5"/>
    <mergeCell ref="F6:I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D14" sqref="D14"/>
    </sheetView>
  </sheetViews>
  <sheetFormatPr defaultRowHeight="15"/>
  <cols>
    <col min="1" max="1" width="4.85546875" customWidth="1"/>
    <col min="2" max="2" width="11.42578125" customWidth="1"/>
    <col min="3" max="3" width="22.5703125" bestFit="1" customWidth="1"/>
    <col min="4" max="4" width="80.42578125" customWidth="1"/>
    <col min="5" max="256" width="11.42578125" customWidth="1"/>
  </cols>
  <sheetData>
    <row r="4" spans="2:4">
      <c r="B4" s="11" t="s">
        <v>19</v>
      </c>
      <c r="C4" s="12" t="s">
        <v>22</v>
      </c>
    </row>
    <row r="6" spans="2:4">
      <c r="C6" s="11" t="s">
        <v>20</v>
      </c>
      <c r="D6" s="11" t="s">
        <v>21</v>
      </c>
    </row>
    <row r="7" spans="2:4">
      <c r="C7" s="13" t="s">
        <v>23</v>
      </c>
      <c r="D7" t="s">
        <v>24</v>
      </c>
    </row>
    <row r="8" spans="2:4">
      <c r="C8" s="13" t="s">
        <v>28</v>
      </c>
      <c r="D8" t="s">
        <v>29</v>
      </c>
    </row>
    <row r="9" spans="2:4">
      <c r="C9" s="13" t="s">
        <v>56</v>
      </c>
      <c r="D9" t="s">
        <v>57</v>
      </c>
    </row>
    <row r="10" spans="2:4">
      <c r="C10" s="13" t="s">
        <v>101</v>
      </c>
      <c r="D10" t="s">
        <v>102</v>
      </c>
    </row>
    <row r="11" spans="2:4">
      <c r="C11" s="13" t="s">
        <v>111</v>
      </c>
      <c r="D11" t="s">
        <v>112</v>
      </c>
    </row>
    <row r="12" spans="2:4">
      <c r="C12" s="13" t="s">
        <v>118</v>
      </c>
      <c r="D12" t="s">
        <v>119</v>
      </c>
    </row>
    <row r="13" spans="2:4">
      <c r="C13" s="13" t="s">
        <v>120</v>
      </c>
      <c r="D13" t="s">
        <v>213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TMC26x_chopper</vt:lpstr>
      <vt:lpstr>Power_Dissipation</vt:lpstr>
      <vt:lpstr>Detail Exmpl Power Dissipation</vt:lpstr>
      <vt:lpstr>RSense</vt:lpstr>
      <vt:lpstr>Revision_History</vt:lpstr>
    </vt:vector>
  </TitlesOfParts>
  <Company>Trinamic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Lars Larsson</dc:creator>
  <cp:lastModifiedBy>Oya Bazer</cp:lastModifiedBy>
  <dcterms:created xsi:type="dcterms:W3CDTF">2010-07-13T08:42:52Z</dcterms:created>
  <dcterms:modified xsi:type="dcterms:W3CDTF">2021-03-04T11:08:12Z</dcterms:modified>
</cp:coreProperties>
</file>